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arsh\Desktop\"/>
    </mc:Choice>
  </mc:AlternateContent>
  <xr:revisionPtr revIDLastSave="0" documentId="13_ncr:1_{E28A0729-432E-4D2D-A785-6C9C06122DE3}" xr6:coauthVersionLast="47" xr6:coauthVersionMax="47" xr10:uidLastSave="{00000000-0000-0000-0000-000000000000}"/>
  <bookViews>
    <workbookView xWindow="-108" yWindow="-108" windowWidth="23256" windowHeight="12456" xr2:uid="{00000000-000D-0000-FFFF-FFFF00000000}"/>
  </bookViews>
  <sheets>
    <sheet name="BookDetails" sheetId="1" r:id="rId1"/>
    <sheet name="RecordingAllocationData"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B3" i="1"/>
  <c r="C3" i="1"/>
  <c r="F3" i="1"/>
  <c r="G3" i="1"/>
  <c r="H3" i="1"/>
  <c r="C87" i="1"/>
  <c r="CG1287" i="2"/>
  <c r="CE1287" i="2"/>
  <c r="BZ1287" i="2"/>
  <c r="BX1287" i="2"/>
  <c r="BW1287" i="2"/>
  <c r="CG1286" i="2"/>
  <c r="CF1286" i="2"/>
  <c r="CE1286" i="2"/>
  <c r="CD1286" i="2"/>
  <c r="CC1286" i="2"/>
  <c r="CB1286" i="2"/>
  <c r="CA1286" i="2"/>
  <c r="BZ1286" i="2"/>
  <c r="BY1286" i="2"/>
  <c r="BX1286" i="2"/>
  <c r="BW1286" i="2"/>
  <c r="BM1286" i="2"/>
  <c r="U1286" i="2"/>
  <c r="G1286" i="2"/>
  <c r="F1286" i="2"/>
  <c r="E1286" i="2"/>
  <c r="D1286" i="2"/>
  <c r="C1286" i="2"/>
  <c r="B1286" i="2"/>
  <c r="A1286" i="2"/>
  <c r="CG1285" i="2"/>
  <c r="CF1285" i="2"/>
  <c r="CE1285" i="2"/>
  <c r="CD1285" i="2"/>
  <c r="CC1285" i="2"/>
  <c r="CB1285" i="2"/>
  <c r="CA1285" i="2"/>
  <c r="BZ1285" i="2"/>
  <c r="BY1285" i="2"/>
  <c r="BX1285" i="2"/>
  <c r="BW1285" i="2"/>
  <c r="BG1285" i="2"/>
  <c r="W1285" i="2"/>
  <c r="G1285" i="2"/>
  <c r="F1285" i="2"/>
  <c r="E1285" i="2"/>
  <c r="D1285" i="2"/>
  <c r="C1285" i="2"/>
  <c r="B1285" i="2"/>
  <c r="A1285" i="2"/>
  <c r="CG1284" i="2"/>
  <c r="CF1284" i="2"/>
  <c r="CE1284" i="2"/>
  <c r="CD1284" i="2"/>
  <c r="CC1284" i="2"/>
  <c r="CB1284" i="2"/>
  <c r="CA1284" i="2"/>
  <c r="BZ1284" i="2"/>
  <c r="BY1284" i="2"/>
  <c r="BX1284" i="2"/>
  <c r="BW1284" i="2"/>
  <c r="BL1284" i="2"/>
  <c r="U1284" i="2"/>
  <c r="G1284" i="2"/>
  <c r="F1284" i="2"/>
  <c r="E1284" i="2"/>
  <c r="D1284" i="2"/>
  <c r="C1284" i="2"/>
  <c r="B1284" i="2"/>
  <c r="A1284" i="2"/>
  <c r="CG1283" i="2"/>
  <c r="CF1283" i="2"/>
  <c r="CE1283" i="2"/>
  <c r="CD1283" i="2"/>
  <c r="CC1283" i="2"/>
  <c r="CB1283" i="2"/>
  <c r="CA1283" i="2"/>
  <c r="BZ1283" i="2"/>
  <c r="BY1283" i="2"/>
  <c r="BX1283" i="2"/>
  <c r="BW1283" i="2"/>
  <c r="BL1283" i="2"/>
  <c r="U1283" i="2"/>
  <c r="G1283" i="2"/>
  <c r="F1283" i="2"/>
  <c r="E1283" i="2"/>
  <c r="D1283" i="2"/>
  <c r="C1283" i="2"/>
  <c r="B1283" i="2"/>
  <c r="A1283" i="2"/>
  <c r="CG1282" i="2"/>
  <c r="CF1282" i="2"/>
  <c r="CE1282" i="2"/>
  <c r="CD1282" i="2"/>
  <c r="CC1282" i="2"/>
  <c r="CB1282" i="2"/>
  <c r="CA1282" i="2"/>
  <c r="BZ1282" i="2"/>
  <c r="BY1282" i="2"/>
  <c r="BX1282" i="2"/>
  <c r="BW1282" i="2"/>
  <c r="X1282" i="2"/>
  <c r="H1282" i="2"/>
  <c r="G1282" i="2"/>
  <c r="F1282" i="2"/>
  <c r="E1282" i="2"/>
  <c r="D1282" i="2"/>
  <c r="C1282" i="2"/>
  <c r="B1282" i="2"/>
  <c r="A1282" i="2"/>
  <c r="CG1281" i="2"/>
  <c r="CF1281" i="2"/>
  <c r="CE1281" i="2"/>
  <c r="CD1281" i="2"/>
  <c r="CC1281" i="2"/>
  <c r="CB1281" i="2"/>
  <c r="CA1281" i="2"/>
  <c r="BZ1281" i="2"/>
  <c r="BY1281" i="2"/>
  <c r="BX1281" i="2"/>
  <c r="BW1281" i="2"/>
  <c r="BS1281" i="2"/>
  <c r="G1281" i="2"/>
  <c r="F1281" i="2"/>
  <c r="E1281" i="2"/>
  <c r="D1281" i="2"/>
  <c r="C1281" i="2"/>
  <c r="B1281" i="2"/>
  <c r="A1281" i="2"/>
  <c r="CG1280" i="2"/>
  <c r="CF1280" i="2"/>
  <c r="CE1280" i="2"/>
  <c r="CD1280" i="2"/>
  <c r="CC1280" i="2"/>
  <c r="CB1280" i="2"/>
  <c r="CA1280" i="2"/>
  <c r="BZ1280" i="2"/>
  <c r="BY1280" i="2"/>
  <c r="BX1280" i="2"/>
  <c r="BW1280" i="2"/>
  <c r="BG1280" i="2"/>
  <c r="W1280" i="2"/>
  <c r="G1280" i="2"/>
  <c r="F1280" i="2"/>
  <c r="E1280" i="2"/>
  <c r="D1280" i="2"/>
  <c r="C1280" i="2"/>
  <c r="B1280" i="2"/>
  <c r="A1280" i="2"/>
  <c r="CI1279" i="2"/>
  <c r="CH1279" i="2"/>
  <c r="CG1279" i="2"/>
  <c r="CF1279" i="2"/>
  <c r="CE1279" i="2"/>
  <c r="CD1279" i="2"/>
  <c r="CC1279" i="2"/>
  <c r="CB1279" i="2"/>
  <c r="CA1279" i="2"/>
  <c r="BZ1279" i="2"/>
  <c r="BY1279" i="2"/>
  <c r="BX1279" i="2"/>
  <c r="BW1279" i="2"/>
  <c r="BL1279" i="2"/>
  <c r="U1279" i="2"/>
  <c r="G1279" i="2"/>
  <c r="F1279" i="2"/>
  <c r="E1279" i="2"/>
  <c r="D1279" i="2"/>
  <c r="C1279" i="2"/>
  <c r="B1279" i="2"/>
  <c r="A1279" i="2"/>
  <c r="CG1278" i="2"/>
  <c r="CF1278" i="2"/>
  <c r="CE1278" i="2"/>
  <c r="CD1278" i="2"/>
  <c r="CC1278" i="2"/>
  <c r="CB1278" i="2"/>
  <c r="CA1278" i="2"/>
  <c r="BZ1278" i="2"/>
  <c r="BY1278" i="2"/>
  <c r="BX1278" i="2"/>
  <c r="BW1278" i="2"/>
  <c r="BL1278" i="2"/>
  <c r="U1278" i="2"/>
  <c r="G1278" i="2"/>
  <c r="F1278" i="2"/>
  <c r="E1278" i="2"/>
  <c r="D1278" i="2"/>
  <c r="C1278" i="2"/>
  <c r="B1278" i="2"/>
  <c r="A1278" i="2"/>
  <c r="CG1277" i="2"/>
  <c r="CF1277" i="2"/>
  <c r="CE1277" i="2"/>
  <c r="CD1277" i="2"/>
  <c r="CC1277" i="2"/>
  <c r="CB1277" i="2"/>
  <c r="CA1277" i="2"/>
  <c r="BZ1277" i="2"/>
  <c r="BY1277" i="2"/>
  <c r="BX1277" i="2"/>
  <c r="BW1277" i="2"/>
  <c r="BL1277" i="2"/>
  <c r="U1277" i="2"/>
  <c r="G1277" i="2"/>
  <c r="F1277" i="2"/>
  <c r="E1277" i="2"/>
  <c r="D1277" i="2"/>
  <c r="C1277" i="2"/>
  <c r="B1277" i="2"/>
  <c r="A1277" i="2"/>
  <c r="CG1276" i="2"/>
  <c r="CF1276" i="2"/>
  <c r="CE1276" i="2"/>
  <c r="CD1276" i="2"/>
  <c r="CC1276" i="2"/>
  <c r="CB1276" i="2"/>
  <c r="CA1276" i="2"/>
  <c r="BZ1276" i="2"/>
  <c r="BY1276" i="2"/>
  <c r="BX1276" i="2"/>
  <c r="BW1276" i="2"/>
  <c r="BL1276" i="2"/>
  <c r="U1276" i="2"/>
  <c r="G1276" i="2"/>
  <c r="F1276" i="2"/>
  <c r="E1276" i="2"/>
  <c r="D1276" i="2"/>
  <c r="C1276" i="2"/>
  <c r="B1276" i="2"/>
  <c r="A1276" i="2"/>
  <c r="CG1275" i="2"/>
  <c r="CF1275" i="2"/>
  <c r="CE1275" i="2"/>
  <c r="CD1275" i="2"/>
  <c r="CC1275" i="2"/>
  <c r="CB1275" i="2"/>
  <c r="CA1275" i="2"/>
  <c r="BZ1275" i="2"/>
  <c r="BY1275" i="2"/>
  <c r="BX1275" i="2"/>
  <c r="BW1275" i="2"/>
  <c r="BL1275" i="2"/>
  <c r="U1275" i="2"/>
  <c r="G1275" i="2"/>
  <c r="F1275" i="2"/>
  <c r="E1275" i="2"/>
  <c r="D1275" i="2"/>
  <c r="C1275" i="2"/>
  <c r="B1275" i="2"/>
  <c r="A1275" i="2"/>
  <c r="CG1274" i="2"/>
  <c r="CF1274" i="2"/>
  <c r="CE1274" i="2"/>
  <c r="CD1274" i="2"/>
  <c r="CC1274" i="2"/>
  <c r="CB1274" i="2"/>
  <c r="CA1274" i="2"/>
  <c r="BZ1274" i="2"/>
  <c r="BY1274" i="2"/>
  <c r="BX1274" i="2"/>
  <c r="BW1274" i="2"/>
  <c r="BL1274" i="2"/>
  <c r="U1274" i="2"/>
  <c r="G1274" i="2"/>
  <c r="F1274" i="2"/>
  <c r="E1274" i="2"/>
  <c r="D1274" i="2"/>
  <c r="C1274" i="2"/>
  <c r="B1274" i="2"/>
  <c r="A1274" i="2"/>
  <c r="CG1273" i="2"/>
  <c r="CF1273" i="2"/>
  <c r="CE1273" i="2"/>
  <c r="CD1273" i="2"/>
  <c r="CC1273" i="2"/>
  <c r="CB1273" i="2"/>
  <c r="CA1273" i="2"/>
  <c r="BZ1273" i="2"/>
  <c r="BY1273" i="2"/>
  <c r="BX1273" i="2"/>
  <c r="BW1273" i="2"/>
  <c r="BG1273" i="2"/>
  <c r="W1273" i="2"/>
  <c r="G1273" i="2"/>
  <c r="F1273" i="2"/>
  <c r="E1273" i="2"/>
  <c r="D1273" i="2"/>
  <c r="C1273" i="2"/>
  <c r="B1273" i="2"/>
  <c r="A1273" i="2"/>
  <c r="CG1272" i="2"/>
  <c r="CF1272" i="2"/>
  <c r="CE1272" i="2"/>
  <c r="CD1272" i="2"/>
  <c r="CC1272" i="2"/>
  <c r="CB1272" i="2"/>
  <c r="CA1272" i="2"/>
  <c r="BZ1272" i="2"/>
  <c r="BY1272" i="2"/>
  <c r="BX1272" i="2"/>
  <c r="BW1272" i="2"/>
  <c r="BG1272" i="2"/>
  <c r="W1272" i="2"/>
  <c r="G1272" i="2"/>
  <c r="F1272" i="2"/>
  <c r="E1272" i="2"/>
  <c r="D1272" i="2"/>
  <c r="C1272" i="2"/>
  <c r="B1272" i="2"/>
  <c r="A1272" i="2"/>
  <c r="CG1271" i="2"/>
  <c r="CF1271" i="2"/>
  <c r="CE1271" i="2"/>
  <c r="CD1271" i="2"/>
  <c r="CC1271" i="2"/>
  <c r="CB1271" i="2"/>
  <c r="CA1271" i="2"/>
  <c r="BZ1271" i="2"/>
  <c r="BY1271" i="2"/>
  <c r="BX1271" i="2"/>
  <c r="BW1271" i="2"/>
  <c r="BG1271" i="2"/>
  <c r="W1271" i="2"/>
  <c r="G1271" i="2"/>
  <c r="F1271" i="2"/>
  <c r="E1271" i="2"/>
  <c r="D1271" i="2"/>
  <c r="C1271" i="2"/>
  <c r="B1271" i="2"/>
  <c r="A1271" i="2"/>
  <c r="CG1270" i="2"/>
  <c r="CF1270" i="2"/>
  <c r="CE1270" i="2"/>
  <c r="CD1270" i="2"/>
  <c r="CC1270" i="2"/>
  <c r="CB1270" i="2"/>
  <c r="CA1270" i="2"/>
  <c r="BZ1270" i="2"/>
  <c r="BY1270" i="2"/>
  <c r="BX1270" i="2"/>
  <c r="BW1270" i="2"/>
  <c r="BG1270" i="2"/>
  <c r="W1270" i="2"/>
  <c r="G1270" i="2"/>
  <c r="F1270" i="2"/>
  <c r="E1270" i="2"/>
  <c r="D1270" i="2"/>
  <c r="C1270" i="2"/>
  <c r="B1270" i="2"/>
  <c r="A1270" i="2"/>
  <c r="CG1269" i="2"/>
  <c r="CF1269" i="2"/>
  <c r="CE1269" i="2"/>
  <c r="CD1269" i="2"/>
  <c r="CC1269" i="2"/>
  <c r="CB1269" i="2"/>
  <c r="CA1269" i="2"/>
  <c r="BZ1269" i="2"/>
  <c r="BY1269" i="2"/>
  <c r="BX1269" i="2"/>
  <c r="BW1269" i="2"/>
  <c r="BG1269" i="2"/>
  <c r="W1269" i="2"/>
  <c r="G1269" i="2"/>
  <c r="F1269" i="2"/>
  <c r="E1269" i="2"/>
  <c r="D1269" i="2"/>
  <c r="C1269" i="2"/>
  <c r="B1269" i="2"/>
  <c r="A1269" i="2"/>
  <c r="CG1268" i="2"/>
  <c r="CF1268" i="2"/>
  <c r="CE1268" i="2"/>
  <c r="CD1268" i="2"/>
  <c r="CC1268" i="2"/>
  <c r="CB1268" i="2"/>
  <c r="CA1268" i="2"/>
  <c r="BZ1268" i="2"/>
  <c r="BY1268" i="2"/>
  <c r="BX1268" i="2"/>
  <c r="BW1268" i="2"/>
  <c r="BG1268" i="2"/>
  <c r="W1268" i="2"/>
  <c r="G1268" i="2"/>
  <c r="F1268" i="2"/>
  <c r="E1268" i="2"/>
  <c r="D1268" i="2"/>
  <c r="C1268" i="2"/>
  <c r="B1268" i="2"/>
  <c r="A1268" i="2"/>
  <c r="CG1267" i="2"/>
  <c r="CF1267" i="2"/>
  <c r="CE1267" i="2"/>
  <c r="CD1267" i="2"/>
  <c r="CC1267" i="2"/>
  <c r="CB1267" i="2"/>
  <c r="CA1267" i="2"/>
  <c r="BZ1267" i="2"/>
  <c r="BY1267" i="2"/>
  <c r="BX1267" i="2"/>
  <c r="BW1267" i="2"/>
  <c r="BG1267" i="2"/>
  <c r="W1267" i="2"/>
  <c r="G1267" i="2"/>
  <c r="F1267" i="2"/>
  <c r="E1267" i="2"/>
  <c r="D1267" i="2"/>
  <c r="C1267" i="2"/>
  <c r="B1267" i="2"/>
  <c r="A1267" i="2"/>
  <c r="CG1266" i="2"/>
  <c r="CF1266" i="2"/>
  <c r="CE1266" i="2"/>
  <c r="CD1266" i="2"/>
  <c r="CC1266" i="2"/>
  <c r="CB1266" i="2"/>
  <c r="CA1266" i="2"/>
  <c r="BZ1266" i="2"/>
  <c r="BY1266" i="2"/>
  <c r="BX1266" i="2"/>
  <c r="BW1266" i="2"/>
  <c r="BG1266" i="2"/>
  <c r="W1266" i="2"/>
  <c r="G1266" i="2"/>
  <c r="F1266" i="2"/>
  <c r="E1266" i="2"/>
  <c r="D1266" i="2"/>
  <c r="C1266" i="2"/>
  <c r="B1266" i="2"/>
  <c r="A1266" i="2"/>
  <c r="CG1265" i="2"/>
  <c r="CF1265" i="2"/>
  <c r="CE1265" i="2"/>
  <c r="CD1265" i="2"/>
  <c r="CC1265" i="2"/>
  <c r="CB1265" i="2"/>
  <c r="CA1265" i="2"/>
  <c r="BZ1265" i="2"/>
  <c r="BY1265" i="2"/>
  <c r="BX1265" i="2"/>
  <c r="BW1265" i="2"/>
  <c r="BG1265" i="2"/>
  <c r="W1265" i="2"/>
  <c r="G1265" i="2"/>
  <c r="F1265" i="2"/>
  <c r="E1265" i="2"/>
  <c r="D1265" i="2"/>
  <c r="C1265" i="2"/>
  <c r="B1265" i="2"/>
  <c r="A1265" i="2"/>
  <c r="CG1264" i="2"/>
  <c r="CF1264" i="2"/>
  <c r="CE1264" i="2"/>
  <c r="CD1264" i="2"/>
  <c r="CC1264" i="2"/>
  <c r="CB1264" i="2"/>
  <c r="CA1264" i="2"/>
  <c r="BZ1264" i="2"/>
  <c r="BY1264" i="2"/>
  <c r="BX1264" i="2"/>
  <c r="BW1264" i="2"/>
  <c r="BG1264" i="2"/>
  <c r="W1264" i="2"/>
  <c r="G1264" i="2"/>
  <c r="F1264" i="2"/>
  <c r="E1264" i="2"/>
  <c r="D1264" i="2"/>
  <c r="C1264" i="2"/>
  <c r="B1264" i="2"/>
  <c r="A1264" i="2"/>
  <c r="CG1263" i="2"/>
  <c r="CF1263" i="2"/>
  <c r="CE1263" i="2"/>
  <c r="CD1263" i="2"/>
  <c r="CC1263" i="2"/>
  <c r="CB1263" i="2"/>
  <c r="CA1263" i="2"/>
  <c r="BZ1263" i="2"/>
  <c r="BY1263" i="2"/>
  <c r="BX1263" i="2"/>
  <c r="BW1263" i="2"/>
  <c r="AV1263" i="2"/>
  <c r="Q1263" i="2"/>
  <c r="G1263" i="2"/>
  <c r="F1263" i="2"/>
  <c r="E1263" i="2"/>
  <c r="D1263" i="2"/>
  <c r="C1263" i="2"/>
  <c r="B1263" i="2"/>
  <c r="A1263" i="2"/>
  <c r="CG1262" i="2"/>
  <c r="CF1262" i="2"/>
  <c r="CE1262" i="2"/>
  <c r="CD1262" i="2"/>
  <c r="CC1262" i="2"/>
  <c r="CB1262" i="2"/>
  <c r="CA1262" i="2"/>
  <c r="BZ1262" i="2"/>
  <c r="BY1262" i="2"/>
  <c r="BX1262" i="2"/>
  <c r="BW1262" i="2"/>
  <c r="AD1262" i="2"/>
  <c r="L1262" i="2"/>
  <c r="G1262" i="2"/>
  <c r="F1262" i="2"/>
  <c r="E1262" i="2"/>
  <c r="D1262" i="2"/>
  <c r="C1262" i="2"/>
  <c r="B1262" i="2"/>
  <c r="A1262" i="2"/>
  <c r="CG1261" i="2"/>
  <c r="CF1261" i="2"/>
  <c r="CE1261" i="2"/>
  <c r="CD1261" i="2"/>
  <c r="CC1261" i="2"/>
  <c r="CB1261" i="2"/>
  <c r="CA1261" i="2"/>
  <c r="BZ1261" i="2"/>
  <c r="BY1261" i="2"/>
  <c r="BX1261" i="2"/>
  <c r="BW1261" i="2"/>
  <c r="AE1261" i="2"/>
  <c r="L1261" i="2"/>
  <c r="G1261" i="2"/>
  <c r="F1261" i="2"/>
  <c r="E1261" i="2"/>
  <c r="D1261" i="2"/>
  <c r="C1261" i="2"/>
  <c r="B1261" i="2"/>
  <c r="A1261" i="2"/>
  <c r="CG1260" i="2"/>
  <c r="CF1260" i="2"/>
  <c r="CE1260" i="2"/>
  <c r="CD1260" i="2"/>
  <c r="CC1260" i="2"/>
  <c r="CB1260" i="2"/>
  <c r="CA1260" i="2"/>
  <c r="BZ1260" i="2"/>
  <c r="BY1260" i="2"/>
  <c r="BX1260" i="2"/>
  <c r="BW1260" i="2"/>
  <c r="AW1260" i="2"/>
  <c r="Q1260" i="2"/>
  <c r="G1260" i="2"/>
  <c r="F1260" i="2"/>
  <c r="E1260" i="2"/>
  <c r="D1260" i="2"/>
  <c r="C1260" i="2"/>
  <c r="B1260" i="2"/>
  <c r="A1260" i="2"/>
  <c r="CG1259" i="2"/>
  <c r="CF1259" i="2"/>
  <c r="CE1259" i="2"/>
  <c r="CD1259" i="2"/>
  <c r="CC1259" i="2"/>
  <c r="CB1259" i="2"/>
  <c r="CA1259" i="2"/>
  <c r="BZ1259" i="2"/>
  <c r="BY1259" i="2"/>
  <c r="BX1259" i="2"/>
  <c r="BW1259" i="2"/>
  <c r="AT1259" i="2"/>
  <c r="P1259" i="2"/>
  <c r="G1259" i="2"/>
  <c r="F1259" i="2"/>
  <c r="E1259" i="2"/>
  <c r="D1259" i="2"/>
  <c r="C1259" i="2"/>
  <c r="B1259" i="2"/>
  <c r="A1259" i="2"/>
  <c r="CG1258" i="2"/>
  <c r="CF1258" i="2"/>
  <c r="CE1258" i="2"/>
  <c r="CD1258" i="2"/>
  <c r="CC1258" i="2"/>
  <c r="CB1258" i="2"/>
  <c r="CA1258" i="2"/>
  <c r="BZ1258" i="2"/>
  <c r="BY1258" i="2"/>
  <c r="BX1258" i="2"/>
  <c r="BW1258" i="2"/>
  <c r="BB1258" i="2"/>
  <c r="S1258" i="2"/>
  <c r="G1258" i="2"/>
  <c r="F1258" i="2"/>
  <c r="E1258" i="2"/>
  <c r="D1258" i="2"/>
  <c r="C1258" i="2"/>
  <c r="B1258" i="2"/>
  <c r="A1258" i="2"/>
  <c r="CG1257" i="2"/>
  <c r="CF1257" i="2"/>
  <c r="CE1257" i="2"/>
  <c r="CD1257" i="2"/>
  <c r="CC1257" i="2"/>
  <c r="CB1257" i="2"/>
  <c r="CA1257" i="2"/>
  <c r="BZ1257" i="2"/>
  <c r="BY1257" i="2"/>
  <c r="BX1257" i="2"/>
  <c r="BW1257" i="2"/>
  <c r="AD1257" i="2"/>
  <c r="L1257" i="2"/>
  <c r="G1257" i="2"/>
  <c r="F1257" i="2"/>
  <c r="E1257" i="2"/>
  <c r="D1257" i="2"/>
  <c r="C1257" i="2"/>
  <c r="B1257" i="2"/>
  <c r="A1257" i="2"/>
  <c r="CG1256" i="2"/>
  <c r="CF1256" i="2"/>
  <c r="CE1256" i="2"/>
  <c r="CD1256" i="2"/>
  <c r="CC1256" i="2"/>
  <c r="CB1256" i="2"/>
  <c r="CA1256" i="2"/>
  <c r="BZ1256" i="2"/>
  <c r="BY1256" i="2"/>
  <c r="BX1256" i="2"/>
  <c r="BW1256" i="2"/>
  <c r="AD1256" i="2"/>
  <c r="L1256" i="2"/>
  <c r="G1256" i="2"/>
  <c r="F1256" i="2"/>
  <c r="E1256" i="2"/>
  <c r="D1256" i="2"/>
  <c r="C1256" i="2"/>
  <c r="B1256" i="2"/>
  <c r="A1256" i="2"/>
  <c r="CI1255" i="2"/>
  <c r="CH1255" i="2"/>
  <c r="CG1255" i="2"/>
  <c r="CF1255" i="2"/>
  <c r="CE1255" i="2"/>
  <c r="CD1255" i="2"/>
  <c r="CC1255" i="2"/>
  <c r="CB1255" i="2"/>
  <c r="CA1255" i="2"/>
  <c r="BZ1255" i="2"/>
  <c r="BY1255" i="2"/>
  <c r="BX1255" i="2"/>
  <c r="BW1255" i="2"/>
  <c r="BF1255" i="2"/>
  <c r="T1255" i="2"/>
  <c r="G1255" i="2"/>
  <c r="F1255" i="2"/>
  <c r="E1255" i="2"/>
  <c r="D1255" i="2"/>
  <c r="C1255" i="2"/>
  <c r="B1255" i="2"/>
  <c r="A1255" i="2"/>
  <c r="CI1254" i="2"/>
  <c r="CH1254" i="2"/>
  <c r="CG1254" i="2"/>
  <c r="CF1254" i="2"/>
  <c r="CE1254" i="2"/>
  <c r="CD1254" i="2"/>
  <c r="CC1254" i="2"/>
  <c r="CB1254" i="2"/>
  <c r="CA1254" i="2"/>
  <c r="BZ1254" i="2"/>
  <c r="BY1254" i="2"/>
  <c r="BX1254" i="2"/>
  <c r="BW1254" i="2"/>
  <c r="X1254" i="2"/>
  <c r="H1254" i="2"/>
  <c r="G1254" i="2"/>
  <c r="F1254" i="2"/>
  <c r="E1254" i="2"/>
  <c r="D1254" i="2"/>
  <c r="C1254" i="2"/>
  <c r="B1254" i="2"/>
  <c r="A1254" i="2"/>
  <c r="CI1253" i="2"/>
  <c r="CH1253" i="2"/>
  <c r="CG1253" i="2"/>
  <c r="CF1253" i="2"/>
  <c r="CE1253" i="2"/>
  <c r="CD1253" i="2"/>
  <c r="CC1253" i="2"/>
  <c r="CB1253" i="2"/>
  <c r="CA1253" i="2"/>
  <c r="BZ1253" i="2"/>
  <c r="BY1253" i="2"/>
  <c r="BX1253" i="2"/>
  <c r="BW1253" i="2"/>
  <c r="Z1253" i="2"/>
  <c r="H1253" i="2"/>
  <c r="G1253" i="2"/>
  <c r="F1253" i="2"/>
  <c r="E1253" i="2"/>
  <c r="D1253" i="2"/>
  <c r="C1253" i="2"/>
  <c r="B1253" i="2"/>
  <c r="A1253" i="2"/>
  <c r="CG1252" i="2"/>
  <c r="CF1252" i="2"/>
  <c r="CE1252" i="2"/>
  <c r="CD1252" i="2"/>
  <c r="CC1252" i="2"/>
  <c r="CB1252" i="2"/>
  <c r="CA1252" i="2"/>
  <c r="BZ1252" i="2"/>
  <c r="BY1252" i="2"/>
  <c r="BX1252" i="2"/>
  <c r="BW1252" i="2"/>
  <c r="Q1252" i="2"/>
  <c r="G1252" i="2"/>
  <c r="F1252" i="2"/>
  <c r="E1252" i="2"/>
  <c r="D1252" i="2"/>
  <c r="C1252" i="2"/>
  <c r="B1252" i="2"/>
  <c r="A1252" i="2"/>
  <c r="CG1251" i="2"/>
  <c r="CF1251" i="2"/>
  <c r="CE1251" i="2"/>
  <c r="CD1251" i="2"/>
  <c r="CC1251" i="2"/>
  <c r="CB1251" i="2"/>
  <c r="CA1251" i="2"/>
  <c r="BZ1251" i="2"/>
  <c r="BY1251" i="2"/>
  <c r="BX1251" i="2"/>
  <c r="BW1251" i="2"/>
  <c r="H1251" i="2"/>
  <c r="G1251" i="2"/>
  <c r="F1251" i="2"/>
  <c r="E1251" i="2"/>
  <c r="D1251" i="2"/>
  <c r="C1251" i="2"/>
  <c r="B1251" i="2"/>
  <c r="A1251" i="2"/>
  <c r="CG1250" i="2"/>
  <c r="CF1250" i="2"/>
  <c r="CE1250" i="2"/>
  <c r="CD1250" i="2"/>
  <c r="CC1250" i="2"/>
  <c r="CB1250" i="2"/>
  <c r="CA1250" i="2"/>
  <c r="BZ1250" i="2"/>
  <c r="BY1250" i="2"/>
  <c r="BX1250" i="2"/>
  <c r="BW1250" i="2"/>
  <c r="H1250" i="2"/>
  <c r="G1250" i="2"/>
  <c r="F1250" i="2"/>
  <c r="E1250" i="2"/>
  <c r="D1250" i="2"/>
  <c r="C1250" i="2"/>
  <c r="B1250" i="2"/>
  <c r="A1250" i="2"/>
  <c r="CG1249" i="2"/>
  <c r="CF1249" i="2"/>
  <c r="CE1249" i="2"/>
  <c r="CD1249" i="2"/>
  <c r="CC1249" i="2"/>
  <c r="CB1249" i="2"/>
  <c r="CA1249" i="2"/>
  <c r="BZ1249" i="2"/>
  <c r="BY1249" i="2"/>
  <c r="BX1249" i="2"/>
  <c r="BW1249" i="2"/>
  <c r="H1249" i="2"/>
  <c r="G1249" i="2"/>
  <c r="F1249" i="2"/>
  <c r="E1249" i="2"/>
  <c r="D1249" i="2"/>
  <c r="C1249" i="2"/>
  <c r="B1249" i="2"/>
  <c r="A1249" i="2"/>
  <c r="CG1248" i="2"/>
  <c r="CF1248" i="2"/>
  <c r="CE1248" i="2"/>
  <c r="CD1248" i="2"/>
  <c r="CC1248" i="2"/>
  <c r="CB1248" i="2"/>
  <c r="CA1248" i="2"/>
  <c r="BZ1248" i="2"/>
  <c r="BY1248" i="2"/>
  <c r="BX1248" i="2"/>
  <c r="BW1248" i="2"/>
  <c r="G1248" i="2"/>
  <c r="F1248" i="2"/>
  <c r="E1248" i="2"/>
  <c r="D1248" i="2"/>
  <c r="C1248" i="2"/>
  <c r="B1248" i="2"/>
  <c r="A1248" i="2"/>
  <c r="CG1247" i="2"/>
  <c r="CF1247" i="2"/>
  <c r="CE1247" i="2"/>
  <c r="CD1247" i="2"/>
  <c r="CC1247" i="2"/>
  <c r="CB1247" i="2"/>
  <c r="CA1247" i="2"/>
  <c r="BZ1247" i="2"/>
  <c r="BY1247" i="2"/>
  <c r="BX1247" i="2"/>
  <c r="BW1247" i="2"/>
  <c r="M1247" i="2"/>
  <c r="G1247" i="2"/>
  <c r="F1247" i="2"/>
  <c r="E1247" i="2"/>
  <c r="D1247" i="2"/>
  <c r="C1247" i="2"/>
  <c r="B1247" i="2"/>
  <c r="A1247" i="2"/>
  <c r="CG1246" i="2"/>
  <c r="CF1246" i="2"/>
  <c r="CE1246" i="2"/>
  <c r="CD1246" i="2"/>
  <c r="CC1246" i="2"/>
  <c r="CB1246" i="2"/>
  <c r="CA1246" i="2"/>
  <c r="BZ1246" i="2"/>
  <c r="BY1246" i="2"/>
  <c r="BX1246" i="2"/>
  <c r="BW1246" i="2"/>
  <c r="M1246" i="2"/>
  <c r="G1246" i="2"/>
  <c r="F1246" i="2"/>
  <c r="E1246" i="2"/>
  <c r="D1246" i="2"/>
  <c r="C1246" i="2"/>
  <c r="B1246" i="2"/>
  <c r="A1246" i="2"/>
  <c r="CG1245" i="2"/>
  <c r="CF1245" i="2"/>
  <c r="CE1245" i="2"/>
  <c r="CD1245" i="2"/>
  <c r="CC1245" i="2"/>
  <c r="CB1245" i="2"/>
  <c r="CA1245" i="2"/>
  <c r="BZ1245" i="2"/>
  <c r="BY1245" i="2"/>
  <c r="BX1245" i="2"/>
  <c r="BW1245" i="2"/>
  <c r="J1245" i="2"/>
  <c r="G1245" i="2"/>
  <c r="F1245" i="2"/>
  <c r="E1245" i="2"/>
  <c r="D1245" i="2"/>
  <c r="C1245" i="2"/>
  <c r="B1245" i="2"/>
  <c r="A1245" i="2"/>
  <c r="CG1244" i="2"/>
  <c r="CF1244" i="2"/>
  <c r="CE1244" i="2"/>
  <c r="CD1244" i="2"/>
  <c r="CC1244" i="2"/>
  <c r="CB1244" i="2"/>
  <c r="CA1244" i="2"/>
  <c r="BZ1244" i="2"/>
  <c r="BY1244" i="2"/>
  <c r="BX1244" i="2"/>
  <c r="BW1244" i="2"/>
  <c r="H1244" i="2"/>
  <c r="G1244" i="2"/>
  <c r="E1244" i="2"/>
  <c r="D1244" i="2"/>
  <c r="C1244" i="2"/>
  <c r="B1244" i="2"/>
  <c r="A1244" i="2"/>
  <c r="CG1243" i="2"/>
  <c r="CF1243" i="2"/>
  <c r="CE1243" i="2"/>
  <c r="CD1243" i="2"/>
  <c r="CC1243" i="2"/>
  <c r="CB1243" i="2"/>
  <c r="CA1243" i="2"/>
  <c r="BZ1243" i="2"/>
  <c r="BY1243" i="2"/>
  <c r="BX1243" i="2"/>
  <c r="BW1243" i="2"/>
  <c r="H1243" i="2"/>
  <c r="G1243" i="2"/>
  <c r="F1243" i="2"/>
  <c r="E1243" i="2"/>
  <c r="D1243" i="2"/>
  <c r="C1243" i="2"/>
  <c r="B1243" i="2"/>
  <c r="A1243" i="2"/>
  <c r="CG1242" i="2"/>
  <c r="CF1242" i="2"/>
  <c r="CE1242" i="2"/>
  <c r="CD1242" i="2"/>
  <c r="CC1242" i="2"/>
  <c r="CB1242" i="2"/>
  <c r="CA1242" i="2"/>
  <c r="BZ1242" i="2"/>
  <c r="BY1242" i="2"/>
  <c r="BX1242" i="2"/>
  <c r="BW1242" i="2"/>
  <c r="M1242" i="2"/>
  <c r="G1242" i="2"/>
  <c r="F1242" i="2"/>
  <c r="E1242" i="2"/>
  <c r="D1242" i="2"/>
  <c r="C1242" i="2"/>
  <c r="B1242" i="2"/>
  <c r="A1242" i="2"/>
  <c r="CG1241" i="2"/>
  <c r="CF1241" i="2"/>
  <c r="CE1241" i="2"/>
  <c r="CD1241" i="2"/>
  <c r="CC1241" i="2"/>
  <c r="CB1241" i="2"/>
  <c r="CA1241" i="2"/>
  <c r="BZ1241" i="2"/>
  <c r="BY1241" i="2"/>
  <c r="BX1241" i="2"/>
  <c r="BW1241" i="2"/>
  <c r="H1241" i="2"/>
  <c r="G1241" i="2"/>
  <c r="F1241" i="2"/>
  <c r="E1241" i="2"/>
  <c r="D1241" i="2"/>
  <c r="C1241" i="2"/>
  <c r="B1241" i="2"/>
  <c r="A1241" i="2"/>
  <c r="CG1240" i="2"/>
  <c r="CF1240" i="2"/>
  <c r="CE1240" i="2"/>
  <c r="CD1240" i="2"/>
  <c r="CC1240" i="2"/>
  <c r="CB1240" i="2"/>
  <c r="CA1240" i="2"/>
  <c r="BZ1240" i="2"/>
  <c r="BY1240" i="2"/>
  <c r="BX1240" i="2"/>
  <c r="BW1240" i="2"/>
  <c r="F1240" i="2"/>
  <c r="E1240" i="2"/>
  <c r="D1240" i="2"/>
  <c r="C1240" i="2"/>
  <c r="B1240" i="2"/>
  <c r="A1240" i="2"/>
  <c r="CI1239" i="2"/>
  <c r="CH1239" i="2"/>
  <c r="CG1239" i="2"/>
  <c r="CF1239" i="2"/>
  <c r="CE1239" i="2"/>
  <c r="CD1239" i="2"/>
  <c r="CC1239" i="2"/>
  <c r="CB1239" i="2"/>
  <c r="CA1239" i="2"/>
  <c r="BZ1239" i="2"/>
  <c r="BY1239" i="2"/>
  <c r="BX1239" i="2"/>
  <c r="BW1239" i="2"/>
  <c r="J1239" i="2"/>
  <c r="G1239" i="2"/>
  <c r="F1239" i="2"/>
  <c r="E1239" i="2"/>
  <c r="D1239" i="2"/>
  <c r="C1239" i="2"/>
  <c r="B1239" i="2"/>
  <c r="A1239" i="2"/>
  <c r="CI1238" i="2"/>
  <c r="CH1238" i="2"/>
  <c r="CG1238" i="2"/>
  <c r="CF1238" i="2"/>
  <c r="CE1238" i="2"/>
  <c r="CD1238" i="2"/>
  <c r="CC1238" i="2"/>
  <c r="CB1238" i="2"/>
  <c r="CA1238" i="2"/>
  <c r="BZ1238" i="2"/>
  <c r="BY1238" i="2"/>
  <c r="BX1238" i="2"/>
  <c r="BW1238" i="2"/>
  <c r="M1238" i="2"/>
  <c r="G1238" i="2"/>
  <c r="F1238" i="2"/>
  <c r="E1238" i="2"/>
  <c r="D1238" i="2"/>
  <c r="C1238" i="2"/>
  <c r="B1238" i="2"/>
  <c r="A1238" i="2"/>
  <c r="CI1237" i="2"/>
  <c r="CH1237" i="2"/>
  <c r="CG1237" i="2"/>
  <c r="CF1237" i="2"/>
  <c r="CE1237" i="2"/>
  <c r="CD1237" i="2"/>
  <c r="CC1237" i="2"/>
  <c r="CB1237" i="2"/>
  <c r="CA1237" i="2"/>
  <c r="BZ1237" i="2"/>
  <c r="BY1237" i="2"/>
  <c r="BX1237" i="2"/>
  <c r="BW1237" i="2"/>
  <c r="P1237" i="2"/>
  <c r="G1237" i="2"/>
  <c r="F1237" i="2"/>
  <c r="E1237" i="2"/>
  <c r="D1237" i="2"/>
  <c r="C1237" i="2"/>
  <c r="B1237" i="2"/>
  <c r="A1237" i="2"/>
  <c r="CI1236" i="2"/>
  <c r="CH1236" i="2"/>
  <c r="CG1236" i="2"/>
  <c r="CF1236" i="2"/>
  <c r="CE1236" i="2"/>
  <c r="CD1236" i="2"/>
  <c r="CC1236" i="2"/>
  <c r="CB1236" i="2"/>
  <c r="CA1236" i="2"/>
  <c r="BZ1236" i="2"/>
  <c r="BY1236" i="2"/>
  <c r="BX1236" i="2"/>
  <c r="BW1236" i="2"/>
  <c r="G1236" i="2"/>
  <c r="F1236" i="2"/>
  <c r="E1236" i="2"/>
  <c r="C1236" i="2"/>
  <c r="B1236" i="2"/>
  <c r="A1236" i="2"/>
  <c r="CI1235" i="2"/>
  <c r="CH1235" i="2"/>
  <c r="CG1235" i="2"/>
  <c r="CF1235" i="2"/>
  <c r="CE1235" i="2"/>
  <c r="CD1235" i="2"/>
  <c r="CC1235" i="2"/>
  <c r="CB1235" i="2"/>
  <c r="CA1235" i="2"/>
  <c r="BZ1235" i="2"/>
  <c r="BY1235" i="2"/>
  <c r="BX1235" i="2"/>
  <c r="BW1235" i="2"/>
  <c r="G1235" i="2"/>
  <c r="F1235" i="2"/>
  <c r="E1235" i="2"/>
  <c r="D1235" i="2"/>
  <c r="C1235" i="2"/>
  <c r="B1235" i="2"/>
  <c r="A1235" i="2"/>
  <c r="CI1234" i="2"/>
  <c r="CH1234" i="2"/>
  <c r="CG1234" i="2"/>
  <c r="CF1234" i="2"/>
  <c r="CE1234" i="2"/>
  <c r="CD1234" i="2"/>
  <c r="CC1234" i="2"/>
  <c r="CB1234" i="2"/>
  <c r="CA1234" i="2"/>
  <c r="BZ1234" i="2"/>
  <c r="BY1234" i="2"/>
  <c r="BX1234" i="2"/>
  <c r="BW1234" i="2"/>
  <c r="S1234" i="2"/>
  <c r="G1234" i="2"/>
  <c r="F1234" i="2"/>
  <c r="E1234" i="2"/>
  <c r="D1234" i="2"/>
  <c r="C1234" i="2"/>
  <c r="B1234" i="2"/>
  <c r="A1234" i="2"/>
  <c r="CG1233" i="2"/>
  <c r="CF1233" i="2"/>
  <c r="CE1233" i="2"/>
  <c r="CD1233" i="2"/>
  <c r="CC1233" i="2"/>
  <c r="CB1233" i="2"/>
  <c r="CA1233" i="2"/>
  <c r="BZ1233" i="2"/>
  <c r="BY1233" i="2"/>
  <c r="BX1233" i="2"/>
  <c r="BW1233" i="2"/>
  <c r="Q1233" i="2"/>
  <c r="G1233" i="2"/>
  <c r="F1233" i="2"/>
  <c r="E1233" i="2"/>
  <c r="D1233" i="2"/>
  <c r="C1233" i="2"/>
  <c r="B1233" i="2"/>
  <c r="A1233" i="2"/>
  <c r="CG1232" i="2"/>
  <c r="CF1232" i="2"/>
  <c r="CE1232" i="2"/>
  <c r="CD1232" i="2"/>
  <c r="CC1232" i="2"/>
  <c r="CB1232" i="2"/>
  <c r="CA1232" i="2"/>
  <c r="BZ1232" i="2"/>
  <c r="BY1232" i="2"/>
  <c r="BX1232" i="2"/>
  <c r="BW1232" i="2"/>
  <c r="S1232" i="2"/>
  <c r="G1232" i="2"/>
  <c r="F1232" i="2"/>
  <c r="E1232" i="2"/>
  <c r="D1232" i="2"/>
  <c r="C1232" i="2"/>
  <c r="B1232" i="2"/>
  <c r="A1232" i="2"/>
  <c r="CG1231" i="2"/>
  <c r="CF1231" i="2"/>
  <c r="CE1231" i="2"/>
  <c r="CD1231" i="2"/>
  <c r="CC1231" i="2"/>
  <c r="CB1231" i="2"/>
  <c r="CA1231" i="2"/>
  <c r="BZ1231" i="2"/>
  <c r="BY1231" i="2"/>
  <c r="BX1231" i="2"/>
  <c r="BW1231" i="2"/>
  <c r="G1231" i="2"/>
  <c r="F1231" i="2"/>
  <c r="E1231" i="2"/>
  <c r="D1231" i="2"/>
  <c r="C1231" i="2"/>
  <c r="B1231" i="2"/>
  <c r="A1231" i="2"/>
  <c r="CG1230" i="2"/>
  <c r="CF1230" i="2"/>
  <c r="CE1230" i="2"/>
  <c r="CD1230" i="2"/>
  <c r="CC1230" i="2"/>
  <c r="CB1230" i="2"/>
  <c r="CA1230" i="2"/>
  <c r="BZ1230" i="2"/>
  <c r="BY1230" i="2"/>
  <c r="BX1230" i="2"/>
  <c r="BW1230" i="2"/>
  <c r="O1230" i="2"/>
  <c r="G1230" i="2"/>
  <c r="F1230" i="2"/>
  <c r="D1230" i="2"/>
  <c r="C1230" i="2"/>
  <c r="B1230" i="2"/>
  <c r="A1230" i="2"/>
  <c r="CG1229" i="2"/>
  <c r="CF1229" i="2"/>
  <c r="CE1229" i="2"/>
  <c r="CD1229" i="2"/>
  <c r="CC1229" i="2"/>
  <c r="CB1229" i="2"/>
  <c r="CA1229" i="2"/>
  <c r="BZ1229" i="2"/>
  <c r="BY1229" i="2"/>
  <c r="BX1229" i="2"/>
  <c r="BW1229" i="2"/>
  <c r="H1229" i="2"/>
  <c r="G1229" i="2"/>
  <c r="F1229" i="2"/>
  <c r="E1229" i="2"/>
  <c r="D1229" i="2"/>
  <c r="C1229" i="2"/>
  <c r="B1229" i="2"/>
  <c r="A1229" i="2"/>
  <c r="CI1228" i="2"/>
  <c r="CH1228" i="2"/>
  <c r="CG1228" i="2"/>
  <c r="CF1228" i="2"/>
  <c r="CE1228" i="2"/>
  <c r="CD1228" i="2"/>
  <c r="CC1228" i="2"/>
  <c r="CB1228" i="2"/>
  <c r="CA1228" i="2"/>
  <c r="BZ1228" i="2"/>
  <c r="BY1228" i="2"/>
  <c r="BX1228" i="2"/>
  <c r="BW1228" i="2"/>
  <c r="G1228" i="2"/>
  <c r="F1228" i="2"/>
  <c r="E1228" i="2"/>
  <c r="D1228" i="2"/>
  <c r="C1228" i="2"/>
  <c r="B1228" i="2"/>
  <c r="A1228" i="2"/>
  <c r="CG1227" i="2"/>
  <c r="CF1227" i="2"/>
  <c r="CE1227" i="2"/>
  <c r="CD1227" i="2"/>
  <c r="CC1227" i="2"/>
  <c r="CB1227" i="2"/>
  <c r="CA1227" i="2"/>
  <c r="BZ1227" i="2"/>
  <c r="BY1227" i="2"/>
  <c r="BX1227" i="2"/>
  <c r="BW1227" i="2"/>
  <c r="U1227" i="2"/>
  <c r="G1227" i="2"/>
  <c r="F1227" i="2"/>
  <c r="E1227" i="2"/>
  <c r="D1227" i="2"/>
  <c r="C1227" i="2"/>
  <c r="B1227" i="2"/>
  <c r="A1227" i="2"/>
  <c r="CG1226" i="2"/>
  <c r="CF1226" i="2"/>
  <c r="CE1226" i="2"/>
  <c r="CD1226" i="2"/>
  <c r="CC1226" i="2"/>
  <c r="CB1226" i="2"/>
  <c r="CA1226" i="2"/>
  <c r="BZ1226" i="2"/>
  <c r="BY1226" i="2"/>
  <c r="BX1226" i="2"/>
  <c r="BW1226" i="2"/>
  <c r="BG1226" i="2"/>
  <c r="W1226" i="2"/>
  <c r="G1226" i="2"/>
  <c r="F1226" i="2"/>
  <c r="E1226" i="2"/>
  <c r="D1226" i="2"/>
  <c r="C1226" i="2"/>
  <c r="B1226" i="2"/>
  <c r="A1226" i="2"/>
  <c r="CG1225" i="2"/>
  <c r="CF1225" i="2"/>
  <c r="CE1225" i="2"/>
  <c r="CD1225" i="2"/>
  <c r="CC1225" i="2"/>
  <c r="CB1225" i="2"/>
  <c r="CA1225" i="2"/>
  <c r="BZ1225" i="2"/>
  <c r="BY1225" i="2"/>
  <c r="BX1225" i="2"/>
  <c r="BW1225" i="2"/>
  <c r="H1225" i="2"/>
  <c r="G1225" i="2"/>
  <c r="F1225" i="2"/>
  <c r="E1225" i="2"/>
  <c r="D1225" i="2"/>
  <c r="C1225" i="2"/>
  <c r="B1225" i="2"/>
  <c r="A1225" i="2"/>
  <c r="CG1224" i="2"/>
  <c r="CF1224" i="2"/>
  <c r="CE1224" i="2"/>
  <c r="CD1224" i="2"/>
  <c r="CC1224" i="2"/>
  <c r="CB1224" i="2"/>
  <c r="CA1224" i="2"/>
  <c r="BZ1224" i="2"/>
  <c r="BY1224" i="2"/>
  <c r="BX1224" i="2"/>
  <c r="BW1224" i="2"/>
  <c r="H1224" i="2"/>
  <c r="G1224" i="2"/>
  <c r="F1224" i="2"/>
  <c r="E1224" i="2"/>
  <c r="D1224" i="2"/>
  <c r="C1224" i="2"/>
  <c r="B1224" i="2"/>
  <c r="A1224" i="2"/>
  <c r="CG1223" i="2"/>
  <c r="CF1223" i="2"/>
  <c r="CE1223" i="2"/>
  <c r="CD1223" i="2"/>
  <c r="CC1223" i="2"/>
  <c r="CB1223" i="2"/>
  <c r="CA1223" i="2"/>
  <c r="BZ1223" i="2"/>
  <c r="BY1223" i="2"/>
  <c r="BX1223" i="2"/>
  <c r="BW1223" i="2"/>
  <c r="G1223" i="2"/>
  <c r="F1223" i="2"/>
  <c r="E1223" i="2"/>
  <c r="D1223" i="2"/>
  <c r="C1223" i="2"/>
  <c r="B1223" i="2"/>
  <c r="A1223" i="2"/>
  <c r="CG1222" i="2"/>
  <c r="CF1222" i="2"/>
  <c r="CE1222" i="2"/>
  <c r="CD1222" i="2"/>
  <c r="CC1222" i="2"/>
  <c r="CB1222" i="2"/>
  <c r="CA1222" i="2"/>
  <c r="BZ1222" i="2"/>
  <c r="BY1222" i="2"/>
  <c r="BX1222" i="2"/>
  <c r="BW1222" i="2"/>
  <c r="H1222" i="2"/>
  <c r="G1222" i="2"/>
  <c r="F1222" i="2"/>
  <c r="E1222" i="2"/>
  <c r="D1222" i="2"/>
  <c r="C1222" i="2"/>
  <c r="B1222" i="2"/>
  <c r="A1222" i="2"/>
  <c r="CG1221" i="2"/>
  <c r="CF1221" i="2"/>
  <c r="CE1221" i="2"/>
  <c r="CD1221" i="2"/>
  <c r="CC1221" i="2"/>
  <c r="CB1221" i="2"/>
  <c r="CA1221" i="2"/>
  <c r="BZ1221" i="2"/>
  <c r="BY1221" i="2"/>
  <c r="BX1221" i="2"/>
  <c r="BW1221" i="2"/>
  <c r="H1221" i="2"/>
  <c r="G1221" i="2"/>
  <c r="F1221" i="2"/>
  <c r="E1221" i="2"/>
  <c r="D1221" i="2"/>
  <c r="C1221" i="2"/>
  <c r="B1221" i="2"/>
  <c r="A1221" i="2"/>
  <c r="CG1220" i="2"/>
  <c r="CF1220" i="2"/>
  <c r="CE1220" i="2"/>
  <c r="CD1220" i="2"/>
  <c r="CC1220" i="2"/>
  <c r="CB1220" i="2"/>
  <c r="CA1220" i="2"/>
  <c r="BZ1220" i="2"/>
  <c r="BY1220" i="2"/>
  <c r="BX1220" i="2"/>
  <c r="BW1220" i="2"/>
  <c r="P1220" i="2"/>
  <c r="G1220" i="2"/>
  <c r="F1220" i="2"/>
  <c r="E1220" i="2"/>
  <c r="D1220" i="2"/>
  <c r="C1220" i="2"/>
  <c r="B1220" i="2"/>
  <c r="A1220" i="2"/>
  <c r="CG1219" i="2"/>
  <c r="CF1219" i="2"/>
  <c r="CE1219" i="2"/>
  <c r="CD1219" i="2"/>
  <c r="CC1219" i="2"/>
  <c r="CB1219" i="2"/>
  <c r="CA1219" i="2"/>
  <c r="BZ1219" i="2"/>
  <c r="BY1219" i="2"/>
  <c r="BX1219" i="2"/>
  <c r="BW1219" i="2"/>
  <c r="H1219" i="2"/>
  <c r="G1219" i="2"/>
  <c r="F1219" i="2"/>
  <c r="E1219" i="2"/>
  <c r="D1219" i="2"/>
  <c r="C1219" i="2"/>
  <c r="B1219" i="2"/>
  <c r="A1219" i="2"/>
  <c r="CG1218" i="2"/>
  <c r="CF1218" i="2"/>
  <c r="CE1218" i="2"/>
  <c r="CD1218" i="2"/>
  <c r="CC1218" i="2"/>
  <c r="CB1218" i="2"/>
  <c r="CA1218" i="2"/>
  <c r="BZ1218" i="2"/>
  <c r="BY1218" i="2"/>
  <c r="BX1218" i="2"/>
  <c r="BW1218" i="2"/>
  <c r="H1218" i="2"/>
  <c r="G1218" i="2"/>
  <c r="F1218" i="2"/>
  <c r="E1218" i="2"/>
  <c r="D1218" i="2"/>
  <c r="C1218" i="2"/>
  <c r="B1218" i="2"/>
  <c r="A1218" i="2"/>
  <c r="CG1217" i="2"/>
  <c r="CF1217" i="2"/>
  <c r="CE1217" i="2"/>
  <c r="CD1217" i="2"/>
  <c r="CC1217" i="2"/>
  <c r="CB1217" i="2"/>
  <c r="CA1217" i="2"/>
  <c r="BZ1217" i="2"/>
  <c r="BY1217" i="2"/>
  <c r="BX1217" i="2"/>
  <c r="BW1217" i="2"/>
  <c r="P1217" i="2"/>
  <c r="G1217" i="2"/>
  <c r="F1217" i="2"/>
  <c r="E1217" i="2"/>
  <c r="D1217" i="2"/>
  <c r="C1217" i="2"/>
  <c r="B1217" i="2"/>
  <c r="A1217" i="2"/>
  <c r="CG1216" i="2"/>
  <c r="CF1216" i="2"/>
  <c r="CE1216" i="2"/>
  <c r="CD1216" i="2"/>
  <c r="CC1216" i="2"/>
  <c r="CB1216" i="2"/>
  <c r="CA1216" i="2"/>
  <c r="BZ1216" i="2"/>
  <c r="BY1216" i="2"/>
  <c r="BX1216" i="2"/>
  <c r="BW1216" i="2"/>
  <c r="O1216" i="2"/>
  <c r="G1216" i="2"/>
  <c r="F1216" i="2"/>
  <c r="E1216" i="2"/>
  <c r="D1216" i="2"/>
  <c r="C1216" i="2"/>
  <c r="B1216" i="2"/>
  <c r="A1216" i="2"/>
  <c r="CG1215" i="2"/>
  <c r="CF1215" i="2"/>
  <c r="CE1215" i="2"/>
  <c r="CD1215" i="2"/>
  <c r="CC1215" i="2"/>
  <c r="CB1215" i="2"/>
  <c r="CA1215" i="2"/>
  <c r="BZ1215" i="2"/>
  <c r="BY1215" i="2"/>
  <c r="BX1215" i="2"/>
  <c r="BW1215" i="2"/>
  <c r="S1215" i="2"/>
  <c r="G1215" i="2"/>
  <c r="F1215" i="2"/>
  <c r="E1215" i="2"/>
  <c r="D1215" i="2"/>
  <c r="C1215" i="2"/>
  <c r="B1215" i="2"/>
  <c r="A1215" i="2"/>
  <c r="CG1214" i="2"/>
  <c r="CF1214" i="2"/>
  <c r="CE1214" i="2"/>
  <c r="CD1214" i="2"/>
  <c r="CC1214" i="2"/>
  <c r="CB1214" i="2"/>
  <c r="CA1214" i="2"/>
  <c r="BZ1214" i="2"/>
  <c r="BY1214" i="2"/>
  <c r="BX1214" i="2"/>
  <c r="BW1214" i="2"/>
  <c r="J1214" i="2"/>
  <c r="G1214" i="2"/>
  <c r="F1214" i="2"/>
  <c r="E1214" i="2"/>
  <c r="D1214" i="2"/>
  <c r="C1214" i="2"/>
  <c r="B1214" i="2"/>
  <c r="A1214" i="2"/>
  <c r="CG1213" i="2"/>
  <c r="CF1213" i="2"/>
  <c r="CE1213" i="2"/>
  <c r="CD1213" i="2"/>
  <c r="CC1213" i="2"/>
  <c r="CB1213" i="2"/>
  <c r="CA1213" i="2"/>
  <c r="BZ1213" i="2"/>
  <c r="BY1213" i="2"/>
  <c r="BX1213" i="2"/>
  <c r="BW1213" i="2"/>
  <c r="V1213" i="2"/>
  <c r="G1213" i="2"/>
  <c r="F1213" i="2"/>
  <c r="E1213" i="2"/>
  <c r="D1213" i="2"/>
  <c r="C1213" i="2"/>
  <c r="B1213" i="2"/>
  <c r="A1213" i="2"/>
  <c r="CG1212" i="2"/>
  <c r="CF1212" i="2"/>
  <c r="CE1212" i="2"/>
  <c r="CD1212" i="2"/>
  <c r="CC1212" i="2"/>
  <c r="CB1212" i="2"/>
  <c r="CA1212" i="2"/>
  <c r="BZ1212" i="2"/>
  <c r="BY1212" i="2"/>
  <c r="BX1212" i="2"/>
  <c r="BW1212" i="2"/>
  <c r="G1212" i="2"/>
  <c r="F1212" i="2"/>
  <c r="E1212" i="2"/>
  <c r="D1212" i="2"/>
  <c r="C1212" i="2"/>
  <c r="B1212" i="2"/>
  <c r="A1212" i="2"/>
  <c r="CG1211" i="2"/>
  <c r="CF1211" i="2"/>
  <c r="CE1211" i="2"/>
  <c r="CD1211" i="2"/>
  <c r="CC1211" i="2"/>
  <c r="CB1211" i="2"/>
  <c r="CA1211" i="2"/>
  <c r="BZ1211" i="2"/>
  <c r="BY1211" i="2"/>
  <c r="BX1211" i="2"/>
  <c r="BW1211" i="2"/>
  <c r="H1211" i="2"/>
  <c r="G1211" i="2"/>
  <c r="F1211" i="2"/>
  <c r="E1211" i="2"/>
  <c r="D1211" i="2"/>
  <c r="C1211" i="2"/>
  <c r="B1211" i="2"/>
  <c r="A1211" i="2"/>
  <c r="CG1210" i="2"/>
  <c r="CF1210" i="2"/>
  <c r="CE1210" i="2"/>
  <c r="CD1210" i="2"/>
  <c r="CC1210" i="2"/>
  <c r="CB1210" i="2"/>
  <c r="CA1210" i="2"/>
  <c r="BZ1210" i="2"/>
  <c r="BY1210" i="2"/>
  <c r="BX1210" i="2"/>
  <c r="BW1210" i="2"/>
  <c r="J1210" i="2"/>
  <c r="G1210" i="2"/>
  <c r="F1210" i="2"/>
  <c r="E1210" i="2"/>
  <c r="D1210" i="2"/>
  <c r="C1210" i="2"/>
  <c r="B1210" i="2"/>
  <c r="A1210" i="2"/>
  <c r="CG1209" i="2"/>
  <c r="CF1209" i="2"/>
  <c r="CE1209" i="2"/>
  <c r="CD1209" i="2"/>
  <c r="CC1209" i="2"/>
  <c r="CB1209" i="2"/>
  <c r="CA1209" i="2"/>
  <c r="BZ1209" i="2"/>
  <c r="BY1209" i="2"/>
  <c r="BX1209" i="2"/>
  <c r="BW1209" i="2"/>
  <c r="H1209" i="2"/>
  <c r="G1209" i="2"/>
  <c r="F1209" i="2"/>
  <c r="E1209" i="2"/>
  <c r="D1209" i="2"/>
  <c r="C1209" i="2"/>
  <c r="B1209" i="2"/>
  <c r="A1209" i="2"/>
  <c r="CG1208" i="2"/>
  <c r="CF1208" i="2"/>
  <c r="CE1208" i="2"/>
  <c r="CD1208" i="2"/>
  <c r="CC1208" i="2"/>
  <c r="CB1208" i="2"/>
  <c r="CA1208" i="2"/>
  <c r="BZ1208" i="2"/>
  <c r="BY1208" i="2"/>
  <c r="BX1208" i="2"/>
  <c r="BW1208" i="2"/>
  <c r="L1208" i="2"/>
  <c r="G1208" i="2"/>
  <c r="F1208" i="2"/>
  <c r="E1208" i="2"/>
  <c r="D1208" i="2"/>
  <c r="C1208" i="2"/>
  <c r="B1208" i="2"/>
  <c r="A1208" i="2"/>
  <c r="CG1207" i="2"/>
  <c r="CF1207" i="2"/>
  <c r="CE1207" i="2"/>
  <c r="CD1207" i="2"/>
  <c r="CC1207" i="2"/>
  <c r="CB1207" i="2"/>
  <c r="CA1207" i="2"/>
  <c r="BZ1207" i="2"/>
  <c r="BY1207" i="2"/>
  <c r="BX1207" i="2"/>
  <c r="BW1207" i="2"/>
  <c r="H1207" i="2"/>
  <c r="G1207" i="2"/>
  <c r="F1207" i="2"/>
  <c r="E1207" i="2"/>
  <c r="D1207" i="2"/>
  <c r="C1207" i="2"/>
  <c r="B1207" i="2"/>
  <c r="A1207" i="2"/>
  <c r="CG1206" i="2"/>
  <c r="CF1206" i="2"/>
  <c r="CE1206" i="2"/>
  <c r="CD1206" i="2"/>
  <c r="CC1206" i="2"/>
  <c r="CB1206" i="2"/>
  <c r="CA1206" i="2"/>
  <c r="BZ1206" i="2"/>
  <c r="BY1206" i="2"/>
  <c r="BX1206" i="2"/>
  <c r="BW1206" i="2"/>
  <c r="M1206" i="2"/>
  <c r="G1206" i="2"/>
  <c r="F1206" i="2"/>
  <c r="E1206" i="2"/>
  <c r="D1206" i="2"/>
  <c r="C1206" i="2"/>
  <c r="B1206" i="2"/>
  <c r="A1206" i="2"/>
  <c r="CG1205" i="2"/>
  <c r="CF1205" i="2"/>
  <c r="CE1205" i="2"/>
  <c r="CD1205" i="2"/>
  <c r="CC1205" i="2"/>
  <c r="CB1205" i="2"/>
  <c r="CA1205" i="2"/>
  <c r="BZ1205" i="2"/>
  <c r="BY1205" i="2"/>
  <c r="BX1205" i="2"/>
  <c r="BW1205" i="2"/>
  <c r="L1205" i="2"/>
  <c r="G1205" i="2"/>
  <c r="F1205" i="2"/>
  <c r="E1205" i="2"/>
  <c r="D1205" i="2"/>
  <c r="C1205" i="2"/>
  <c r="B1205" i="2"/>
  <c r="A1205" i="2"/>
  <c r="CG1204" i="2"/>
  <c r="CF1204" i="2"/>
  <c r="CE1204" i="2"/>
  <c r="CD1204" i="2"/>
  <c r="CC1204" i="2"/>
  <c r="CB1204" i="2"/>
  <c r="CA1204" i="2"/>
  <c r="BZ1204" i="2"/>
  <c r="BY1204" i="2"/>
  <c r="BX1204" i="2"/>
  <c r="BW1204" i="2"/>
  <c r="L1204" i="2"/>
  <c r="G1204" i="2"/>
  <c r="F1204" i="2"/>
  <c r="E1204" i="2"/>
  <c r="D1204" i="2"/>
  <c r="C1204" i="2"/>
  <c r="B1204" i="2"/>
  <c r="A1204" i="2"/>
  <c r="CG1203" i="2"/>
  <c r="CF1203" i="2"/>
  <c r="CE1203" i="2"/>
  <c r="CD1203" i="2"/>
  <c r="CC1203" i="2"/>
  <c r="CB1203" i="2"/>
  <c r="CA1203" i="2"/>
  <c r="BZ1203" i="2"/>
  <c r="BY1203" i="2"/>
  <c r="BX1203" i="2"/>
  <c r="BW1203" i="2"/>
  <c r="L1203" i="2"/>
  <c r="G1203" i="2"/>
  <c r="F1203" i="2"/>
  <c r="E1203" i="2"/>
  <c r="D1203" i="2"/>
  <c r="C1203" i="2"/>
  <c r="B1203" i="2"/>
  <c r="A1203" i="2"/>
  <c r="CG1202" i="2"/>
  <c r="CF1202" i="2"/>
  <c r="CE1202" i="2"/>
  <c r="CD1202" i="2"/>
  <c r="CC1202" i="2"/>
  <c r="CB1202" i="2"/>
  <c r="CA1202" i="2"/>
  <c r="BZ1202" i="2"/>
  <c r="BY1202" i="2"/>
  <c r="BX1202" i="2"/>
  <c r="BW1202" i="2"/>
  <c r="G1202" i="2"/>
  <c r="F1202" i="2"/>
  <c r="E1202" i="2"/>
  <c r="D1202" i="2"/>
  <c r="C1202" i="2"/>
  <c r="B1202" i="2"/>
  <c r="A1202" i="2"/>
  <c r="CG1201" i="2"/>
  <c r="CF1201" i="2"/>
  <c r="CE1201" i="2"/>
  <c r="CD1201" i="2"/>
  <c r="CC1201" i="2"/>
  <c r="CB1201" i="2"/>
  <c r="CA1201" i="2"/>
  <c r="BZ1201" i="2"/>
  <c r="BY1201" i="2"/>
  <c r="BX1201" i="2"/>
  <c r="BW1201" i="2"/>
  <c r="L1201" i="2"/>
  <c r="G1201" i="2"/>
  <c r="F1201" i="2"/>
  <c r="E1201" i="2"/>
  <c r="D1201" i="2"/>
  <c r="C1201" i="2"/>
  <c r="B1201" i="2"/>
  <c r="A1201" i="2"/>
  <c r="CG1200" i="2"/>
  <c r="CF1200" i="2"/>
  <c r="CE1200" i="2"/>
  <c r="CD1200" i="2"/>
  <c r="CC1200" i="2"/>
  <c r="CB1200" i="2"/>
  <c r="CA1200" i="2"/>
  <c r="BZ1200" i="2"/>
  <c r="BY1200" i="2"/>
  <c r="BX1200" i="2"/>
  <c r="BW1200" i="2"/>
  <c r="U1200" i="2"/>
  <c r="G1200" i="2"/>
  <c r="F1200" i="2"/>
  <c r="E1200" i="2"/>
  <c r="D1200" i="2"/>
  <c r="C1200" i="2"/>
  <c r="B1200" i="2"/>
  <c r="A1200" i="2"/>
  <c r="CG1199" i="2"/>
  <c r="CF1199" i="2"/>
  <c r="CE1199" i="2"/>
  <c r="CD1199" i="2"/>
  <c r="CC1199" i="2"/>
  <c r="CB1199" i="2"/>
  <c r="CA1199" i="2"/>
  <c r="BZ1199" i="2"/>
  <c r="BY1199" i="2"/>
  <c r="BX1199" i="2"/>
  <c r="BW1199" i="2"/>
  <c r="H1199" i="2"/>
  <c r="G1199" i="2"/>
  <c r="F1199" i="2"/>
  <c r="E1199" i="2"/>
  <c r="D1199" i="2"/>
  <c r="C1199" i="2"/>
  <c r="B1199" i="2"/>
  <c r="A1199" i="2"/>
  <c r="CG1198" i="2"/>
  <c r="CF1198" i="2"/>
  <c r="CE1198" i="2"/>
  <c r="CD1198" i="2"/>
  <c r="CC1198" i="2"/>
  <c r="CB1198" i="2"/>
  <c r="CA1198" i="2"/>
  <c r="BZ1198" i="2"/>
  <c r="BY1198" i="2"/>
  <c r="BX1198" i="2"/>
  <c r="BW1198" i="2"/>
  <c r="O1198" i="2"/>
  <c r="G1198" i="2"/>
  <c r="F1198" i="2"/>
  <c r="E1198" i="2"/>
  <c r="D1198" i="2"/>
  <c r="C1198" i="2"/>
  <c r="B1198" i="2"/>
  <c r="A1198" i="2"/>
  <c r="CG1197" i="2"/>
  <c r="CF1197" i="2"/>
  <c r="CE1197" i="2"/>
  <c r="CD1197" i="2"/>
  <c r="CC1197" i="2"/>
  <c r="CB1197" i="2"/>
  <c r="CA1197" i="2"/>
  <c r="BZ1197" i="2"/>
  <c r="BY1197" i="2"/>
  <c r="BX1197" i="2"/>
  <c r="BW1197" i="2"/>
  <c r="P1197" i="2"/>
  <c r="G1197" i="2"/>
  <c r="F1197" i="2"/>
  <c r="E1197" i="2"/>
  <c r="D1197" i="2"/>
  <c r="C1197" i="2"/>
  <c r="B1197" i="2"/>
  <c r="A1197" i="2"/>
  <c r="CG1196" i="2"/>
  <c r="CF1196" i="2"/>
  <c r="CE1196" i="2"/>
  <c r="CD1196" i="2"/>
  <c r="CC1196" i="2"/>
  <c r="CB1196" i="2"/>
  <c r="CA1196" i="2"/>
  <c r="BZ1196" i="2"/>
  <c r="BY1196" i="2"/>
  <c r="BX1196" i="2"/>
  <c r="BW1196" i="2"/>
  <c r="P1196" i="2"/>
  <c r="G1196" i="2"/>
  <c r="F1196" i="2"/>
  <c r="E1196" i="2"/>
  <c r="D1196" i="2"/>
  <c r="C1196" i="2"/>
  <c r="B1196" i="2"/>
  <c r="A1196" i="2"/>
  <c r="CG1195" i="2"/>
  <c r="CF1195" i="2"/>
  <c r="CE1195" i="2"/>
  <c r="CD1195" i="2"/>
  <c r="CC1195" i="2"/>
  <c r="CB1195" i="2"/>
  <c r="CA1195" i="2"/>
  <c r="BZ1195" i="2"/>
  <c r="BY1195" i="2"/>
  <c r="BX1195" i="2"/>
  <c r="BW1195" i="2"/>
  <c r="H1195" i="2"/>
  <c r="G1195" i="2"/>
  <c r="F1195" i="2"/>
  <c r="E1195" i="2"/>
  <c r="D1195" i="2"/>
  <c r="C1195" i="2"/>
  <c r="B1195" i="2"/>
  <c r="A1195" i="2"/>
  <c r="CG1194" i="2"/>
  <c r="CF1194" i="2"/>
  <c r="CE1194" i="2"/>
  <c r="CD1194" i="2"/>
  <c r="CC1194" i="2"/>
  <c r="CB1194" i="2"/>
  <c r="CA1194" i="2"/>
  <c r="BZ1194" i="2"/>
  <c r="BY1194" i="2"/>
  <c r="BX1194" i="2"/>
  <c r="BW1194" i="2"/>
  <c r="M1194" i="2"/>
  <c r="G1194" i="2"/>
  <c r="F1194" i="2"/>
  <c r="E1194" i="2"/>
  <c r="D1194" i="2"/>
  <c r="C1194" i="2"/>
  <c r="B1194" i="2"/>
  <c r="A1194" i="2"/>
  <c r="CG1193" i="2"/>
  <c r="CF1193" i="2"/>
  <c r="CE1193" i="2"/>
  <c r="CD1193" i="2"/>
  <c r="CC1193" i="2"/>
  <c r="CB1193" i="2"/>
  <c r="CA1193" i="2"/>
  <c r="BZ1193" i="2"/>
  <c r="BY1193" i="2"/>
  <c r="BX1193" i="2"/>
  <c r="BW1193" i="2"/>
  <c r="L1193" i="2"/>
  <c r="G1193" i="2"/>
  <c r="F1193" i="2"/>
  <c r="E1193" i="2"/>
  <c r="D1193" i="2"/>
  <c r="C1193" i="2"/>
  <c r="B1193" i="2"/>
  <c r="A1193" i="2"/>
  <c r="CG1192" i="2"/>
  <c r="CF1192" i="2"/>
  <c r="CE1192" i="2"/>
  <c r="CD1192" i="2"/>
  <c r="CC1192" i="2"/>
  <c r="CB1192" i="2"/>
  <c r="CA1192" i="2"/>
  <c r="BZ1192" i="2"/>
  <c r="BY1192" i="2"/>
  <c r="BX1192" i="2"/>
  <c r="BW1192" i="2"/>
  <c r="G1192" i="2"/>
  <c r="F1192" i="2"/>
  <c r="E1192" i="2"/>
  <c r="D1192" i="2"/>
  <c r="C1192" i="2"/>
  <c r="B1192" i="2"/>
  <c r="A1192" i="2"/>
  <c r="CG1191" i="2"/>
  <c r="CF1191" i="2"/>
  <c r="CE1191" i="2"/>
  <c r="CD1191" i="2"/>
  <c r="CC1191" i="2"/>
  <c r="CB1191" i="2"/>
  <c r="CA1191" i="2"/>
  <c r="BZ1191" i="2"/>
  <c r="BY1191" i="2"/>
  <c r="BX1191" i="2"/>
  <c r="BW1191" i="2"/>
  <c r="M1191" i="2"/>
  <c r="G1191" i="2"/>
  <c r="F1191" i="2"/>
  <c r="E1191" i="2"/>
  <c r="D1191" i="2"/>
  <c r="C1191" i="2"/>
  <c r="B1191" i="2"/>
  <c r="A1191" i="2"/>
  <c r="CG1190" i="2"/>
  <c r="CF1190" i="2"/>
  <c r="CE1190" i="2"/>
  <c r="CD1190" i="2"/>
  <c r="CC1190" i="2"/>
  <c r="CB1190" i="2"/>
  <c r="CA1190" i="2"/>
  <c r="BZ1190" i="2"/>
  <c r="BY1190" i="2"/>
  <c r="BX1190" i="2"/>
  <c r="BW1190" i="2"/>
  <c r="U1190" i="2"/>
  <c r="G1190" i="2"/>
  <c r="F1190" i="2"/>
  <c r="E1190" i="2"/>
  <c r="D1190" i="2"/>
  <c r="C1190" i="2"/>
  <c r="B1190" i="2"/>
  <c r="A1190" i="2"/>
  <c r="CG1189" i="2"/>
  <c r="CF1189" i="2"/>
  <c r="CE1189" i="2"/>
  <c r="CD1189" i="2"/>
  <c r="CC1189" i="2"/>
  <c r="CB1189" i="2"/>
  <c r="CA1189" i="2"/>
  <c r="BZ1189" i="2"/>
  <c r="BY1189" i="2"/>
  <c r="BX1189" i="2"/>
  <c r="BW1189" i="2"/>
  <c r="H1189" i="2"/>
  <c r="G1189" i="2"/>
  <c r="F1189" i="2"/>
  <c r="E1189" i="2"/>
  <c r="D1189" i="2"/>
  <c r="C1189" i="2"/>
  <c r="B1189" i="2"/>
  <c r="A1189" i="2"/>
  <c r="CG1188" i="2"/>
  <c r="CF1188" i="2"/>
  <c r="CE1188" i="2"/>
  <c r="CD1188" i="2"/>
  <c r="CC1188" i="2"/>
  <c r="CB1188" i="2"/>
  <c r="CA1188" i="2"/>
  <c r="BZ1188" i="2"/>
  <c r="BY1188" i="2"/>
  <c r="BX1188" i="2"/>
  <c r="BW1188" i="2"/>
  <c r="H1188" i="2"/>
  <c r="G1188" i="2"/>
  <c r="F1188" i="2"/>
  <c r="E1188" i="2"/>
  <c r="D1188" i="2"/>
  <c r="C1188" i="2"/>
  <c r="B1188" i="2"/>
  <c r="A1188" i="2"/>
  <c r="CG1187" i="2"/>
  <c r="CF1187" i="2"/>
  <c r="CE1187" i="2"/>
  <c r="CD1187" i="2"/>
  <c r="CC1187" i="2"/>
  <c r="CB1187" i="2"/>
  <c r="CA1187" i="2"/>
  <c r="BZ1187" i="2"/>
  <c r="BY1187" i="2"/>
  <c r="BX1187" i="2"/>
  <c r="BW1187" i="2"/>
  <c r="H1187" i="2"/>
  <c r="G1187" i="2"/>
  <c r="F1187" i="2"/>
  <c r="E1187" i="2"/>
  <c r="D1187" i="2"/>
  <c r="C1187" i="2"/>
  <c r="B1187" i="2"/>
  <c r="A1187" i="2"/>
  <c r="CG1186" i="2"/>
  <c r="CF1186" i="2"/>
  <c r="CE1186" i="2"/>
  <c r="CD1186" i="2"/>
  <c r="CC1186" i="2"/>
  <c r="CB1186" i="2"/>
  <c r="CA1186" i="2"/>
  <c r="BZ1186" i="2"/>
  <c r="BY1186" i="2"/>
  <c r="BX1186" i="2"/>
  <c r="BW1186" i="2"/>
  <c r="O1186" i="2"/>
  <c r="G1186" i="2"/>
  <c r="F1186" i="2"/>
  <c r="E1186" i="2"/>
  <c r="D1186" i="2"/>
  <c r="C1186" i="2"/>
  <c r="B1186" i="2"/>
  <c r="A1186" i="2"/>
  <c r="CG1185" i="2"/>
  <c r="CF1185" i="2"/>
  <c r="CE1185" i="2"/>
  <c r="CD1185" i="2"/>
  <c r="CC1185" i="2"/>
  <c r="CB1185" i="2"/>
  <c r="CA1185" i="2"/>
  <c r="BZ1185" i="2"/>
  <c r="BY1185" i="2"/>
  <c r="BX1185" i="2"/>
  <c r="BW1185" i="2"/>
  <c r="M1185" i="2"/>
  <c r="G1185" i="2"/>
  <c r="F1185" i="2"/>
  <c r="E1185" i="2"/>
  <c r="D1185" i="2"/>
  <c r="C1185" i="2"/>
  <c r="B1185" i="2"/>
  <c r="A1185" i="2"/>
  <c r="CG1184" i="2"/>
  <c r="CF1184" i="2"/>
  <c r="CE1184" i="2"/>
  <c r="CD1184" i="2"/>
  <c r="CC1184" i="2"/>
  <c r="CB1184" i="2"/>
  <c r="CA1184" i="2"/>
  <c r="BZ1184" i="2"/>
  <c r="BY1184" i="2"/>
  <c r="BX1184" i="2"/>
  <c r="BW1184" i="2"/>
  <c r="BI1184" i="2"/>
  <c r="W1184" i="2"/>
  <c r="G1184" i="2"/>
  <c r="F1184" i="2"/>
  <c r="E1184" i="2"/>
  <c r="D1184" i="2"/>
  <c r="C1184" i="2"/>
  <c r="B1184" i="2"/>
  <c r="A1184" i="2"/>
  <c r="CG1183" i="2"/>
  <c r="CF1183" i="2"/>
  <c r="CE1183" i="2"/>
  <c r="CD1183" i="2"/>
  <c r="CC1183" i="2"/>
  <c r="CB1183" i="2"/>
  <c r="CA1183" i="2"/>
  <c r="BZ1183" i="2"/>
  <c r="BY1183" i="2"/>
  <c r="BX1183" i="2"/>
  <c r="BW1183" i="2"/>
  <c r="H1183" i="2"/>
  <c r="G1183" i="2"/>
  <c r="F1183" i="2"/>
  <c r="E1183" i="2"/>
  <c r="D1183" i="2"/>
  <c r="C1183" i="2"/>
  <c r="B1183" i="2"/>
  <c r="A1183" i="2"/>
  <c r="CG1182" i="2"/>
  <c r="CF1182" i="2"/>
  <c r="CE1182" i="2"/>
  <c r="CD1182" i="2"/>
  <c r="CC1182" i="2"/>
  <c r="CB1182" i="2"/>
  <c r="CA1182" i="2"/>
  <c r="BZ1182" i="2"/>
  <c r="BY1182" i="2"/>
  <c r="BX1182" i="2"/>
  <c r="BW1182" i="2"/>
  <c r="H1182" i="2"/>
  <c r="G1182" i="2"/>
  <c r="F1182" i="2"/>
  <c r="E1182" i="2"/>
  <c r="D1182" i="2"/>
  <c r="C1182" i="2"/>
  <c r="B1182" i="2"/>
  <c r="A1182" i="2"/>
  <c r="CG1181" i="2"/>
  <c r="CF1181" i="2"/>
  <c r="CE1181" i="2"/>
  <c r="CD1181" i="2"/>
  <c r="CC1181" i="2"/>
  <c r="CB1181" i="2"/>
  <c r="CA1181" i="2"/>
  <c r="BZ1181" i="2"/>
  <c r="BY1181" i="2"/>
  <c r="BX1181" i="2"/>
  <c r="BW1181" i="2"/>
  <c r="H1181" i="2"/>
  <c r="G1181" i="2"/>
  <c r="F1181" i="2"/>
  <c r="E1181" i="2"/>
  <c r="D1181" i="2"/>
  <c r="C1181" i="2"/>
  <c r="B1181" i="2"/>
  <c r="A1181" i="2"/>
  <c r="CG1180" i="2"/>
  <c r="CF1180" i="2"/>
  <c r="CE1180" i="2"/>
  <c r="CD1180" i="2"/>
  <c r="CC1180" i="2"/>
  <c r="CB1180" i="2"/>
  <c r="CA1180" i="2"/>
  <c r="BZ1180" i="2"/>
  <c r="BY1180" i="2"/>
  <c r="BX1180" i="2"/>
  <c r="BW1180" i="2"/>
  <c r="R1180" i="2"/>
  <c r="G1180" i="2"/>
  <c r="F1180" i="2"/>
  <c r="E1180" i="2"/>
  <c r="D1180" i="2"/>
  <c r="C1180" i="2"/>
  <c r="B1180" i="2"/>
  <c r="A1180" i="2"/>
  <c r="CG1179" i="2"/>
  <c r="CF1179" i="2"/>
  <c r="CE1179" i="2"/>
  <c r="CD1179" i="2"/>
  <c r="CC1179" i="2"/>
  <c r="CB1179" i="2"/>
  <c r="CA1179" i="2"/>
  <c r="BZ1179" i="2"/>
  <c r="BY1179" i="2"/>
  <c r="BX1179" i="2"/>
  <c r="BW1179" i="2"/>
  <c r="O1179" i="2"/>
  <c r="G1179" i="2"/>
  <c r="F1179" i="2"/>
  <c r="E1179" i="2"/>
  <c r="D1179" i="2"/>
  <c r="C1179" i="2"/>
  <c r="B1179" i="2"/>
  <c r="A1179" i="2"/>
  <c r="CG1178" i="2"/>
  <c r="CF1178" i="2"/>
  <c r="CE1178" i="2"/>
  <c r="CD1178" i="2"/>
  <c r="CC1178" i="2"/>
  <c r="CB1178" i="2"/>
  <c r="CA1178" i="2"/>
  <c r="BZ1178" i="2"/>
  <c r="BY1178" i="2"/>
  <c r="BX1178" i="2"/>
  <c r="BW1178" i="2"/>
  <c r="W1178" i="2"/>
  <c r="G1178" i="2"/>
  <c r="F1178" i="2"/>
  <c r="E1178" i="2"/>
  <c r="D1178" i="2"/>
  <c r="C1178" i="2"/>
  <c r="B1178" i="2"/>
  <c r="A1178" i="2"/>
  <c r="CG1177" i="2"/>
  <c r="CF1177" i="2"/>
  <c r="CE1177" i="2"/>
  <c r="CD1177" i="2"/>
  <c r="CC1177" i="2"/>
  <c r="CB1177" i="2"/>
  <c r="CA1177" i="2"/>
  <c r="BZ1177" i="2"/>
  <c r="BY1177" i="2"/>
  <c r="BX1177" i="2"/>
  <c r="BW1177" i="2"/>
  <c r="L1177" i="2"/>
  <c r="G1177" i="2"/>
  <c r="F1177" i="2"/>
  <c r="E1177" i="2"/>
  <c r="D1177" i="2"/>
  <c r="C1177" i="2"/>
  <c r="B1177" i="2"/>
  <c r="A1177" i="2"/>
  <c r="CG1176" i="2"/>
  <c r="CF1176" i="2"/>
  <c r="CE1176" i="2"/>
  <c r="CD1176" i="2"/>
  <c r="CC1176" i="2"/>
  <c r="CB1176" i="2"/>
  <c r="CA1176" i="2"/>
  <c r="BZ1176" i="2"/>
  <c r="BY1176" i="2"/>
  <c r="BX1176" i="2"/>
  <c r="BW1176" i="2"/>
  <c r="T1176" i="2"/>
  <c r="G1176" i="2"/>
  <c r="F1176" i="2"/>
  <c r="E1176" i="2"/>
  <c r="D1176" i="2"/>
  <c r="C1176" i="2"/>
  <c r="B1176" i="2"/>
  <c r="A1176" i="2"/>
  <c r="CG1175" i="2"/>
  <c r="CF1175" i="2"/>
  <c r="CE1175" i="2"/>
  <c r="CD1175" i="2"/>
  <c r="CC1175" i="2"/>
  <c r="CB1175" i="2"/>
  <c r="CA1175" i="2"/>
  <c r="BZ1175" i="2"/>
  <c r="BY1175" i="2"/>
  <c r="BX1175" i="2"/>
  <c r="BW1175" i="2"/>
  <c r="H1175" i="2"/>
  <c r="G1175" i="2"/>
  <c r="F1175" i="2"/>
  <c r="E1175" i="2"/>
  <c r="D1175" i="2"/>
  <c r="C1175" i="2"/>
  <c r="B1175" i="2"/>
  <c r="A1175" i="2"/>
  <c r="CG1174" i="2"/>
  <c r="CF1174" i="2"/>
  <c r="CE1174" i="2"/>
  <c r="CD1174" i="2"/>
  <c r="CC1174" i="2"/>
  <c r="CB1174" i="2"/>
  <c r="CA1174" i="2"/>
  <c r="BZ1174" i="2"/>
  <c r="BY1174" i="2"/>
  <c r="BX1174" i="2"/>
  <c r="BW1174" i="2"/>
  <c r="T1174" i="2"/>
  <c r="G1174" i="2"/>
  <c r="F1174" i="2"/>
  <c r="E1174" i="2"/>
  <c r="D1174" i="2"/>
  <c r="C1174" i="2"/>
  <c r="B1174" i="2"/>
  <c r="A1174" i="2"/>
  <c r="CG1173" i="2"/>
  <c r="CF1173" i="2"/>
  <c r="CE1173" i="2"/>
  <c r="CD1173" i="2"/>
  <c r="CC1173" i="2"/>
  <c r="CB1173" i="2"/>
  <c r="CA1173" i="2"/>
  <c r="BZ1173" i="2"/>
  <c r="BY1173" i="2"/>
  <c r="BX1173" i="2"/>
  <c r="BW1173" i="2"/>
  <c r="M1173" i="2"/>
  <c r="G1173" i="2"/>
  <c r="F1173" i="2"/>
  <c r="E1173" i="2"/>
  <c r="D1173" i="2"/>
  <c r="C1173" i="2"/>
  <c r="B1173" i="2"/>
  <c r="A1173" i="2"/>
  <c r="CG1172" i="2"/>
  <c r="CF1172" i="2"/>
  <c r="CE1172" i="2"/>
  <c r="CD1172" i="2"/>
  <c r="CC1172" i="2"/>
  <c r="CB1172" i="2"/>
  <c r="CA1172" i="2"/>
  <c r="BZ1172" i="2"/>
  <c r="BY1172" i="2"/>
  <c r="BX1172" i="2"/>
  <c r="BW1172" i="2"/>
  <c r="H1172" i="2"/>
  <c r="G1172" i="2"/>
  <c r="F1172" i="2"/>
  <c r="E1172" i="2"/>
  <c r="D1172" i="2"/>
  <c r="C1172" i="2"/>
  <c r="B1172" i="2"/>
  <c r="A1172" i="2"/>
  <c r="CG1171" i="2"/>
  <c r="CF1171" i="2"/>
  <c r="CE1171" i="2"/>
  <c r="CD1171" i="2"/>
  <c r="CC1171" i="2"/>
  <c r="CB1171" i="2"/>
  <c r="CA1171" i="2"/>
  <c r="BZ1171" i="2"/>
  <c r="BY1171" i="2"/>
  <c r="BX1171" i="2"/>
  <c r="BW1171" i="2"/>
  <c r="N1171" i="2"/>
  <c r="G1171" i="2"/>
  <c r="F1171" i="2"/>
  <c r="E1171" i="2"/>
  <c r="D1171" i="2"/>
  <c r="C1171" i="2"/>
  <c r="B1171" i="2"/>
  <c r="A1171" i="2"/>
  <c r="CG1170" i="2"/>
  <c r="CF1170" i="2"/>
  <c r="CE1170" i="2"/>
  <c r="CD1170" i="2"/>
  <c r="CC1170" i="2"/>
  <c r="CB1170" i="2"/>
  <c r="CA1170" i="2"/>
  <c r="BZ1170" i="2"/>
  <c r="BY1170" i="2"/>
  <c r="BX1170" i="2"/>
  <c r="BW1170" i="2"/>
  <c r="L1170" i="2"/>
  <c r="G1170" i="2"/>
  <c r="F1170" i="2"/>
  <c r="E1170" i="2"/>
  <c r="D1170" i="2"/>
  <c r="C1170" i="2"/>
  <c r="B1170" i="2"/>
  <c r="A1170" i="2"/>
  <c r="CG1169" i="2"/>
  <c r="CF1169" i="2"/>
  <c r="CE1169" i="2"/>
  <c r="CD1169" i="2"/>
  <c r="CC1169" i="2"/>
  <c r="CB1169" i="2"/>
  <c r="CA1169" i="2"/>
  <c r="BZ1169" i="2"/>
  <c r="BY1169" i="2"/>
  <c r="BX1169" i="2"/>
  <c r="BW1169" i="2"/>
  <c r="M1169" i="2"/>
  <c r="G1169" i="2"/>
  <c r="F1169" i="2"/>
  <c r="E1169" i="2"/>
  <c r="D1169" i="2"/>
  <c r="C1169" i="2"/>
  <c r="B1169" i="2"/>
  <c r="A1169" i="2"/>
  <c r="CG1168" i="2"/>
  <c r="CF1168" i="2"/>
  <c r="CE1168" i="2"/>
  <c r="CD1168" i="2"/>
  <c r="CC1168" i="2"/>
  <c r="CB1168" i="2"/>
  <c r="CA1168" i="2"/>
  <c r="BZ1168" i="2"/>
  <c r="BY1168" i="2"/>
  <c r="BX1168" i="2"/>
  <c r="BW1168" i="2"/>
  <c r="O1168" i="2"/>
  <c r="G1168" i="2"/>
  <c r="F1168" i="2"/>
  <c r="E1168" i="2"/>
  <c r="D1168" i="2"/>
  <c r="C1168" i="2"/>
  <c r="B1168" i="2"/>
  <c r="A1168" i="2"/>
  <c r="CG1167" i="2"/>
  <c r="CF1167" i="2"/>
  <c r="CE1167" i="2"/>
  <c r="CD1167" i="2"/>
  <c r="CC1167" i="2"/>
  <c r="CB1167" i="2"/>
  <c r="CA1167" i="2"/>
  <c r="BZ1167" i="2"/>
  <c r="BY1167" i="2"/>
  <c r="BX1167" i="2"/>
  <c r="BW1167" i="2"/>
  <c r="H1167" i="2"/>
  <c r="G1167" i="2"/>
  <c r="F1167" i="2"/>
  <c r="E1167" i="2"/>
  <c r="D1167" i="2"/>
  <c r="C1167" i="2"/>
  <c r="B1167" i="2"/>
  <c r="A1167" i="2"/>
  <c r="CG1166" i="2"/>
  <c r="CF1166" i="2"/>
  <c r="CE1166" i="2"/>
  <c r="CD1166" i="2"/>
  <c r="CC1166" i="2"/>
  <c r="CB1166" i="2"/>
  <c r="CA1166" i="2"/>
  <c r="BZ1166" i="2"/>
  <c r="BY1166" i="2"/>
  <c r="BX1166" i="2"/>
  <c r="BW1166" i="2"/>
  <c r="H1166" i="2"/>
  <c r="G1166" i="2"/>
  <c r="F1166" i="2"/>
  <c r="E1166" i="2"/>
  <c r="D1166" i="2"/>
  <c r="C1166" i="2"/>
  <c r="B1166" i="2"/>
  <c r="A1166" i="2"/>
  <c r="CG1165" i="2"/>
  <c r="CF1165" i="2"/>
  <c r="CE1165" i="2"/>
  <c r="CD1165" i="2"/>
  <c r="CC1165" i="2"/>
  <c r="CB1165" i="2"/>
  <c r="CA1165" i="2"/>
  <c r="BZ1165" i="2"/>
  <c r="BY1165" i="2"/>
  <c r="BX1165" i="2"/>
  <c r="BW1165" i="2"/>
  <c r="U1165" i="2"/>
  <c r="G1165" i="2"/>
  <c r="D1165" i="2"/>
  <c r="C1165" i="2"/>
  <c r="B1165" i="2"/>
  <c r="A1165" i="2"/>
  <c r="CG1164" i="2"/>
  <c r="CF1164" i="2"/>
  <c r="CE1164" i="2"/>
  <c r="CD1164" i="2"/>
  <c r="CC1164" i="2"/>
  <c r="CB1164" i="2"/>
  <c r="CA1164" i="2"/>
  <c r="BZ1164" i="2"/>
  <c r="BY1164" i="2"/>
  <c r="BX1164" i="2"/>
  <c r="BW1164" i="2"/>
  <c r="S1164" i="2"/>
  <c r="G1164" i="2"/>
  <c r="F1164" i="2"/>
  <c r="E1164" i="2"/>
  <c r="D1164" i="2"/>
  <c r="C1164" i="2"/>
  <c r="B1164" i="2"/>
  <c r="A1164" i="2"/>
  <c r="CG1163" i="2"/>
  <c r="CF1163" i="2"/>
  <c r="CE1163" i="2"/>
  <c r="CD1163" i="2"/>
  <c r="CC1163" i="2"/>
  <c r="CB1163" i="2"/>
  <c r="CA1163" i="2"/>
  <c r="BZ1163" i="2"/>
  <c r="BY1163" i="2"/>
  <c r="BX1163" i="2"/>
  <c r="BW1163" i="2"/>
  <c r="H1163" i="2"/>
  <c r="G1163" i="2"/>
  <c r="F1163" i="2"/>
  <c r="E1163" i="2"/>
  <c r="D1163" i="2"/>
  <c r="C1163" i="2"/>
  <c r="B1163" i="2"/>
  <c r="A1163" i="2"/>
  <c r="CG1162" i="2"/>
  <c r="CF1162" i="2"/>
  <c r="CE1162" i="2"/>
  <c r="CD1162" i="2"/>
  <c r="CC1162" i="2"/>
  <c r="CB1162" i="2"/>
  <c r="CA1162" i="2"/>
  <c r="BZ1162" i="2"/>
  <c r="BY1162" i="2"/>
  <c r="BX1162" i="2"/>
  <c r="BW1162" i="2"/>
  <c r="Q1162" i="2"/>
  <c r="G1162" i="2"/>
  <c r="F1162" i="2"/>
  <c r="E1162" i="2"/>
  <c r="D1162" i="2"/>
  <c r="C1162" i="2"/>
  <c r="B1162" i="2"/>
  <c r="A1162" i="2"/>
  <c r="CG1161" i="2"/>
  <c r="CF1161" i="2"/>
  <c r="CE1161" i="2"/>
  <c r="CD1161" i="2"/>
  <c r="CC1161" i="2"/>
  <c r="CB1161" i="2"/>
  <c r="CA1161" i="2"/>
  <c r="BZ1161" i="2"/>
  <c r="BY1161" i="2"/>
  <c r="BX1161" i="2"/>
  <c r="BW1161" i="2"/>
  <c r="R1161" i="2"/>
  <c r="G1161" i="2"/>
  <c r="F1161" i="2"/>
  <c r="E1161" i="2"/>
  <c r="D1161" i="2"/>
  <c r="C1161" i="2"/>
  <c r="B1161" i="2"/>
  <c r="A1161" i="2"/>
  <c r="CG1160" i="2"/>
  <c r="CF1160" i="2"/>
  <c r="CE1160" i="2"/>
  <c r="CD1160" i="2"/>
  <c r="CC1160" i="2"/>
  <c r="CB1160" i="2"/>
  <c r="CA1160" i="2"/>
  <c r="BZ1160" i="2"/>
  <c r="BY1160" i="2"/>
  <c r="BX1160" i="2"/>
  <c r="BW1160" i="2"/>
  <c r="V1160" i="2"/>
  <c r="G1160" i="2"/>
  <c r="E1160" i="2"/>
  <c r="D1160" i="2"/>
  <c r="C1160" i="2"/>
  <c r="B1160" i="2"/>
  <c r="A1160" i="2"/>
  <c r="CG1159" i="2"/>
  <c r="CF1159" i="2"/>
  <c r="CE1159" i="2"/>
  <c r="CD1159" i="2"/>
  <c r="CC1159" i="2"/>
  <c r="CB1159" i="2"/>
  <c r="CA1159" i="2"/>
  <c r="BZ1159" i="2"/>
  <c r="BY1159" i="2"/>
  <c r="BX1159" i="2"/>
  <c r="BW1159" i="2"/>
  <c r="G1159" i="2"/>
  <c r="F1159" i="2"/>
  <c r="E1159" i="2"/>
  <c r="D1159" i="2"/>
  <c r="C1159" i="2"/>
  <c r="B1159" i="2"/>
  <c r="A1159" i="2"/>
  <c r="CG1158" i="2"/>
  <c r="CF1158" i="2"/>
  <c r="CE1158" i="2"/>
  <c r="CD1158" i="2"/>
  <c r="CC1158" i="2"/>
  <c r="CB1158" i="2"/>
  <c r="CA1158" i="2"/>
  <c r="BZ1158" i="2"/>
  <c r="BY1158" i="2"/>
  <c r="BX1158" i="2"/>
  <c r="BW1158" i="2"/>
  <c r="H1158" i="2"/>
  <c r="G1158" i="2"/>
  <c r="F1158" i="2"/>
  <c r="E1158" i="2"/>
  <c r="D1158" i="2"/>
  <c r="C1158" i="2"/>
  <c r="B1158" i="2"/>
  <c r="A1158" i="2"/>
  <c r="CG1157" i="2"/>
  <c r="CF1157" i="2"/>
  <c r="CE1157" i="2"/>
  <c r="CD1157" i="2"/>
  <c r="CC1157" i="2"/>
  <c r="CB1157" i="2"/>
  <c r="CA1157" i="2"/>
  <c r="BZ1157" i="2"/>
  <c r="BY1157" i="2"/>
  <c r="BX1157" i="2"/>
  <c r="BW1157" i="2"/>
  <c r="W1157" i="2"/>
  <c r="G1157" i="2"/>
  <c r="F1157" i="2"/>
  <c r="E1157" i="2"/>
  <c r="D1157" i="2"/>
  <c r="C1157" i="2"/>
  <c r="B1157" i="2"/>
  <c r="A1157" i="2"/>
  <c r="CG1156" i="2"/>
  <c r="CF1156" i="2"/>
  <c r="CE1156" i="2"/>
  <c r="CD1156" i="2"/>
  <c r="CC1156" i="2"/>
  <c r="CB1156" i="2"/>
  <c r="CA1156" i="2"/>
  <c r="BZ1156" i="2"/>
  <c r="BY1156" i="2"/>
  <c r="BX1156" i="2"/>
  <c r="BW1156" i="2"/>
  <c r="BG1156" i="2"/>
  <c r="W1156" i="2"/>
  <c r="G1156" i="2"/>
  <c r="F1156" i="2"/>
  <c r="E1156" i="2"/>
  <c r="D1156" i="2"/>
  <c r="C1156" i="2"/>
  <c r="B1156" i="2"/>
  <c r="A1156" i="2"/>
  <c r="CG1155" i="2"/>
  <c r="CF1155" i="2"/>
  <c r="CE1155" i="2"/>
  <c r="CD1155" i="2"/>
  <c r="CC1155" i="2"/>
  <c r="CB1155" i="2"/>
  <c r="CA1155" i="2"/>
  <c r="BZ1155" i="2"/>
  <c r="BY1155" i="2"/>
  <c r="BX1155" i="2"/>
  <c r="BW1155" i="2"/>
  <c r="H1155" i="2"/>
  <c r="G1155" i="2"/>
  <c r="F1155" i="2"/>
  <c r="E1155" i="2"/>
  <c r="D1155" i="2"/>
  <c r="C1155" i="2"/>
  <c r="B1155" i="2"/>
  <c r="A1155" i="2"/>
  <c r="CG1154" i="2"/>
  <c r="CF1154" i="2"/>
  <c r="CE1154" i="2"/>
  <c r="CD1154" i="2"/>
  <c r="CC1154" i="2"/>
  <c r="CB1154" i="2"/>
  <c r="CA1154" i="2"/>
  <c r="BZ1154" i="2"/>
  <c r="BY1154" i="2"/>
  <c r="BX1154" i="2"/>
  <c r="BW1154" i="2"/>
  <c r="L1154" i="2"/>
  <c r="G1154" i="2"/>
  <c r="F1154" i="2"/>
  <c r="E1154" i="2"/>
  <c r="D1154" i="2"/>
  <c r="C1154" i="2"/>
  <c r="B1154" i="2"/>
  <c r="A1154" i="2"/>
  <c r="CG1153" i="2"/>
  <c r="CF1153" i="2"/>
  <c r="CE1153" i="2"/>
  <c r="CD1153" i="2"/>
  <c r="CC1153" i="2"/>
  <c r="CB1153" i="2"/>
  <c r="CA1153" i="2"/>
  <c r="BZ1153" i="2"/>
  <c r="BY1153" i="2"/>
  <c r="BX1153" i="2"/>
  <c r="BW1153" i="2"/>
  <c r="T1153" i="2"/>
  <c r="G1153" i="2"/>
  <c r="F1153" i="2"/>
  <c r="E1153" i="2"/>
  <c r="D1153" i="2"/>
  <c r="C1153" i="2"/>
  <c r="B1153" i="2"/>
  <c r="A1153" i="2"/>
  <c r="CG1152" i="2"/>
  <c r="CF1152" i="2"/>
  <c r="CE1152" i="2"/>
  <c r="CD1152" i="2"/>
  <c r="CC1152" i="2"/>
  <c r="CB1152" i="2"/>
  <c r="CA1152" i="2"/>
  <c r="BZ1152" i="2"/>
  <c r="BY1152" i="2"/>
  <c r="BX1152" i="2"/>
  <c r="BW1152" i="2"/>
  <c r="P1152" i="2"/>
  <c r="G1152" i="2"/>
  <c r="F1152" i="2"/>
  <c r="E1152" i="2"/>
  <c r="D1152" i="2"/>
  <c r="C1152" i="2"/>
  <c r="B1152" i="2"/>
  <c r="A1152" i="2"/>
  <c r="CG1151" i="2"/>
  <c r="CF1151" i="2"/>
  <c r="CE1151" i="2"/>
  <c r="CD1151" i="2"/>
  <c r="CC1151" i="2"/>
  <c r="CB1151" i="2"/>
  <c r="CA1151" i="2"/>
  <c r="BZ1151" i="2"/>
  <c r="BY1151" i="2"/>
  <c r="BX1151" i="2"/>
  <c r="BW1151" i="2"/>
  <c r="U1151" i="2"/>
  <c r="G1151" i="2"/>
  <c r="F1151" i="2"/>
  <c r="E1151" i="2"/>
  <c r="D1151" i="2"/>
  <c r="C1151" i="2"/>
  <c r="B1151" i="2"/>
  <c r="A1151" i="2"/>
  <c r="CG1150" i="2"/>
  <c r="CF1150" i="2"/>
  <c r="CE1150" i="2"/>
  <c r="CD1150" i="2"/>
  <c r="CC1150" i="2"/>
  <c r="CB1150" i="2"/>
  <c r="CA1150" i="2"/>
  <c r="BZ1150" i="2"/>
  <c r="BY1150" i="2"/>
  <c r="BX1150" i="2"/>
  <c r="BW1150" i="2"/>
  <c r="T1150" i="2"/>
  <c r="G1150" i="2"/>
  <c r="F1150" i="2"/>
  <c r="E1150" i="2"/>
  <c r="D1150" i="2"/>
  <c r="C1150" i="2"/>
  <c r="B1150" i="2"/>
  <c r="A1150" i="2"/>
  <c r="CG1149" i="2"/>
  <c r="CF1149" i="2"/>
  <c r="CE1149" i="2"/>
  <c r="CD1149" i="2"/>
  <c r="CC1149" i="2"/>
  <c r="CB1149" i="2"/>
  <c r="CA1149" i="2"/>
  <c r="BZ1149" i="2"/>
  <c r="BY1149" i="2"/>
  <c r="BX1149" i="2"/>
  <c r="BW1149" i="2"/>
  <c r="L1149" i="2"/>
  <c r="G1149" i="2"/>
  <c r="F1149" i="2"/>
  <c r="E1149" i="2"/>
  <c r="D1149" i="2"/>
  <c r="C1149" i="2"/>
  <c r="B1149" i="2"/>
  <c r="A1149" i="2"/>
  <c r="CG1148" i="2"/>
  <c r="CF1148" i="2"/>
  <c r="CE1148" i="2"/>
  <c r="CD1148" i="2"/>
  <c r="CC1148" i="2"/>
  <c r="CB1148" i="2"/>
  <c r="CA1148" i="2"/>
  <c r="BZ1148" i="2"/>
  <c r="BY1148" i="2"/>
  <c r="BX1148" i="2"/>
  <c r="BW1148" i="2"/>
  <c r="T1148" i="2"/>
  <c r="G1148" i="2"/>
  <c r="F1148" i="2"/>
  <c r="E1148" i="2"/>
  <c r="D1148" i="2"/>
  <c r="C1148" i="2"/>
  <c r="B1148" i="2"/>
  <c r="A1148" i="2"/>
  <c r="CG1147" i="2"/>
  <c r="CF1147" i="2"/>
  <c r="CE1147" i="2"/>
  <c r="CD1147" i="2"/>
  <c r="CC1147" i="2"/>
  <c r="CB1147" i="2"/>
  <c r="CA1147" i="2"/>
  <c r="BZ1147" i="2"/>
  <c r="BY1147" i="2"/>
  <c r="BX1147" i="2"/>
  <c r="BW1147" i="2"/>
  <c r="T1147" i="2"/>
  <c r="G1147" i="2"/>
  <c r="F1147" i="2"/>
  <c r="E1147" i="2"/>
  <c r="D1147" i="2"/>
  <c r="C1147" i="2"/>
  <c r="B1147" i="2"/>
  <c r="A1147" i="2"/>
  <c r="CG1146" i="2"/>
  <c r="CF1146" i="2"/>
  <c r="CE1146" i="2"/>
  <c r="CD1146" i="2"/>
  <c r="CC1146" i="2"/>
  <c r="CB1146" i="2"/>
  <c r="CA1146" i="2"/>
  <c r="BZ1146" i="2"/>
  <c r="BY1146" i="2"/>
  <c r="BX1146" i="2"/>
  <c r="BW1146" i="2"/>
  <c r="J1146" i="2"/>
  <c r="G1146" i="2"/>
  <c r="F1146" i="2"/>
  <c r="E1146" i="2"/>
  <c r="D1146" i="2"/>
  <c r="C1146" i="2"/>
  <c r="B1146" i="2"/>
  <c r="A1146" i="2"/>
  <c r="CG1145" i="2"/>
  <c r="CF1145" i="2"/>
  <c r="CE1145" i="2"/>
  <c r="CD1145" i="2"/>
  <c r="CC1145" i="2"/>
  <c r="CB1145" i="2"/>
  <c r="CA1145" i="2"/>
  <c r="BZ1145" i="2"/>
  <c r="BY1145" i="2"/>
  <c r="BX1145" i="2"/>
  <c r="BW1145" i="2"/>
  <c r="R1145" i="2"/>
  <c r="G1145" i="2"/>
  <c r="F1145" i="2"/>
  <c r="E1145" i="2"/>
  <c r="D1145" i="2"/>
  <c r="C1145" i="2"/>
  <c r="B1145" i="2"/>
  <c r="A1145" i="2"/>
  <c r="CG1144" i="2"/>
  <c r="CF1144" i="2"/>
  <c r="CE1144" i="2"/>
  <c r="CD1144" i="2"/>
  <c r="CC1144" i="2"/>
  <c r="CB1144" i="2"/>
  <c r="CA1144" i="2"/>
  <c r="BZ1144" i="2"/>
  <c r="BY1144" i="2"/>
  <c r="BX1144" i="2"/>
  <c r="BW1144" i="2"/>
  <c r="L1144" i="2"/>
  <c r="G1144" i="2"/>
  <c r="F1144" i="2"/>
  <c r="E1144" i="2"/>
  <c r="D1144" i="2"/>
  <c r="C1144" i="2"/>
  <c r="B1144" i="2"/>
  <c r="A1144" i="2"/>
  <c r="CG1143" i="2"/>
  <c r="CF1143" i="2"/>
  <c r="CE1143" i="2"/>
  <c r="CD1143" i="2"/>
  <c r="CC1143" i="2"/>
  <c r="CB1143" i="2"/>
  <c r="CA1143" i="2"/>
  <c r="BZ1143" i="2"/>
  <c r="BY1143" i="2"/>
  <c r="BX1143" i="2"/>
  <c r="BW1143" i="2"/>
  <c r="BH1143" i="2"/>
  <c r="W1143" i="2"/>
  <c r="G1143" i="2"/>
  <c r="E1143" i="2"/>
  <c r="D1143" i="2"/>
  <c r="C1143" i="2"/>
  <c r="B1143" i="2"/>
  <c r="A1143" i="2"/>
  <c r="CG1142" i="2"/>
  <c r="CF1142" i="2"/>
  <c r="CE1142" i="2"/>
  <c r="CD1142" i="2"/>
  <c r="CC1142" i="2"/>
  <c r="CB1142" i="2"/>
  <c r="CA1142" i="2"/>
  <c r="BZ1142" i="2"/>
  <c r="BY1142" i="2"/>
  <c r="BX1142" i="2"/>
  <c r="BW1142" i="2"/>
  <c r="H1142" i="2"/>
  <c r="G1142" i="2"/>
  <c r="F1142" i="2"/>
  <c r="E1142" i="2"/>
  <c r="D1142" i="2"/>
  <c r="C1142" i="2"/>
  <c r="B1142" i="2"/>
  <c r="A1142" i="2"/>
  <c r="CG1141" i="2"/>
  <c r="CF1141" i="2"/>
  <c r="CE1141" i="2"/>
  <c r="CD1141" i="2"/>
  <c r="CC1141" i="2"/>
  <c r="CB1141" i="2"/>
  <c r="CA1141" i="2"/>
  <c r="BZ1141" i="2"/>
  <c r="BY1141" i="2"/>
  <c r="BX1141" i="2"/>
  <c r="BW1141" i="2"/>
  <c r="H1141" i="2"/>
  <c r="G1141" i="2"/>
  <c r="D1141" i="2"/>
  <c r="C1141" i="2"/>
  <c r="B1141" i="2"/>
  <c r="A1141" i="2"/>
  <c r="CG1140" i="2"/>
  <c r="CF1140" i="2"/>
  <c r="CE1140" i="2"/>
  <c r="CD1140" i="2"/>
  <c r="CC1140" i="2"/>
  <c r="CB1140" i="2"/>
  <c r="CA1140" i="2"/>
  <c r="BZ1140" i="2"/>
  <c r="BY1140" i="2"/>
  <c r="BX1140" i="2"/>
  <c r="BW1140" i="2"/>
  <c r="BH1140" i="2"/>
  <c r="W1140" i="2"/>
  <c r="G1140" i="2"/>
  <c r="F1140" i="2"/>
  <c r="E1140" i="2"/>
  <c r="D1140" i="2"/>
  <c r="C1140" i="2"/>
  <c r="B1140" i="2"/>
  <c r="A1140" i="2"/>
  <c r="CG1139" i="2"/>
  <c r="CF1139" i="2"/>
  <c r="CE1139" i="2"/>
  <c r="CD1139" i="2"/>
  <c r="CC1139" i="2"/>
  <c r="CB1139" i="2"/>
  <c r="CA1139" i="2"/>
  <c r="BZ1139" i="2"/>
  <c r="BY1139" i="2"/>
  <c r="BX1139" i="2"/>
  <c r="BW1139" i="2"/>
  <c r="T1139" i="2"/>
  <c r="G1139" i="2"/>
  <c r="F1139" i="2"/>
  <c r="E1139" i="2"/>
  <c r="D1139" i="2"/>
  <c r="C1139" i="2"/>
  <c r="B1139" i="2"/>
  <c r="A1139" i="2"/>
  <c r="CG1138" i="2"/>
  <c r="CF1138" i="2"/>
  <c r="CE1138" i="2"/>
  <c r="CD1138" i="2"/>
  <c r="CC1138" i="2"/>
  <c r="CB1138" i="2"/>
  <c r="CA1138" i="2"/>
  <c r="BZ1138" i="2"/>
  <c r="BY1138" i="2"/>
  <c r="BX1138" i="2"/>
  <c r="BW1138" i="2"/>
  <c r="J1138" i="2"/>
  <c r="G1138" i="2"/>
  <c r="F1138" i="2"/>
  <c r="E1138" i="2"/>
  <c r="D1138" i="2"/>
  <c r="C1138" i="2"/>
  <c r="B1138" i="2"/>
  <c r="A1138" i="2"/>
  <c r="CG1137" i="2"/>
  <c r="CF1137" i="2"/>
  <c r="CE1137" i="2"/>
  <c r="CD1137" i="2"/>
  <c r="CC1137" i="2"/>
  <c r="CB1137" i="2"/>
  <c r="CA1137" i="2"/>
  <c r="BZ1137" i="2"/>
  <c r="BY1137" i="2"/>
  <c r="BX1137" i="2"/>
  <c r="BW1137" i="2"/>
  <c r="H1137" i="2"/>
  <c r="G1137" i="2"/>
  <c r="F1137" i="2"/>
  <c r="E1137" i="2"/>
  <c r="D1137" i="2"/>
  <c r="C1137" i="2"/>
  <c r="B1137" i="2"/>
  <c r="A1137" i="2"/>
  <c r="CG1136" i="2"/>
  <c r="CF1136" i="2"/>
  <c r="CE1136" i="2"/>
  <c r="CD1136" i="2"/>
  <c r="CC1136" i="2"/>
  <c r="CB1136" i="2"/>
  <c r="CA1136" i="2"/>
  <c r="BZ1136" i="2"/>
  <c r="BY1136" i="2"/>
  <c r="BX1136" i="2"/>
  <c r="BW1136" i="2"/>
  <c r="L1136" i="2"/>
  <c r="G1136" i="2"/>
  <c r="E1136" i="2"/>
  <c r="D1136" i="2"/>
  <c r="C1136" i="2"/>
  <c r="B1136" i="2"/>
  <c r="A1136" i="2"/>
  <c r="CG1135" i="2"/>
  <c r="CF1135" i="2"/>
  <c r="CE1135" i="2"/>
  <c r="CD1135" i="2"/>
  <c r="CC1135" i="2"/>
  <c r="CB1135" i="2"/>
  <c r="CA1135" i="2"/>
  <c r="BZ1135" i="2"/>
  <c r="BY1135" i="2"/>
  <c r="BX1135" i="2"/>
  <c r="BW1135" i="2"/>
  <c r="BG1135" i="2"/>
  <c r="W1135" i="2"/>
  <c r="G1135" i="2"/>
  <c r="F1135" i="2"/>
  <c r="E1135" i="2"/>
  <c r="D1135" i="2"/>
  <c r="C1135" i="2"/>
  <c r="B1135" i="2"/>
  <c r="A1135" i="2"/>
  <c r="CG1134" i="2"/>
  <c r="CF1134" i="2"/>
  <c r="CE1134" i="2"/>
  <c r="CD1134" i="2"/>
  <c r="CC1134" i="2"/>
  <c r="CB1134" i="2"/>
  <c r="CA1134" i="2"/>
  <c r="BZ1134" i="2"/>
  <c r="BY1134" i="2"/>
  <c r="BX1134" i="2"/>
  <c r="BW1134" i="2"/>
  <c r="M1134" i="2"/>
  <c r="G1134" i="2"/>
  <c r="F1134" i="2"/>
  <c r="E1134" i="2"/>
  <c r="D1134" i="2"/>
  <c r="C1134" i="2"/>
  <c r="B1134" i="2"/>
  <c r="A1134" i="2"/>
  <c r="CG1133" i="2"/>
  <c r="CF1133" i="2"/>
  <c r="CE1133" i="2"/>
  <c r="CD1133" i="2"/>
  <c r="CC1133" i="2"/>
  <c r="CB1133" i="2"/>
  <c r="CA1133" i="2"/>
  <c r="BZ1133" i="2"/>
  <c r="BY1133" i="2"/>
  <c r="BX1133" i="2"/>
  <c r="BW1133" i="2"/>
  <c r="M1133" i="2"/>
  <c r="G1133" i="2"/>
  <c r="F1133" i="2"/>
  <c r="E1133" i="2"/>
  <c r="D1133" i="2"/>
  <c r="C1133" i="2"/>
  <c r="B1133" i="2"/>
  <c r="A1133" i="2"/>
  <c r="CG1132" i="2"/>
  <c r="CF1132" i="2"/>
  <c r="CE1132" i="2"/>
  <c r="CD1132" i="2"/>
  <c r="CC1132" i="2"/>
  <c r="CB1132" i="2"/>
  <c r="CA1132" i="2"/>
  <c r="BZ1132" i="2"/>
  <c r="BY1132" i="2"/>
  <c r="BX1132" i="2"/>
  <c r="BW1132" i="2"/>
  <c r="U1132" i="2"/>
  <c r="G1132" i="2"/>
  <c r="F1132" i="2"/>
  <c r="E1132" i="2"/>
  <c r="D1132" i="2"/>
  <c r="C1132" i="2"/>
  <c r="B1132" i="2"/>
  <c r="A1132" i="2"/>
  <c r="CG1131" i="2"/>
  <c r="CF1131" i="2"/>
  <c r="CE1131" i="2"/>
  <c r="CD1131" i="2"/>
  <c r="CC1131" i="2"/>
  <c r="CB1131" i="2"/>
  <c r="CA1131" i="2"/>
  <c r="BZ1131" i="2"/>
  <c r="BY1131" i="2"/>
  <c r="BX1131" i="2"/>
  <c r="BW1131" i="2"/>
  <c r="V1131" i="2"/>
  <c r="G1131" i="2"/>
  <c r="F1131" i="2"/>
  <c r="E1131" i="2"/>
  <c r="D1131" i="2"/>
  <c r="C1131" i="2"/>
  <c r="B1131" i="2"/>
  <c r="A1131" i="2"/>
  <c r="CG1130" i="2"/>
  <c r="CF1130" i="2"/>
  <c r="CE1130" i="2"/>
  <c r="CD1130" i="2"/>
  <c r="CC1130" i="2"/>
  <c r="CB1130" i="2"/>
  <c r="CA1130" i="2"/>
  <c r="BZ1130" i="2"/>
  <c r="BY1130" i="2"/>
  <c r="BX1130" i="2"/>
  <c r="BW1130" i="2"/>
  <c r="H1130" i="2"/>
  <c r="G1130" i="2"/>
  <c r="F1130" i="2"/>
  <c r="E1130" i="2"/>
  <c r="D1130" i="2"/>
  <c r="C1130" i="2"/>
  <c r="B1130" i="2"/>
  <c r="A1130" i="2"/>
  <c r="CG1129" i="2"/>
  <c r="CF1129" i="2"/>
  <c r="CE1129" i="2"/>
  <c r="CD1129" i="2"/>
  <c r="CC1129" i="2"/>
  <c r="CB1129" i="2"/>
  <c r="CA1129" i="2"/>
  <c r="BZ1129" i="2"/>
  <c r="BY1129" i="2"/>
  <c r="BX1129" i="2"/>
  <c r="BW1129" i="2"/>
  <c r="L1129" i="2"/>
  <c r="G1129" i="2"/>
  <c r="F1129" i="2"/>
  <c r="E1129" i="2"/>
  <c r="D1129" i="2"/>
  <c r="C1129" i="2"/>
  <c r="B1129" i="2"/>
  <c r="A1129" i="2"/>
  <c r="CG1128" i="2"/>
  <c r="CF1128" i="2"/>
  <c r="CE1128" i="2"/>
  <c r="CD1128" i="2"/>
  <c r="CC1128" i="2"/>
  <c r="CB1128" i="2"/>
  <c r="CA1128" i="2"/>
  <c r="BZ1128" i="2"/>
  <c r="BY1128" i="2"/>
  <c r="BX1128" i="2"/>
  <c r="BW1128" i="2"/>
  <c r="H1128" i="2"/>
  <c r="G1128" i="2"/>
  <c r="F1128" i="2"/>
  <c r="E1128" i="2"/>
  <c r="D1128" i="2"/>
  <c r="C1128" i="2"/>
  <c r="B1128" i="2"/>
  <c r="A1128" i="2"/>
  <c r="CG1127" i="2"/>
  <c r="CF1127" i="2"/>
  <c r="CE1127" i="2"/>
  <c r="CD1127" i="2"/>
  <c r="CC1127" i="2"/>
  <c r="CB1127" i="2"/>
  <c r="CA1127" i="2"/>
  <c r="BZ1127" i="2"/>
  <c r="BY1127" i="2"/>
  <c r="BX1127" i="2"/>
  <c r="BW1127" i="2"/>
  <c r="BG1127" i="2"/>
  <c r="W1127" i="2"/>
  <c r="G1127" i="2"/>
  <c r="F1127" i="2"/>
  <c r="E1127" i="2"/>
  <c r="D1127" i="2"/>
  <c r="C1127" i="2"/>
  <c r="B1127" i="2"/>
  <c r="A1127" i="2"/>
  <c r="CG1126" i="2"/>
  <c r="CF1126" i="2"/>
  <c r="CE1126" i="2"/>
  <c r="CD1126" i="2"/>
  <c r="CC1126" i="2"/>
  <c r="CB1126" i="2"/>
  <c r="CA1126" i="2"/>
  <c r="BZ1126" i="2"/>
  <c r="BY1126" i="2"/>
  <c r="BX1126" i="2"/>
  <c r="BW1126" i="2"/>
  <c r="BG1126" i="2"/>
  <c r="W1126" i="2"/>
  <c r="G1126" i="2"/>
  <c r="F1126" i="2"/>
  <c r="E1126" i="2"/>
  <c r="D1126" i="2"/>
  <c r="C1126" i="2"/>
  <c r="B1126" i="2"/>
  <c r="A1126" i="2"/>
  <c r="CG1125" i="2"/>
  <c r="CF1125" i="2"/>
  <c r="CE1125" i="2"/>
  <c r="CD1125" i="2"/>
  <c r="CC1125" i="2"/>
  <c r="CB1125" i="2"/>
  <c r="CA1125" i="2"/>
  <c r="BZ1125" i="2"/>
  <c r="BY1125" i="2"/>
  <c r="BX1125" i="2"/>
  <c r="BW1125" i="2"/>
  <c r="H1125" i="2"/>
  <c r="G1125" i="2"/>
  <c r="F1125" i="2"/>
  <c r="E1125" i="2"/>
  <c r="D1125" i="2"/>
  <c r="C1125" i="2"/>
  <c r="B1125" i="2"/>
  <c r="A1125" i="2"/>
  <c r="CG1124" i="2"/>
  <c r="CF1124" i="2"/>
  <c r="CE1124" i="2"/>
  <c r="CD1124" i="2"/>
  <c r="CC1124" i="2"/>
  <c r="CB1124" i="2"/>
  <c r="CA1124" i="2"/>
  <c r="BZ1124" i="2"/>
  <c r="BY1124" i="2"/>
  <c r="BX1124" i="2"/>
  <c r="BW1124" i="2"/>
  <c r="R1124" i="2"/>
  <c r="G1124" i="2"/>
  <c r="F1124" i="2"/>
  <c r="E1124" i="2"/>
  <c r="D1124" i="2"/>
  <c r="C1124" i="2"/>
  <c r="B1124" i="2"/>
  <c r="A1124" i="2"/>
  <c r="CG1123" i="2"/>
  <c r="CF1123" i="2"/>
  <c r="CE1123" i="2"/>
  <c r="CD1123" i="2"/>
  <c r="CC1123" i="2"/>
  <c r="CB1123" i="2"/>
  <c r="CA1123" i="2"/>
  <c r="BZ1123" i="2"/>
  <c r="BY1123" i="2"/>
  <c r="BX1123" i="2"/>
  <c r="BW1123" i="2"/>
  <c r="L1123" i="2"/>
  <c r="G1123" i="2"/>
  <c r="F1123" i="2"/>
  <c r="E1123" i="2"/>
  <c r="D1123" i="2"/>
  <c r="C1123" i="2"/>
  <c r="B1123" i="2"/>
  <c r="A1123" i="2"/>
  <c r="CG1122" i="2"/>
  <c r="CF1122" i="2"/>
  <c r="CE1122" i="2"/>
  <c r="CD1122" i="2"/>
  <c r="CC1122" i="2"/>
  <c r="CB1122" i="2"/>
  <c r="CA1122" i="2"/>
  <c r="BZ1122" i="2"/>
  <c r="BY1122" i="2"/>
  <c r="BX1122" i="2"/>
  <c r="BW1122" i="2"/>
  <c r="Q1122" i="2"/>
  <c r="G1122" i="2"/>
  <c r="F1122" i="2"/>
  <c r="E1122" i="2"/>
  <c r="D1122" i="2"/>
  <c r="C1122" i="2"/>
  <c r="B1122" i="2"/>
  <c r="A1122" i="2"/>
  <c r="CG1121" i="2"/>
  <c r="CF1121" i="2"/>
  <c r="CE1121" i="2"/>
  <c r="CD1121" i="2"/>
  <c r="CC1121" i="2"/>
  <c r="CB1121" i="2"/>
  <c r="CA1121" i="2"/>
  <c r="BZ1121" i="2"/>
  <c r="BY1121" i="2"/>
  <c r="BX1121" i="2"/>
  <c r="BW1121" i="2"/>
  <c r="BG1121" i="2"/>
  <c r="W1121" i="2"/>
  <c r="G1121" i="2"/>
  <c r="F1121" i="2"/>
  <c r="E1121" i="2"/>
  <c r="D1121" i="2"/>
  <c r="C1121" i="2"/>
  <c r="B1121" i="2"/>
  <c r="A1121" i="2"/>
  <c r="CG1120" i="2"/>
  <c r="CF1120" i="2"/>
  <c r="CE1120" i="2"/>
  <c r="CD1120" i="2"/>
  <c r="CC1120" i="2"/>
  <c r="CB1120" i="2"/>
  <c r="CA1120" i="2"/>
  <c r="BZ1120" i="2"/>
  <c r="BY1120" i="2"/>
  <c r="BX1120" i="2"/>
  <c r="BW1120" i="2"/>
  <c r="H1120" i="2"/>
  <c r="G1120" i="2"/>
  <c r="F1120" i="2"/>
  <c r="E1120" i="2"/>
  <c r="D1120" i="2"/>
  <c r="C1120" i="2"/>
  <c r="B1120" i="2"/>
  <c r="A1120" i="2"/>
  <c r="CG1119" i="2"/>
  <c r="CF1119" i="2"/>
  <c r="CE1119" i="2"/>
  <c r="CD1119" i="2"/>
  <c r="CC1119" i="2"/>
  <c r="CB1119" i="2"/>
  <c r="CA1119" i="2"/>
  <c r="BZ1119" i="2"/>
  <c r="BY1119" i="2"/>
  <c r="BX1119" i="2"/>
  <c r="BW1119" i="2"/>
  <c r="U1119" i="2"/>
  <c r="G1119" i="2"/>
  <c r="F1119" i="2"/>
  <c r="E1119" i="2"/>
  <c r="D1119" i="2"/>
  <c r="C1119" i="2"/>
  <c r="B1119" i="2"/>
  <c r="A1119" i="2"/>
  <c r="CG1118" i="2"/>
  <c r="CF1118" i="2"/>
  <c r="CE1118" i="2"/>
  <c r="CD1118" i="2"/>
  <c r="CC1118" i="2"/>
  <c r="CB1118" i="2"/>
  <c r="CA1118" i="2"/>
  <c r="BZ1118" i="2"/>
  <c r="BY1118" i="2"/>
  <c r="BX1118" i="2"/>
  <c r="BW1118" i="2"/>
  <c r="O1118" i="2"/>
  <c r="G1118" i="2"/>
  <c r="F1118" i="2"/>
  <c r="E1118" i="2"/>
  <c r="D1118" i="2"/>
  <c r="C1118" i="2"/>
  <c r="B1118" i="2"/>
  <c r="A1118" i="2"/>
  <c r="CG1117" i="2"/>
  <c r="CF1117" i="2"/>
  <c r="CE1117" i="2"/>
  <c r="CD1117" i="2"/>
  <c r="CC1117" i="2"/>
  <c r="CB1117" i="2"/>
  <c r="CA1117" i="2"/>
  <c r="BZ1117" i="2"/>
  <c r="BY1117" i="2"/>
  <c r="BX1117" i="2"/>
  <c r="BW1117" i="2"/>
  <c r="Q1117" i="2"/>
  <c r="G1117" i="2"/>
  <c r="F1117" i="2"/>
  <c r="E1117" i="2"/>
  <c r="D1117" i="2"/>
  <c r="C1117" i="2"/>
  <c r="B1117" i="2"/>
  <c r="A1117" i="2"/>
  <c r="CG1116" i="2"/>
  <c r="CF1116" i="2"/>
  <c r="CE1116" i="2"/>
  <c r="CD1116" i="2"/>
  <c r="CC1116" i="2"/>
  <c r="CB1116" i="2"/>
  <c r="CA1116" i="2"/>
  <c r="BZ1116" i="2"/>
  <c r="BY1116" i="2"/>
  <c r="BX1116" i="2"/>
  <c r="BW1116" i="2"/>
  <c r="BG1116" i="2"/>
  <c r="W1116" i="2"/>
  <c r="G1116" i="2"/>
  <c r="F1116" i="2"/>
  <c r="E1116" i="2"/>
  <c r="D1116" i="2"/>
  <c r="C1116" i="2"/>
  <c r="B1116" i="2"/>
  <c r="A1116" i="2"/>
  <c r="CG1115" i="2"/>
  <c r="CF1115" i="2"/>
  <c r="CE1115" i="2"/>
  <c r="CD1115" i="2"/>
  <c r="CC1115" i="2"/>
  <c r="CB1115" i="2"/>
  <c r="CA1115" i="2"/>
  <c r="BZ1115" i="2"/>
  <c r="BY1115" i="2"/>
  <c r="BX1115" i="2"/>
  <c r="BW1115" i="2"/>
  <c r="L1115" i="2"/>
  <c r="G1115" i="2"/>
  <c r="F1115" i="2"/>
  <c r="E1115" i="2"/>
  <c r="D1115" i="2"/>
  <c r="C1115" i="2"/>
  <c r="B1115" i="2"/>
  <c r="A1115" i="2"/>
  <c r="CG1114" i="2"/>
  <c r="CF1114" i="2"/>
  <c r="CE1114" i="2"/>
  <c r="CD1114" i="2"/>
  <c r="CC1114" i="2"/>
  <c r="CB1114" i="2"/>
  <c r="CA1114" i="2"/>
  <c r="BZ1114" i="2"/>
  <c r="BY1114" i="2"/>
  <c r="BX1114" i="2"/>
  <c r="BW1114" i="2"/>
  <c r="H1114" i="2"/>
  <c r="G1114" i="2"/>
  <c r="F1114" i="2"/>
  <c r="E1114" i="2"/>
  <c r="D1114" i="2"/>
  <c r="C1114" i="2"/>
  <c r="B1114" i="2"/>
  <c r="A1114" i="2"/>
  <c r="CG1113" i="2"/>
  <c r="CF1113" i="2"/>
  <c r="CE1113" i="2"/>
  <c r="CD1113" i="2"/>
  <c r="CC1113" i="2"/>
  <c r="CB1113" i="2"/>
  <c r="CA1113" i="2"/>
  <c r="BZ1113" i="2"/>
  <c r="BY1113" i="2"/>
  <c r="BX1113" i="2"/>
  <c r="BW1113" i="2"/>
  <c r="T1113" i="2"/>
  <c r="G1113" i="2"/>
  <c r="F1113" i="2"/>
  <c r="E1113" i="2"/>
  <c r="D1113" i="2"/>
  <c r="C1113" i="2"/>
  <c r="B1113" i="2"/>
  <c r="A1113" i="2"/>
  <c r="CG1112" i="2"/>
  <c r="CF1112" i="2"/>
  <c r="CE1112" i="2"/>
  <c r="CD1112" i="2"/>
  <c r="CC1112" i="2"/>
  <c r="CB1112" i="2"/>
  <c r="CA1112" i="2"/>
  <c r="BZ1112" i="2"/>
  <c r="BY1112" i="2"/>
  <c r="BX1112" i="2"/>
  <c r="BW1112" i="2"/>
  <c r="BH1112" i="2"/>
  <c r="W1112" i="2"/>
  <c r="G1112" i="2"/>
  <c r="F1112" i="2"/>
  <c r="E1112" i="2"/>
  <c r="D1112" i="2"/>
  <c r="C1112" i="2"/>
  <c r="B1112" i="2"/>
  <c r="A1112" i="2"/>
  <c r="CG1111" i="2"/>
  <c r="CF1111" i="2"/>
  <c r="CE1111" i="2"/>
  <c r="CD1111" i="2"/>
  <c r="CC1111" i="2"/>
  <c r="CB1111" i="2"/>
  <c r="CA1111" i="2"/>
  <c r="BZ1111" i="2"/>
  <c r="BY1111" i="2"/>
  <c r="BX1111" i="2"/>
  <c r="BW1111" i="2"/>
  <c r="L1111" i="2"/>
  <c r="G1111" i="2"/>
  <c r="F1111" i="2"/>
  <c r="E1111" i="2"/>
  <c r="D1111" i="2"/>
  <c r="C1111" i="2"/>
  <c r="B1111" i="2"/>
  <c r="A1111" i="2"/>
  <c r="CG1110" i="2"/>
  <c r="CF1110" i="2"/>
  <c r="CE1110" i="2"/>
  <c r="CD1110" i="2"/>
  <c r="CC1110" i="2"/>
  <c r="CB1110" i="2"/>
  <c r="CA1110" i="2"/>
  <c r="BZ1110" i="2"/>
  <c r="BY1110" i="2"/>
  <c r="BX1110" i="2"/>
  <c r="BW1110" i="2"/>
  <c r="H1110" i="2"/>
  <c r="G1110" i="2"/>
  <c r="F1110" i="2"/>
  <c r="E1110" i="2"/>
  <c r="D1110" i="2"/>
  <c r="C1110" i="2"/>
  <c r="B1110" i="2"/>
  <c r="A1110" i="2"/>
  <c r="CG1109" i="2"/>
  <c r="CF1109" i="2"/>
  <c r="CE1109" i="2"/>
  <c r="CD1109" i="2"/>
  <c r="CC1109" i="2"/>
  <c r="CB1109" i="2"/>
  <c r="CA1109" i="2"/>
  <c r="BZ1109" i="2"/>
  <c r="BY1109" i="2"/>
  <c r="BX1109" i="2"/>
  <c r="BW1109" i="2"/>
  <c r="P1109" i="2"/>
  <c r="G1109" i="2"/>
  <c r="F1109" i="2"/>
  <c r="E1109" i="2"/>
  <c r="D1109" i="2"/>
  <c r="C1109" i="2"/>
  <c r="B1109" i="2"/>
  <c r="A1109" i="2"/>
  <c r="CG1108" i="2"/>
  <c r="CF1108" i="2"/>
  <c r="CE1108" i="2"/>
  <c r="CD1108" i="2"/>
  <c r="CC1108" i="2"/>
  <c r="CB1108" i="2"/>
  <c r="CA1108" i="2"/>
  <c r="BZ1108" i="2"/>
  <c r="BY1108" i="2"/>
  <c r="BX1108" i="2"/>
  <c r="BW1108" i="2"/>
  <c r="P1108" i="2"/>
  <c r="G1108" i="2"/>
  <c r="F1108" i="2"/>
  <c r="E1108" i="2"/>
  <c r="D1108" i="2"/>
  <c r="C1108" i="2"/>
  <c r="B1108" i="2"/>
  <c r="A1108" i="2"/>
  <c r="CG1107" i="2"/>
  <c r="CF1107" i="2"/>
  <c r="CE1107" i="2"/>
  <c r="CD1107" i="2"/>
  <c r="CC1107" i="2"/>
  <c r="CB1107" i="2"/>
  <c r="CA1107" i="2"/>
  <c r="BZ1107" i="2"/>
  <c r="BY1107" i="2"/>
  <c r="BX1107" i="2"/>
  <c r="BW1107" i="2"/>
  <c r="Q1107" i="2"/>
  <c r="G1107" i="2"/>
  <c r="F1107" i="2"/>
  <c r="E1107" i="2"/>
  <c r="D1107" i="2"/>
  <c r="C1107" i="2"/>
  <c r="B1107" i="2"/>
  <c r="A1107" i="2"/>
  <c r="CG1106" i="2"/>
  <c r="CF1106" i="2"/>
  <c r="CE1106" i="2"/>
  <c r="CD1106" i="2"/>
  <c r="CC1106" i="2"/>
  <c r="CB1106" i="2"/>
  <c r="CA1106" i="2"/>
  <c r="BZ1106" i="2"/>
  <c r="BY1106" i="2"/>
  <c r="BX1106" i="2"/>
  <c r="BW1106" i="2"/>
  <c r="L1106" i="2"/>
  <c r="G1106" i="2"/>
  <c r="F1106" i="2"/>
  <c r="E1106" i="2"/>
  <c r="D1106" i="2"/>
  <c r="C1106" i="2"/>
  <c r="B1106" i="2"/>
  <c r="A1106" i="2"/>
  <c r="CG1105" i="2"/>
  <c r="CF1105" i="2"/>
  <c r="CE1105" i="2"/>
  <c r="CD1105" i="2"/>
  <c r="CC1105" i="2"/>
  <c r="CB1105" i="2"/>
  <c r="CA1105" i="2"/>
  <c r="BZ1105" i="2"/>
  <c r="BY1105" i="2"/>
  <c r="BX1105" i="2"/>
  <c r="BW1105" i="2"/>
  <c r="H1105" i="2"/>
  <c r="G1105" i="2"/>
  <c r="F1105" i="2"/>
  <c r="E1105" i="2"/>
  <c r="D1105" i="2"/>
  <c r="C1105" i="2"/>
  <c r="B1105" i="2"/>
  <c r="A1105" i="2"/>
  <c r="CG1104" i="2"/>
  <c r="CF1104" i="2"/>
  <c r="CE1104" i="2"/>
  <c r="CD1104" i="2"/>
  <c r="CC1104" i="2"/>
  <c r="CB1104" i="2"/>
  <c r="CA1104" i="2"/>
  <c r="BZ1104" i="2"/>
  <c r="BY1104" i="2"/>
  <c r="BX1104" i="2"/>
  <c r="BW1104" i="2"/>
  <c r="T1104" i="2"/>
  <c r="G1104" i="2"/>
  <c r="F1104" i="2"/>
  <c r="E1104" i="2"/>
  <c r="D1104" i="2"/>
  <c r="C1104" i="2"/>
  <c r="B1104" i="2"/>
  <c r="A1104" i="2"/>
  <c r="CG1103" i="2"/>
  <c r="CF1103" i="2"/>
  <c r="CE1103" i="2"/>
  <c r="CD1103" i="2"/>
  <c r="CC1103" i="2"/>
  <c r="CB1103" i="2"/>
  <c r="CA1103" i="2"/>
  <c r="BZ1103" i="2"/>
  <c r="BY1103" i="2"/>
  <c r="BX1103" i="2"/>
  <c r="BW1103" i="2"/>
  <c r="U1103" i="2"/>
  <c r="G1103" i="2"/>
  <c r="F1103" i="2"/>
  <c r="E1103" i="2"/>
  <c r="D1103" i="2"/>
  <c r="C1103" i="2"/>
  <c r="B1103" i="2"/>
  <c r="A1103" i="2"/>
  <c r="CG1102" i="2"/>
  <c r="CF1102" i="2"/>
  <c r="CE1102" i="2"/>
  <c r="CD1102" i="2"/>
  <c r="CC1102" i="2"/>
  <c r="CB1102" i="2"/>
  <c r="CA1102" i="2"/>
  <c r="BZ1102" i="2"/>
  <c r="BY1102" i="2"/>
  <c r="BX1102" i="2"/>
  <c r="BW1102" i="2"/>
  <c r="S1102" i="2"/>
  <c r="G1102" i="2"/>
  <c r="F1102" i="2"/>
  <c r="E1102" i="2"/>
  <c r="D1102" i="2"/>
  <c r="C1102" i="2"/>
  <c r="B1102" i="2"/>
  <c r="A1102" i="2"/>
  <c r="CG1101" i="2"/>
  <c r="CF1101" i="2"/>
  <c r="CE1101" i="2"/>
  <c r="CD1101" i="2"/>
  <c r="CC1101" i="2"/>
  <c r="CB1101" i="2"/>
  <c r="CA1101" i="2"/>
  <c r="BZ1101" i="2"/>
  <c r="BY1101" i="2"/>
  <c r="BX1101" i="2"/>
  <c r="BW1101" i="2"/>
  <c r="U1101" i="2"/>
  <c r="G1101" i="2"/>
  <c r="F1101" i="2"/>
  <c r="E1101" i="2"/>
  <c r="D1101" i="2"/>
  <c r="C1101" i="2"/>
  <c r="B1101" i="2"/>
  <c r="A1101" i="2"/>
  <c r="CG1100" i="2"/>
  <c r="CF1100" i="2"/>
  <c r="CE1100" i="2"/>
  <c r="CD1100" i="2"/>
  <c r="CC1100" i="2"/>
  <c r="CB1100" i="2"/>
  <c r="CA1100" i="2"/>
  <c r="BZ1100" i="2"/>
  <c r="BY1100" i="2"/>
  <c r="BX1100" i="2"/>
  <c r="BW1100" i="2"/>
  <c r="Q1100" i="2"/>
  <c r="G1100" i="2"/>
  <c r="F1100" i="2"/>
  <c r="E1100" i="2"/>
  <c r="D1100" i="2"/>
  <c r="C1100" i="2"/>
  <c r="B1100" i="2"/>
  <c r="A1100" i="2"/>
  <c r="CG1099" i="2"/>
  <c r="CF1099" i="2"/>
  <c r="CE1099" i="2"/>
  <c r="CD1099" i="2"/>
  <c r="CC1099" i="2"/>
  <c r="CB1099" i="2"/>
  <c r="CA1099" i="2"/>
  <c r="BZ1099" i="2"/>
  <c r="BY1099" i="2"/>
  <c r="BX1099" i="2"/>
  <c r="BW1099" i="2"/>
  <c r="H1099" i="2"/>
  <c r="G1099" i="2"/>
  <c r="F1099" i="2"/>
  <c r="E1099" i="2"/>
  <c r="D1099" i="2"/>
  <c r="C1099" i="2"/>
  <c r="B1099" i="2"/>
  <c r="A1099" i="2"/>
  <c r="CG1098" i="2"/>
  <c r="CF1098" i="2"/>
  <c r="CE1098" i="2"/>
  <c r="CD1098" i="2"/>
  <c r="CC1098" i="2"/>
  <c r="CB1098" i="2"/>
  <c r="CA1098" i="2"/>
  <c r="BZ1098" i="2"/>
  <c r="BY1098" i="2"/>
  <c r="BX1098" i="2"/>
  <c r="BW1098" i="2"/>
  <c r="H1098" i="2"/>
  <c r="G1098" i="2"/>
  <c r="F1098" i="2"/>
  <c r="E1098" i="2"/>
  <c r="D1098" i="2"/>
  <c r="C1098" i="2"/>
  <c r="B1098" i="2"/>
  <c r="A1098" i="2"/>
  <c r="CG1097" i="2"/>
  <c r="CF1097" i="2"/>
  <c r="CE1097" i="2"/>
  <c r="CD1097" i="2"/>
  <c r="CC1097" i="2"/>
  <c r="CB1097" i="2"/>
  <c r="CA1097" i="2"/>
  <c r="BZ1097" i="2"/>
  <c r="BY1097" i="2"/>
  <c r="BX1097" i="2"/>
  <c r="BW1097" i="2"/>
  <c r="S1097" i="2"/>
  <c r="G1097" i="2"/>
  <c r="F1097" i="2"/>
  <c r="E1097" i="2"/>
  <c r="D1097" i="2"/>
  <c r="C1097" i="2"/>
  <c r="B1097" i="2"/>
  <c r="A1097" i="2"/>
  <c r="CG1096" i="2"/>
  <c r="CF1096" i="2"/>
  <c r="CE1096" i="2"/>
  <c r="CD1096" i="2"/>
  <c r="CC1096" i="2"/>
  <c r="CB1096" i="2"/>
  <c r="CA1096" i="2"/>
  <c r="BZ1096" i="2"/>
  <c r="BY1096" i="2"/>
  <c r="BX1096" i="2"/>
  <c r="BW1096" i="2"/>
  <c r="S1096" i="2"/>
  <c r="G1096" i="2"/>
  <c r="F1096" i="2"/>
  <c r="E1096" i="2"/>
  <c r="D1096" i="2"/>
  <c r="C1096" i="2"/>
  <c r="B1096" i="2"/>
  <c r="A1096" i="2"/>
  <c r="CG1095" i="2"/>
  <c r="CF1095" i="2"/>
  <c r="CE1095" i="2"/>
  <c r="CD1095" i="2"/>
  <c r="CC1095" i="2"/>
  <c r="CB1095" i="2"/>
  <c r="CA1095" i="2"/>
  <c r="BZ1095" i="2"/>
  <c r="BY1095" i="2"/>
  <c r="BX1095" i="2"/>
  <c r="BW1095" i="2"/>
  <c r="T1095" i="2"/>
  <c r="G1095" i="2"/>
  <c r="F1095" i="2"/>
  <c r="E1095" i="2"/>
  <c r="D1095" i="2"/>
  <c r="C1095" i="2"/>
  <c r="B1095" i="2"/>
  <c r="A1095" i="2"/>
  <c r="CG1094" i="2"/>
  <c r="CF1094" i="2"/>
  <c r="CE1094" i="2"/>
  <c r="CD1094" i="2"/>
  <c r="CC1094" i="2"/>
  <c r="CB1094" i="2"/>
  <c r="CA1094" i="2"/>
  <c r="BZ1094" i="2"/>
  <c r="BY1094" i="2"/>
  <c r="BX1094" i="2"/>
  <c r="BW1094" i="2"/>
  <c r="J1094" i="2"/>
  <c r="G1094" i="2"/>
  <c r="F1094" i="2"/>
  <c r="E1094" i="2"/>
  <c r="D1094" i="2"/>
  <c r="C1094" i="2"/>
  <c r="B1094" i="2"/>
  <c r="A1094" i="2"/>
  <c r="CG1093" i="2"/>
  <c r="CF1093" i="2"/>
  <c r="CE1093" i="2"/>
  <c r="CD1093" i="2"/>
  <c r="CC1093" i="2"/>
  <c r="CB1093" i="2"/>
  <c r="CA1093" i="2"/>
  <c r="BZ1093" i="2"/>
  <c r="BY1093" i="2"/>
  <c r="BX1093" i="2"/>
  <c r="BW1093" i="2"/>
  <c r="L1093" i="2"/>
  <c r="G1093" i="2"/>
  <c r="F1093" i="2"/>
  <c r="E1093" i="2"/>
  <c r="D1093" i="2"/>
  <c r="C1093" i="2"/>
  <c r="B1093" i="2"/>
  <c r="A1093" i="2"/>
  <c r="CG1092" i="2"/>
  <c r="CF1092" i="2"/>
  <c r="CE1092" i="2"/>
  <c r="CD1092" i="2"/>
  <c r="CC1092" i="2"/>
  <c r="CB1092" i="2"/>
  <c r="CA1092" i="2"/>
  <c r="BZ1092" i="2"/>
  <c r="BY1092" i="2"/>
  <c r="BX1092" i="2"/>
  <c r="BW1092" i="2"/>
  <c r="H1092" i="2"/>
  <c r="G1092" i="2"/>
  <c r="F1092" i="2"/>
  <c r="E1092" i="2"/>
  <c r="D1092" i="2"/>
  <c r="C1092" i="2"/>
  <c r="B1092" i="2"/>
  <c r="A1092" i="2"/>
  <c r="CG1091" i="2"/>
  <c r="CF1091" i="2"/>
  <c r="CE1091" i="2"/>
  <c r="CD1091" i="2"/>
  <c r="CC1091" i="2"/>
  <c r="CB1091" i="2"/>
  <c r="CA1091" i="2"/>
  <c r="BZ1091" i="2"/>
  <c r="BY1091" i="2"/>
  <c r="BX1091" i="2"/>
  <c r="BW1091" i="2"/>
  <c r="H1091" i="2"/>
  <c r="G1091" i="2"/>
  <c r="F1091" i="2"/>
  <c r="E1091" i="2"/>
  <c r="D1091" i="2"/>
  <c r="C1091" i="2"/>
  <c r="B1091" i="2"/>
  <c r="A1091" i="2"/>
  <c r="CG1090" i="2"/>
  <c r="CF1090" i="2"/>
  <c r="CE1090" i="2"/>
  <c r="CD1090" i="2"/>
  <c r="CC1090" i="2"/>
  <c r="CB1090" i="2"/>
  <c r="CA1090" i="2"/>
  <c r="BZ1090" i="2"/>
  <c r="BY1090" i="2"/>
  <c r="BX1090" i="2"/>
  <c r="BW1090" i="2"/>
  <c r="G1090" i="2"/>
  <c r="F1090" i="2"/>
  <c r="E1090" i="2"/>
  <c r="D1090" i="2"/>
  <c r="C1090" i="2"/>
  <c r="B1090" i="2"/>
  <c r="A1090" i="2"/>
  <c r="CG1089" i="2"/>
  <c r="CF1089" i="2"/>
  <c r="CE1089" i="2"/>
  <c r="CD1089" i="2"/>
  <c r="CC1089" i="2"/>
  <c r="CB1089" i="2"/>
  <c r="CA1089" i="2"/>
  <c r="BZ1089" i="2"/>
  <c r="BY1089" i="2"/>
  <c r="BX1089" i="2"/>
  <c r="BW1089" i="2"/>
  <c r="S1089" i="2"/>
  <c r="G1089" i="2"/>
  <c r="F1089" i="2"/>
  <c r="E1089" i="2"/>
  <c r="D1089" i="2"/>
  <c r="C1089" i="2"/>
  <c r="B1089" i="2"/>
  <c r="A1089" i="2"/>
  <c r="CG1088" i="2"/>
  <c r="CF1088" i="2"/>
  <c r="CE1088" i="2"/>
  <c r="CD1088" i="2"/>
  <c r="CC1088" i="2"/>
  <c r="CB1088" i="2"/>
  <c r="CA1088" i="2"/>
  <c r="BZ1088" i="2"/>
  <c r="BY1088" i="2"/>
  <c r="BX1088" i="2"/>
  <c r="BW1088" i="2"/>
  <c r="T1088" i="2"/>
  <c r="G1088" i="2"/>
  <c r="F1088" i="2"/>
  <c r="E1088" i="2"/>
  <c r="D1088" i="2"/>
  <c r="C1088" i="2"/>
  <c r="B1088" i="2"/>
  <c r="A1088" i="2"/>
  <c r="CG1087" i="2"/>
  <c r="CF1087" i="2"/>
  <c r="CE1087" i="2"/>
  <c r="CD1087" i="2"/>
  <c r="CC1087" i="2"/>
  <c r="CB1087" i="2"/>
  <c r="CA1087" i="2"/>
  <c r="BZ1087" i="2"/>
  <c r="BY1087" i="2"/>
  <c r="BX1087" i="2"/>
  <c r="BW1087" i="2"/>
  <c r="G1087" i="2"/>
  <c r="F1087" i="2"/>
  <c r="E1087" i="2"/>
  <c r="D1087" i="2"/>
  <c r="C1087" i="2"/>
  <c r="B1087" i="2"/>
  <c r="A1087" i="2"/>
  <c r="CG1086" i="2"/>
  <c r="CF1086" i="2"/>
  <c r="CE1086" i="2"/>
  <c r="CD1086" i="2"/>
  <c r="CC1086" i="2"/>
  <c r="CB1086" i="2"/>
  <c r="CA1086" i="2"/>
  <c r="BZ1086" i="2"/>
  <c r="BY1086" i="2"/>
  <c r="BX1086" i="2"/>
  <c r="BW1086" i="2"/>
  <c r="U1086" i="2"/>
  <c r="G1086" i="2"/>
  <c r="F1086" i="2"/>
  <c r="E1086" i="2"/>
  <c r="D1086" i="2"/>
  <c r="C1086" i="2"/>
  <c r="B1086" i="2"/>
  <c r="A1086" i="2"/>
  <c r="CG1085" i="2"/>
  <c r="CF1085" i="2"/>
  <c r="CE1085" i="2"/>
  <c r="CD1085" i="2"/>
  <c r="CC1085" i="2"/>
  <c r="CB1085" i="2"/>
  <c r="CA1085" i="2"/>
  <c r="BZ1085" i="2"/>
  <c r="BY1085" i="2"/>
  <c r="BX1085" i="2"/>
  <c r="BW1085" i="2"/>
  <c r="T1085" i="2"/>
  <c r="G1085" i="2"/>
  <c r="F1085" i="2"/>
  <c r="E1085" i="2"/>
  <c r="D1085" i="2"/>
  <c r="C1085" i="2"/>
  <c r="B1085" i="2"/>
  <c r="A1085" i="2"/>
  <c r="CG1084" i="2"/>
  <c r="CF1084" i="2"/>
  <c r="CE1084" i="2"/>
  <c r="CD1084" i="2"/>
  <c r="CC1084" i="2"/>
  <c r="CB1084" i="2"/>
  <c r="CA1084" i="2"/>
  <c r="BZ1084" i="2"/>
  <c r="BY1084" i="2"/>
  <c r="BX1084" i="2"/>
  <c r="BW1084" i="2"/>
  <c r="P1084" i="2"/>
  <c r="G1084" i="2"/>
  <c r="F1084" i="2"/>
  <c r="E1084" i="2"/>
  <c r="D1084" i="2"/>
  <c r="C1084" i="2"/>
  <c r="B1084" i="2"/>
  <c r="A1084" i="2"/>
  <c r="CG1083" i="2"/>
  <c r="CF1083" i="2"/>
  <c r="CE1083" i="2"/>
  <c r="CD1083" i="2"/>
  <c r="CC1083" i="2"/>
  <c r="CB1083" i="2"/>
  <c r="CA1083" i="2"/>
  <c r="BZ1083" i="2"/>
  <c r="BY1083" i="2"/>
  <c r="BX1083" i="2"/>
  <c r="BW1083" i="2"/>
  <c r="Q1083" i="2"/>
  <c r="G1083" i="2"/>
  <c r="F1083" i="2"/>
  <c r="E1083" i="2"/>
  <c r="D1083" i="2"/>
  <c r="C1083" i="2"/>
  <c r="B1083" i="2"/>
  <c r="A1083" i="2"/>
  <c r="CG1082" i="2"/>
  <c r="CF1082" i="2"/>
  <c r="CE1082" i="2"/>
  <c r="CD1082" i="2"/>
  <c r="CC1082" i="2"/>
  <c r="CB1082" i="2"/>
  <c r="CA1082" i="2"/>
  <c r="BZ1082" i="2"/>
  <c r="BY1082" i="2"/>
  <c r="BX1082" i="2"/>
  <c r="BW1082" i="2"/>
  <c r="H1082" i="2"/>
  <c r="G1082" i="2"/>
  <c r="F1082" i="2"/>
  <c r="E1082" i="2"/>
  <c r="D1082" i="2"/>
  <c r="C1082" i="2"/>
  <c r="B1082" i="2"/>
  <c r="A1082" i="2"/>
  <c r="CG1081" i="2"/>
  <c r="CF1081" i="2"/>
  <c r="CE1081" i="2"/>
  <c r="CD1081" i="2"/>
  <c r="CC1081" i="2"/>
  <c r="CB1081" i="2"/>
  <c r="CA1081" i="2"/>
  <c r="BZ1081" i="2"/>
  <c r="BY1081" i="2"/>
  <c r="BX1081" i="2"/>
  <c r="BW1081" i="2"/>
  <c r="G1081" i="2"/>
  <c r="F1081" i="2"/>
  <c r="E1081" i="2"/>
  <c r="D1081" i="2"/>
  <c r="C1081" i="2"/>
  <c r="B1081" i="2"/>
  <c r="A1081" i="2"/>
  <c r="CG1080" i="2"/>
  <c r="CF1080" i="2"/>
  <c r="CE1080" i="2"/>
  <c r="CD1080" i="2"/>
  <c r="CC1080" i="2"/>
  <c r="CB1080" i="2"/>
  <c r="CA1080" i="2"/>
  <c r="BZ1080" i="2"/>
  <c r="BY1080" i="2"/>
  <c r="BX1080" i="2"/>
  <c r="BW1080" i="2"/>
  <c r="G1080" i="2"/>
  <c r="F1080" i="2"/>
  <c r="E1080" i="2"/>
  <c r="D1080" i="2"/>
  <c r="C1080" i="2"/>
  <c r="B1080" i="2"/>
  <c r="A1080" i="2"/>
  <c r="CG1079" i="2"/>
  <c r="CF1079" i="2"/>
  <c r="CE1079" i="2"/>
  <c r="CD1079" i="2"/>
  <c r="CC1079" i="2"/>
  <c r="CB1079" i="2"/>
  <c r="CA1079" i="2"/>
  <c r="BZ1079" i="2"/>
  <c r="BY1079" i="2"/>
  <c r="BX1079" i="2"/>
  <c r="BW1079" i="2"/>
  <c r="H1079" i="2"/>
  <c r="G1079" i="2"/>
  <c r="F1079" i="2"/>
  <c r="E1079" i="2"/>
  <c r="D1079" i="2"/>
  <c r="C1079" i="2"/>
  <c r="B1079" i="2"/>
  <c r="A1079" i="2"/>
  <c r="CG1078" i="2"/>
  <c r="CF1078" i="2"/>
  <c r="CE1078" i="2"/>
  <c r="CD1078" i="2"/>
  <c r="CC1078" i="2"/>
  <c r="CB1078" i="2"/>
  <c r="CA1078" i="2"/>
  <c r="BZ1078" i="2"/>
  <c r="BY1078" i="2"/>
  <c r="BX1078" i="2"/>
  <c r="BW1078" i="2"/>
  <c r="BG1078" i="2"/>
  <c r="W1078" i="2"/>
  <c r="G1078" i="2"/>
  <c r="F1078" i="2"/>
  <c r="E1078" i="2"/>
  <c r="D1078" i="2"/>
  <c r="C1078" i="2"/>
  <c r="B1078" i="2"/>
  <c r="A1078" i="2"/>
  <c r="CG1077" i="2"/>
  <c r="CF1077" i="2"/>
  <c r="CE1077" i="2"/>
  <c r="CD1077" i="2"/>
  <c r="CC1077" i="2"/>
  <c r="CB1077" i="2"/>
  <c r="CA1077" i="2"/>
  <c r="BZ1077" i="2"/>
  <c r="BY1077" i="2"/>
  <c r="BX1077" i="2"/>
  <c r="BW1077" i="2"/>
  <c r="U1077" i="2"/>
  <c r="G1077" i="2"/>
  <c r="F1077" i="2"/>
  <c r="E1077" i="2"/>
  <c r="D1077" i="2"/>
  <c r="C1077" i="2"/>
  <c r="B1077" i="2"/>
  <c r="A1077" i="2"/>
  <c r="CG1076" i="2"/>
  <c r="CF1076" i="2"/>
  <c r="CE1076" i="2"/>
  <c r="CD1076" i="2"/>
  <c r="CC1076" i="2"/>
  <c r="CB1076" i="2"/>
  <c r="CA1076" i="2"/>
  <c r="BZ1076" i="2"/>
  <c r="BY1076" i="2"/>
  <c r="BX1076" i="2"/>
  <c r="BW1076" i="2"/>
  <c r="G1076" i="2"/>
  <c r="F1076" i="2"/>
  <c r="E1076" i="2"/>
  <c r="D1076" i="2"/>
  <c r="C1076" i="2"/>
  <c r="B1076" i="2"/>
  <c r="A1076" i="2"/>
  <c r="CG1075" i="2"/>
  <c r="CF1075" i="2"/>
  <c r="CE1075" i="2"/>
  <c r="CD1075" i="2"/>
  <c r="CC1075" i="2"/>
  <c r="CB1075" i="2"/>
  <c r="CA1075" i="2"/>
  <c r="BZ1075" i="2"/>
  <c r="BY1075" i="2"/>
  <c r="BX1075" i="2"/>
  <c r="BW1075" i="2"/>
  <c r="U1075" i="2"/>
  <c r="G1075" i="2"/>
  <c r="F1075" i="2"/>
  <c r="E1075" i="2"/>
  <c r="D1075" i="2"/>
  <c r="C1075" i="2"/>
  <c r="B1075" i="2"/>
  <c r="A1075" i="2"/>
  <c r="CG1074" i="2"/>
  <c r="CF1074" i="2"/>
  <c r="CE1074" i="2"/>
  <c r="CD1074" i="2"/>
  <c r="CC1074" i="2"/>
  <c r="CB1074" i="2"/>
  <c r="CA1074" i="2"/>
  <c r="BZ1074" i="2"/>
  <c r="BY1074" i="2"/>
  <c r="BX1074" i="2"/>
  <c r="BW1074" i="2"/>
  <c r="M1074" i="2"/>
  <c r="G1074" i="2"/>
  <c r="F1074" i="2"/>
  <c r="E1074" i="2"/>
  <c r="D1074" i="2"/>
  <c r="C1074" i="2"/>
  <c r="B1074" i="2"/>
  <c r="A1074" i="2"/>
  <c r="CG1073" i="2"/>
  <c r="CF1073" i="2"/>
  <c r="CE1073" i="2"/>
  <c r="CD1073" i="2"/>
  <c r="CC1073" i="2"/>
  <c r="CB1073" i="2"/>
  <c r="CA1073" i="2"/>
  <c r="BZ1073" i="2"/>
  <c r="BY1073" i="2"/>
  <c r="BX1073" i="2"/>
  <c r="BW1073" i="2"/>
  <c r="S1073" i="2"/>
  <c r="G1073" i="2"/>
  <c r="F1073" i="2"/>
  <c r="E1073" i="2"/>
  <c r="D1073" i="2"/>
  <c r="C1073" i="2"/>
  <c r="B1073" i="2"/>
  <c r="A1073" i="2"/>
  <c r="CG1072" i="2"/>
  <c r="CF1072" i="2"/>
  <c r="CE1072" i="2"/>
  <c r="CD1072" i="2"/>
  <c r="CC1072" i="2"/>
  <c r="CB1072" i="2"/>
  <c r="CA1072" i="2"/>
  <c r="BZ1072" i="2"/>
  <c r="BY1072" i="2"/>
  <c r="BX1072" i="2"/>
  <c r="BW1072" i="2"/>
  <c r="H1072" i="2"/>
  <c r="G1072" i="2"/>
  <c r="F1072" i="2"/>
  <c r="E1072" i="2"/>
  <c r="D1072" i="2"/>
  <c r="C1072" i="2"/>
  <c r="B1072" i="2"/>
  <c r="A1072" i="2"/>
  <c r="CG1071" i="2"/>
  <c r="CF1071" i="2"/>
  <c r="CE1071" i="2"/>
  <c r="CD1071" i="2"/>
  <c r="CC1071" i="2"/>
  <c r="CB1071" i="2"/>
  <c r="CA1071" i="2"/>
  <c r="BZ1071" i="2"/>
  <c r="BY1071" i="2"/>
  <c r="BX1071" i="2"/>
  <c r="BW1071" i="2"/>
  <c r="U1071" i="2"/>
  <c r="G1071" i="2"/>
  <c r="F1071" i="2"/>
  <c r="E1071" i="2"/>
  <c r="D1071" i="2"/>
  <c r="C1071" i="2"/>
  <c r="B1071" i="2"/>
  <c r="A1071" i="2"/>
  <c r="CG1070" i="2"/>
  <c r="CF1070" i="2"/>
  <c r="CE1070" i="2"/>
  <c r="CD1070" i="2"/>
  <c r="CC1070" i="2"/>
  <c r="CB1070" i="2"/>
  <c r="CA1070" i="2"/>
  <c r="BZ1070" i="2"/>
  <c r="BY1070" i="2"/>
  <c r="BX1070" i="2"/>
  <c r="BW1070" i="2"/>
  <c r="H1070" i="2"/>
  <c r="G1070" i="2"/>
  <c r="F1070" i="2"/>
  <c r="E1070" i="2"/>
  <c r="D1070" i="2"/>
  <c r="C1070" i="2"/>
  <c r="B1070" i="2"/>
  <c r="A1070" i="2"/>
  <c r="CG1069" i="2"/>
  <c r="CF1069" i="2"/>
  <c r="CE1069" i="2"/>
  <c r="CD1069" i="2"/>
  <c r="CC1069" i="2"/>
  <c r="CB1069" i="2"/>
  <c r="CA1069" i="2"/>
  <c r="BZ1069" i="2"/>
  <c r="BY1069" i="2"/>
  <c r="BX1069" i="2"/>
  <c r="BW1069" i="2"/>
  <c r="S1069" i="2"/>
  <c r="G1069" i="2"/>
  <c r="F1069" i="2"/>
  <c r="E1069" i="2"/>
  <c r="D1069" i="2"/>
  <c r="C1069" i="2"/>
  <c r="B1069" i="2"/>
  <c r="A1069" i="2"/>
  <c r="CG1068" i="2"/>
  <c r="CF1068" i="2"/>
  <c r="CE1068" i="2"/>
  <c r="CD1068" i="2"/>
  <c r="CC1068" i="2"/>
  <c r="CB1068" i="2"/>
  <c r="CA1068" i="2"/>
  <c r="BZ1068" i="2"/>
  <c r="BY1068" i="2"/>
  <c r="BX1068" i="2"/>
  <c r="BW1068" i="2"/>
  <c r="H1068" i="2"/>
  <c r="G1068" i="2"/>
  <c r="F1068" i="2"/>
  <c r="E1068" i="2"/>
  <c r="D1068" i="2"/>
  <c r="C1068" i="2"/>
  <c r="B1068" i="2"/>
  <c r="A1068" i="2"/>
  <c r="CG1067" i="2"/>
  <c r="CF1067" i="2"/>
  <c r="CE1067" i="2"/>
  <c r="CD1067" i="2"/>
  <c r="CC1067" i="2"/>
  <c r="CB1067" i="2"/>
  <c r="CA1067" i="2"/>
  <c r="BZ1067" i="2"/>
  <c r="BY1067" i="2"/>
  <c r="BX1067" i="2"/>
  <c r="BW1067" i="2"/>
  <c r="P1067" i="2"/>
  <c r="G1067" i="2"/>
  <c r="F1067" i="2"/>
  <c r="E1067" i="2"/>
  <c r="D1067" i="2"/>
  <c r="C1067" i="2"/>
  <c r="B1067" i="2"/>
  <c r="A1067" i="2"/>
  <c r="CG1066" i="2"/>
  <c r="CF1066" i="2"/>
  <c r="CE1066" i="2"/>
  <c r="CD1066" i="2"/>
  <c r="CC1066" i="2"/>
  <c r="CB1066" i="2"/>
  <c r="CA1066" i="2"/>
  <c r="BZ1066" i="2"/>
  <c r="BY1066" i="2"/>
  <c r="BX1066" i="2"/>
  <c r="BW1066" i="2"/>
  <c r="H1066" i="2"/>
  <c r="G1066" i="2"/>
  <c r="F1066" i="2"/>
  <c r="E1066" i="2"/>
  <c r="D1066" i="2"/>
  <c r="C1066" i="2"/>
  <c r="B1066" i="2"/>
  <c r="A1066" i="2"/>
  <c r="CG1065" i="2"/>
  <c r="CF1065" i="2"/>
  <c r="CE1065" i="2"/>
  <c r="CD1065" i="2"/>
  <c r="CC1065" i="2"/>
  <c r="CB1065" i="2"/>
  <c r="CA1065" i="2"/>
  <c r="BZ1065" i="2"/>
  <c r="BY1065" i="2"/>
  <c r="BX1065" i="2"/>
  <c r="BW1065" i="2"/>
  <c r="Q1065" i="2"/>
  <c r="G1065" i="2"/>
  <c r="F1065" i="2"/>
  <c r="E1065" i="2"/>
  <c r="D1065" i="2"/>
  <c r="C1065" i="2"/>
  <c r="B1065" i="2"/>
  <c r="A1065" i="2"/>
  <c r="CG1064" i="2"/>
  <c r="CF1064" i="2"/>
  <c r="CE1064" i="2"/>
  <c r="CD1064" i="2"/>
  <c r="CC1064" i="2"/>
  <c r="CB1064" i="2"/>
  <c r="CA1064" i="2"/>
  <c r="BZ1064" i="2"/>
  <c r="BY1064" i="2"/>
  <c r="BX1064" i="2"/>
  <c r="BW1064" i="2"/>
  <c r="H1064" i="2"/>
  <c r="G1064" i="2"/>
  <c r="F1064" i="2"/>
  <c r="E1064" i="2"/>
  <c r="D1064" i="2"/>
  <c r="C1064" i="2"/>
  <c r="B1064" i="2"/>
  <c r="A1064" i="2"/>
  <c r="CG1063" i="2"/>
  <c r="CF1063" i="2"/>
  <c r="CE1063" i="2"/>
  <c r="CD1063" i="2"/>
  <c r="CC1063" i="2"/>
  <c r="CB1063" i="2"/>
  <c r="CA1063" i="2"/>
  <c r="BZ1063" i="2"/>
  <c r="BY1063" i="2"/>
  <c r="BX1063" i="2"/>
  <c r="BW1063" i="2"/>
  <c r="H1063" i="2"/>
  <c r="G1063" i="2"/>
  <c r="F1063" i="2"/>
  <c r="E1063" i="2"/>
  <c r="D1063" i="2"/>
  <c r="C1063" i="2"/>
  <c r="B1063" i="2"/>
  <c r="A1063" i="2"/>
  <c r="CG1062" i="2"/>
  <c r="CF1062" i="2"/>
  <c r="CE1062" i="2"/>
  <c r="CD1062" i="2"/>
  <c r="CC1062" i="2"/>
  <c r="CB1062" i="2"/>
  <c r="CA1062" i="2"/>
  <c r="BZ1062" i="2"/>
  <c r="BY1062" i="2"/>
  <c r="BX1062" i="2"/>
  <c r="BW1062" i="2"/>
  <c r="U1062" i="2"/>
  <c r="G1062" i="2"/>
  <c r="F1062" i="2"/>
  <c r="E1062" i="2"/>
  <c r="D1062" i="2"/>
  <c r="C1062" i="2"/>
  <c r="B1062" i="2"/>
  <c r="A1062" i="2"/>
  <c r="CG1061" i="2"/>
  <c r="CF1061" i="2"/>
  <c r="CE1061" i="2"/>
  <c r="CD1061" i="2"/>
  <c r="CC1061" i="2"/>
  <c r="CB1061" i="2"/>
  <c r="CA1061" i="2"/>
  <c r="BZ1061" i="2"/>
  <c r="BY1061" i="2"/>
  <c r="BX1061" i="2"/>
  <c r="BW1061" i="2"/>
  <c r="S1061" i="2"/>
  <c r="G1061" i="2"/>
  <c r="F1061" i="2"/>
  <c r="E1061" i="2"/>
  <c r="D1061" i="2"/>
  <c r="C1061" i="2"/>
  <c r="B1061" i="2"/>
  <c r="A1061" i="2"/>
  <c r="CG1060" i="2"/>
  <c r="CF1060" i="2"/>
  <c r="CE1060" i="2"/>
  <c r="CD1060" i="2"/>
  <c r="CC1060" i="2"/>
  <c r="CB1060" i="2"/>
  <c r="CA1060" i="2"/>
  <c r="BZ1060" i="2"/>
  <c r="BY1060" i="2"/>
  <c r="BX1060" i="2"/>
  <c r="BW1060" i="2"/>
  <c r="J1060" i="2"/>
  <c r="G1060" i="2"/>
  <c r="F1060" i="2"/>
  <c r="E1060" i="2"/>
  <c r="D1060" i="2"/>
  <c r="C1060" i="2"/>
  <c r="B1060" i="2"/>
  <c r="A1060" i="2"/>
  <c r="CG1059" i="2"/>
  <c r="CF1059" i="2"/>
  <c r="CE1059" i="2"/>
  <c r="CD1059" i="2"/>
  <c r="CC1059" i="2"/>
  <c r="CB1059" i="2"/>
  <c r="CA1059" i="2"/>
  <c r="BZ1059" i="2"/>
  <c r="BY1059" i="2"/>
  <c r="BX1059" i="2"/>
  <c r="BW1059" i="2"/>
  <c r="H1059" i="2"/>
  <c r="G1059" i="2"/>
  <c r="F1059" i="2"/>
  <c r="E1059" i="2"/>
  <c r="D1059" i="2"/>
  <c r="C1059" i="2"/>
  <c r="B1059" i="2"/>
  <c r="A1059" i="2"/>
  <c r="CG1058" i="2"/>
  <c r="CF1058" i="2"/>
  <c r="CE1058" i="2"/>
  <c r="CD1058" i="2"/>
  <c r="CC1058" i="2"/>
  <c r="CB1058" i="2"/>
  <c r="CA1058" i="2"/>
  <c r="BZ1058" i="2"/>
  <c r="BY1058" i="2"/>
  <c r="BX1058" i="2"/>
  <c r="BW1058" i="2"/>
  <c r="S1058" i="2"/>
  <c r="P1058" i="2"/>
  <c r="G1058" i="2"/>
  <c r="F1058" i="2"/>
  <c r="E1058" i="2"/>
  <c r="D1058" i="2"/>
  <c r="C1058" i="2"/>
  <c r="B1058" i="2"/>
  <c r="A1058" i="2"/>
  <c r="CG1057" i="2"/>
  <c r="CF1057" i="2"/>
  <c r="CE1057" i="2"/>
  <c r="CD1057" i="2"/>
  <c r="CC1057" i="2"/>
  <c r="CB1057" i="2"/>
  <c r="CA1057" i="2"/>
  <c r="BZ1057" i="2"/>
  <c r="BY1057" i="2"/>
  <c r="BX1057" i="2"/>
  <c r="BW1057" i="2"/>
  <c r="P1057" i="2"/>
  <c r="G1057" i="2"/>
  <c r="F1057" i="2"/>
  <c r="E1057" i="2"/>
  <c r="D1057" i="2"/>
  <c r="C1057" i="2"/>
  <c r="B1057" i="2"/>
  <c r="A1057" i="2"/>
  <c r="CG1056" i="2"/>
  <c r="CF1056" i="2"/>
  <c r="CE1056" i="2"/>
  <c r="CD1056" i="2"/>
  <c r="CC1056" i="2"/>
  <c r="CB1056" i="2"/>
  <c r="CA1056" i="2"/>
  <c r="BZ1056" i="2"/>
  <c r="BY1056" i="2"/>
  <c r="BX1056" i="2"/>
  <c r="BW1056" i="2"/>
  <c r="U1056" i="2"/>
  <c r="G1056" i="2"/>
  <c r="F1056" i="2"/>
  <c r="E1056" i="2"/>
  <c r="D1056" i="2"/>
  <c r="C1056" i="2"/>
  <c r="B1056" i="2"/>
  <c r="A1056" i="2"/>
  <c r="CG1055" i="2"/>
  <c r="CF1055" i="2"/>
  <c r="CE1055" i="2"/>
  <c r="CD1055" i="2"/>
  <c r="CC1055" i="2"/>
  <c r="CB1055" i="2"/>
  <c r="CA1055" i="2"/>
  <c r="BZ1055" i="2"/>
  <c r="BY1055" i="2"/>
  <c r="BX1055" i="2"/>
  <c r="BW1055" i="2"/>
  <c r="G1055" i="2"/>
  <c r="F1055" i="2"/>
  <c r="E1055" i="2"/>
  <c r="D1055" i="2"/>
  <c r="C1055" i="2"/>
  <c r="B1055" i="2"/>
  <c r="A1055" i="2"/>
  <c r="CG1054" i="2"/>
  <c r="CF1054" i="2"/>
  <c r="CE1054" i="2"/>
  <c r="CD1054" i="2"/>
  <c r="CC1054" i="2"/>
  <c r="CB1054" i="2"/>
  <c r="CA1054" i="2"/>
  <c r="BZ1054" i="2"/>
  <c r="BY1054" i="2"/>
  <c r="BX1054" i="2"/>
  <c r="BW1054" i="2"/>
  <c r="U1054" i="2"/>
  <c r="G1054" i="2"/>
  <c r="F1054" i="2"/>
  <c r="E1054" i="2"/>
  <c r="D1054" i="2"/>
  <c r="C1054" i="2"/>
  <c r="B1054" i="2"/>
  <c r="A1054" i="2"/>
  <c r="CG1053" i="2"/>
  <c r="CF1053" i="2"/>
  <c r="CE1053" i="2"/>
  <c r="CD1053" i="2"/>
  <c r="CC1053" i="2"/>
  <c r="CB1053" i="2"/>
  <c r="CA1053" i="2"/>
  <c r="BZ1053" i="2"/>
  <c r="BY1053" i="2"/>
  <c r="BX1053" i="2"/>
  <c r="BW1053" i="2"/>
  <c r="T1053" i="2"/>
  <c r="G1053" i="2"/>
  <c r="F1053" i="2"/>
  <c r="E1053" i="2"/>
  <c r="D1053" i="2"/>
  <c r="C1053" i="2"/>
  <c r="B1053" i="2"/>
  <c r="A1053" i="2"/>
  <c r="CG1052" i="2"/>
  <c r="CF1052" i="2"/>
  <c r="CE1052" i="2"/>
  <c r="CD1052" i="2"/>
  <c r="CC1052" i="2"/>
  <c r="CB1052" i="2"/>
  <c r="CA1052" i="2"/>
  <c r="BZ1052" i="2"/>
  <c r="BY1052" i="2"/>
  <c r="BX1052" i="2"/>
  <c r="BW1052" i="2"/>
  <c r="H1052" i="2"/>
  <c r="G1052" i="2"/>
  <c r="F1052" i="2"/>
  <c r="E1052" i="2"/>
  <c r="C1052" i="2"/>
  <c r="B1052" i="2"/>
  <c r="A1052" i="2"/>
  <c r="CG1051" i="2"/>
  <c r="CF1051" i="2"/>
  <c r="CE1051" i="2"/>
  <c r="CD1051" i="2"/>
  <c r="CC1051" i="2"/>
  <c r="CB1051" i="2"/>
  <c r="CA1051" i="2"/>
  <c r="BZ1051" i="2"/>
  <c r="BY1051" i="2"/>
  <c r="BX1051" i="2"/>
  <c r="BW1051" i="2"/>
  <c r="L1051" i="2"/>
  <c r="G1051" i="2"/>
  <c r="F1051" i="2"/>
  <c r="E1051" i="2"/>
  <c r="D1051" i="2"/>
  <c r="C1051" i="2"/>
  <c r="B1051" i="2"/>
  <c r="A1051" i="2"/>
  <c r="CG1050" i="2"/>
  <c r="CF1050" i="2"/>
  <c r="CE1050" i="2"/>
  <c r="CD1050" i="2"/>
  <c r="CC1050" i="2"/>
  <c r="CB1050" i="2"/>
  <c r="CA1050" i="2"/>
  <c r="BZ1050" i="2"/>
  <c r="BY1050" i="2"/>
  <c r="BX1050" i="2"/>
  <c r="BW1050" i="2"/>
  <c r="H1050" i="2"/>
  <c r="G1050" i="2"/>
  <c r="F1050" i="2"/>
  <c r="E1050" i="2"/>
  <c r="D1050" i="2"/>
  <c r="C1050" i="2"/>
  <c r="B1050" i="2"/>
  <c r="A1050" i="2"/>
  <c r="CG1049" i="2"/>
  <c r="CF1049" i="2"/>
  <c r="CE1049" i="2"/>
  <c r="CD1049" i="2"/>
  <c r="CC1049" i="2"/>
  <c r="CB1049" i="2"/>
  <c r="CA1049" i="2"/>
  <c r="BZ1049" i="2"/>
  <c r="BY1049" i="2"/>
  <c r="BX1049" i="2"/>
  <c r="BW1049" i="2"/>
  <c r="G1049" i="2"/>
  <c r="F1049" i="2"/>
  <c r="E1049" i="2"/>
  <c r="D1049" i="2"/>
  <c r="C1049" i="2"/>
  <c r="B1049" i="2"/>
  <c r="A1049" i="2"/>
  <c r="CG1048" i="2"/>
  <c r="CF1048" i="2"/>
  <c r="CE1048" i="2"/>
  <c r="CD1048" i="2"/>
  <c r="CC1048" i="2"/>
  <c r="CB1048" i="2"/>
  <c r="CA1048" i="2"/>
  <c r="BZ1048" i="2"/>
  <c r="BY1048" i="2"/>
  <c r="BX1048" i="2"/>
  <c r="BW1048" i="2"/>
  <c r="Q1048" i="2"/>
  <c r="G1048" i="2"/>
  <c r="F1048" i="2"/>
  <c r="E1048" i="2"/>
  <c r="D1048" i="2"/>
  <c r="C1048" i="2"/>
  <c r="B1048" i="2"/>
  <c r="A1048" i="2"/>
  <c r="CG1047" i="2"/>
  <c r="CF1047" i="2"/>
  <c r="CE1047" i="2"/>
  <c r="CD1047" i="2"/>
  <c r="CC1047" i="2"/>
  <c r="CA1047" i="2"/>
  <c r="BZ1047" i="2"/>
  <c r="BY1047" i="2"/>
  <c r="BX1047" i="2"/>
  <c r="BW1047" i="2"/>
  <c r="H1047" i="2"/>
  <c r="G1047" i="2"/>
  <c r="F1047" i="2"/>
  <c r="E1047" i="2"/>
  <c r="D1047" i="2"/>
  <c r="C1047" i="2"/>
  <c r="B1047" i="2"/>
  <c r="A1047" i="2"/>
  <c r="CG1046" i="2"/>
  <c r="CE1046" i="2"/>
  <c r="CD1046" i="2"/>
  <c r="CC1046" i="2"/>
  <c r="CA1046" i="2"/>
  <c r="BZ1046" i="2"/>
  <c r="BY1046" i="2"/>
  <c r="BX1046" i="2"/>
  <c r="BW1046" i="2"/>
  <c r="R1046" i="2"/>
  <c r="G1046" i="2"/>
  <c r="F1046" i="2"/>
  <c r="E1046" i="2"/>
  <c r="D1046" i="2"/>
  <c r="C1046" i="2"/>
  <c r="B1046" i="2"/>
  <c r="A1046" i="2"/>
  <c r="CG1045" i="2"/>
  <c r="CF1045" i="2"/>
  <c r="CE1045" i="2"/>
  <c r="CD1045" i="2"/>
  <c r="CC1045" i="2"/>
  <c r="CB1045" i="2"/>
  <c r="CA1045" i="2"/>
  <c r="BZ1045" i="2"/>
  <c r="BY1045" i="2"/>
  <c r="BX1045" i="2"/>
  <c r="BW1045" i="2"/>
  <c r="T1045" i="2"/>
  <c r="G1045" i="2"/>
  <c r="F1045" i="2"/>
  <c r="E1045" i="2"/>
  <c r="D1045" i="2"/>
  <c r="C1045" i="2"/>
  <c r="B1045" i="2"/>
  <c r="A1045" i="2"/>
  <c r="CG1044" i="2"/>
  <c r="CF1044" i="2"/>
  <c r="CE1044" i="2"/>
  <c r="CD1044" i="2"/>
  <c r="CC1044" i="2"/>
  <c r="CB1044" i="2"/>
  <c r="CA1044" i="2"/>
  <c r="BZ1044" i="2"/>
  <c r="BY1044" i="2"/>
  <c r="BX1044" i="2"/>
  <c r="BW1044" i="2"/>
  <c r="T1044" i="2"/>
  <c r="G1044" i="2"/>
  <c r="F1044" i="2"/>
  <c r="E1044" i="2"/>
  <c r="D1044" i="2"/>
  <c r="C1044" i="2"/>
  <c r="B1044" i="2"/>
  <c r="A1044" i="2"/>
  <c r="CG1043" i="2"/>
  <c r="CF1043" i="2"/>
  <c r="CE1043" i="2"/>
  <c r="CD1043" i="2"/>
  <c r="CC1043" i="2"/>
  <c r="CB1043" i="2"/>
  <c r="CA1043" i="2"/>
  <c r="BZ1043" i="2"/>
  <c r="BY1043" i="2"/>
  <c r="BX1043" i="2"/>
  <c r="BW1043" i="2"/>
  <c r="U1043" i="2"/>
  <c r="G1043" i="2"/>
  <c r="F1043" i="2"/>
  <c r="E1043" i="2"/>
  <c r="D1043" i="2"/>
  <c r="C1043" i="2"/>
  <c r="B1043" i="2"/>
  <c r="A1043" i="2"/>
  <c r="CG1042" i="2"/>
  <c r="CF1042" i="2"/>
  <c r="CE1042" i="2"/>
  <c r="CD1042" i="2"/>
  <c r="CC1042" i="2"/>
  <c r="CB1042" i="2"/>
  <c r="CA1042" i="2"/>
  <c r="BZ1042" i="2"/>
  <c r="BY1042" i="2"/>
  <c r="BX1042" i="2"/>
  <c r="BW1042" i="2"/>
  <c r="Q1042" i="2"/>
  <c r="G1042" i="2"/>
  <c r="F1042" i="2"/>
  <c r="E1042" i="2"/>
  <c r="D1042" i="2"/>
  <c r="C1042" i="2"/>
  <c r="B1042" i="2"/>
  <c r="A1042" i="2"/>
  <c r="CG1041" i="2"/>
  <c r="CF1041" i="2"/>
  <c r="CE1041" i="2"/>
  <c r="CD1041" i="2"/>
  <c r="CC1041" i="2"/>
  <c r="CB1041" i="2"/>
  <c r="CA1041" i="2"/>
  <c r="BZ1041" i="2"/>
  <c r="BY1041" i="2"/>
  <c r="BX1041" i="2"/>
  <c r="BW1041" i="2"/>
  <c r="T1041" i="2"/>
  <c r="G1041" i="2"/>
  <c r="F1041" i="2"/>
  <c r="E1041" i="2"/>
  <c r="D1041" i="2"/>
  <c r="C1041" i="2"/>
  <c r="B1041" i="2"/>
  <c r="A1041" i="2"/>
  <c r="CG1040" i="2"/>
  <c r="CF1040" i="2"/>
  <c r="CE1040" i="2"/>
  <c r="CD1040" i="2"/>
  <c r="CC1040" i="2"/>
  <c r="CB1040" i="2"/>
  <c r="CA1040" i="2"/>
  <c r="BZ1040" i="2"/>
  <c r="BY1040" i="2"/>
  <c r="BX1040" i="2"/>
  <c r="BW1040" i="2"/>
  <c r="Q1040" i="2"/>
  <c r="G1040" i="2"/>
  <c r="F1040" i="2"/>
  <c r="E1040" i="2"/>
  <c r="D1040" i="2"/>
  <c r="C1040" i="2"/>
  <c r="B1040" i="2"/>
  <c r="A1040" i="2"/>
  <c r="CG1039" i="2"/>
  <c r="CF1039" i="2"/>
  <c r="CE1039" i="2"/>
  <c r="CD1039" i="2"/>
  <c r="CC1039" i="2"/>
  <c r="CB1039" i="2"/>
  <c r="CA1039" i="2"/>
  <c r="BZ1039" i="2"/>
  <c r="BY1039" i="2"/>
  <c r="BX1039" i="2"/>
  <c r="BW1039" i="2"/>
  <c r="M1039" i="2"/>
  <c r="G1039" i="2"/>
  <c r="F1039" i="2"/>
  <c r="E1039" i="2"/>
  <c r="D1039" i="2"/>
  <c r="C1039" i="2"/>
  <c r="B1039" i="2"/>
  <c r="A1039" i="2"/>
  <c r="CG1038" i="2"/>
  <c r="CF1038" i="2"/>
  <c r="CE1038" i="2"/>
  <c r="CD1038" i="2"/>
  <c r="CC1038" i="2"/>
  <c r="CB1038" i="2"/>
  <c r="CA1038" i="2"/>
  <c r="BZ1038" i="2"/>
  <c r="BY1038" i="2"/>
  <c r="BX1038" i="2"/>
  <c r="BW1038" i="2"/>
  <c r="BH1038" i="2"/>
  <c r="W1038" i="2"/>
  <c r="G1038" i="2"/>
  <c r="F1038" i="2"/>
  <c r="E1038" i="2"/>
  <c r="D1038" i="2"/>
  <c r="C1038" i="2"/>
  <c r="B1038" i="2"/>
  <c r="A1038" i="2"/>
  <c r="CG1037" i="2"/>
  <c r="CF1037" i="2"/>
  <c r="CE1037" i="2"/>
  <c r="CD1037" i="2"/>
  <c r="CC1037" i="2"/>
  <c r="CB1037" i="2"/>
  <c r="CA1037" i="2"/>
  <c r="BZ1037" i="2"/>
  <c r="BY1037" i="2"/>
  <c r="BX1037" i="2"/>
  <c r="BW1037" i="2"/>
  <c r="G1037" i="2"/>
  <c r="F1037" i="2"/>
  <c r="E1037" i="2"/>
  <c r="D1037" i="2"/>
  <c r="C1037" i="2"/>
  <c r="B1037" i="2"/>
  <c r="A1037" i="2"/>
  <c r="CG1036" i="2"/>
  <c r="CF1036" i="2"/>
  <c r="CE1036" i="2"/>
  <c r="CD1036" i="2"/>
  <c r="CC1036" i="2"/>
  <c r="CB1036" i="2"/>
  <c r="CA1036" i="2"/>
  <c r="BZ1036" i="2"/>
  <c r="BY1036" i="2"/>
  <c r="BX1036" i="2"/>
  <c r="BW1036" i="2"/>
  <c r="H1036" i="2"/>
  <c r="G1036" i="2"/>
  <c r="F1036" i="2"/>
  <c r="E1036" i="2"/>
  <c r="C1036" i="2"/>
  <c r="B1036" i="2"/>
  <c r="A1036" i="2"/>
  <c r="CG1035" i="2"/>
  <c r="CF1035" i="2"/>
  <c r="CE1035" i="2"/>
  <c r="CD1035" i="2"/>
  <c r="CC1035" i="2"/>
  <c r="CB1035" i="2"/>
  <c r="CA1035" i="2"/>
  <c r="BZ1035" i="2"/>
  <c r="BY1035" i="2"/>
  <c r="BX1035" i="2"/>
  <c r="BW1035" i="2"/>
  <c r="U1035" i="2"/>
  <c r="G1035" i="2"/>
  <c r="F1035" i="2"/>
  <c r="E1035" i="2"/>
  <c r="D1035" i="2"/>
  <c r="C1035" i="2"/>
  <c r="B1035" i="2"/>
  <c r="A1035" i="2"/>
  <c r="CG1034" i="2"/>
  <c r="CF1034" i="2"/>
  <c r="CE1034" i="2"/>
  <c r="CD1034" i="2"/>
  <c r="CC1034" i="2"/>
  <c r="CB1034" i="2"/>
  <c r="CA1034" i="2"/>
  <c r="BZ1034" i="2"/>
  <c r="BY1034" i="2"/>
  <c r="BX1034" i="2"/>
  <c r="BW1034" i="2"/>
  <c r="H1034" i="2"/>
  <c r="G1034" i="2"/>
  <c r="F1034" i="2"/>
  <c r="E1034" i="2"/>
  <c r="D1034" i="2"/>
  <c r="C1034" i="2"/>
  <c r="B1034" i="2"/>
  <c r="A1034" i="2"/>
  <c r="CG1033" i="2"/>
  <c r="CF1033" i="2"/>
  <c r="CE1033" i="2"/>
  <c r="CD1033" i="2"/>
  <c r="CC1033" i="2"/>
  <c r="CB1033" i="2"/>
  <c r="CA1033" i="2"/>
  <c r="BZ1033" i="2"/>
  <c r="BY1033" i="2"/>
  <c r="BX1033" i="2"/>
  <c r="BW1033" i="2"/>
  <c r="M1033" i="2"/>
  <c r="G1033" i="2"/>
  <c r="F1033" i="2"/>
  <c r="E1033" i="2"/>
  <c r="D1033" i="2"/>
  <c r="C1033" i="2"/>
  <c r="B1033" i="2"/>
  <c r="A1033" i="2"/>
  <c r="CG1032" i="2"/>
  <c r="CF1032" i="2"/>
  <c r="CE1032" i="2"/>
  <c r="CD1032" i="2"/>
  <c r="CC1032" i="2"/>
  <c r="CB1032" i="2"/>
  <c r="CA1032" i="2"/>
  <c r="BZ1032" i="2"/>
  <c r="BY1032" i="2"/>
  <c r="BX1032" i="2"/>
  <c r="BW1032" i="2"/>
  <c r="M1032" i="2"/>
  <c r="G1032" i="2"/>
  <c r="F1032" i="2"/>
  <c r="E1032" i="2"/>
  <c r="D1032" i="2"/>
  <c r="C1032" i="2"/>
  <c r="B1032" i="2"/>
  <c r="A1032" i="2"/>
  <c r="CG1031" i="2"/>
  <c r="CF1031" i="2"/>
  <c r="CE1031" i="2"/>
  <c r="CD1031" i="2"/>
  <c r="CC1031" i="2"/>
  <c r="CB1031" i="2"/>
  <c r="CA1031" i="2"/>
  <c r="BZ1031" i="2"/>
  <c r="BY1031" i="2"/>
  <c r="BX1031" i="2"/>
  <c r="BW1031" i="2"/>
  <c r="G1031" i="2"/>
  <c r="F1031" i="2"/>
  <c r="E1031" i="2"/>
  <c r="D1031" i="2"/>
  <c r="C1031" i="2"/>
  <c r="B1031" i="2"/>
  <c r="A1031" i="2"/>
  <c r="CG1030" i="2"/>
  <c r="CF1030" i="2"/>
  <c r="CE1030" i="2"/>
  <c r="CD1030" i="2"/>
  <c r="CC1030" i="2"/>
  <c r="CB1030" i="2"/>
  <c r="CA1030" i="2"/>
  <c r="BZ1030" i="2"/>
  <c r="BY1030" i="2"/>
  <c r="BX1030" i="2"/>
  <c r="BW1030" i="2"/>
  <c r="M1030" i="2"/>
  <c r="G1030" i="2"/>
  <c r="F1030" i="2"/>
  <c r="E1030" i="2"/>
  <c r="D1030" i="2"/>
  <c r="C1030" i="2"/>
  <c r="B1030" i="2"/>
  <c r="A1030" i="2"/>
  <c r="CG1029" i="2"/>
  <c r="CF1029" i="2"/>
  <c r="CE1029" i="2"/>
  <c r="CD1029" i="2"/>
  <c r="CC1029" i="2"/>
  <c r="CB1029" i="2"/>
  <c r="CA1029" i="2"/>
  <c r="BZ1029" i="2"/>
  <c r="BY1029" i="2"/>
  <c r="BX1029" i="2"/>
  <c r="BW1029" i="2"/>
  <c r="P1029" i="2"/>
  <c r="G1029" i="2"/>
  <c r="F1029" i="2"/>
  <c r="E1029" i="2"/>
  <c r="D1029" i="2"/>
  <c r="C1029" i="2"/>
  <c r="B1029" i="2"/>
  <c r="A1029" i="2"/>
  <c r="CG1028" i="2"/>
  <c r="CF1028" i="2"/>
  <c r="CE1028" i="2"/>
  <c r="CD1028" i="2"/>
  <c r="CC1028" i="2"/>
  <c r="CB1028" i="2"/>
  <c r="CA1028" i="2"/>
  <c r="BZ1028" i="2"/>
  <c r="BY1028" i="2"/>
  <c r="BX1028" i="2"/>
  <c r="BW1028" i="2"/>
  <c r="M1028" i="2"/>
  <c r="G1028" i="2"/>
  <c r="F1028" i="2"/>
  <c r="E1028" i="2"/>
  <c r="D1028" i="2"/>
  <c r="C1028" i="2"/>
  <c r="B1028" i="2"/>
  <c r="A1028" i="2"/>
  <c r="CG1027" i="2"/>
  <c r="CF1027" i="2"/>
  <c r="CE1027" i="2"/>
  <c r="CD1027" i="2"/>
  <c r="CC1027" i="2"/>
  <c r="CB1027" i="2"/>
  <c r="CA1027" i="2"/>
  <c r="BZ1027" i="2"/>
  <c r="BY1027" i="2"/>
  <c r="BX1027" i="2"/>
  <c r="BW1027" i="2"/>
  <c r="U1027" i="2"/>
  <c r="G1027" i="2"/>
  <c r="F1027" i="2"/>
  <c r="E1027" i="2"/>
  <c r="D1027" i="2"/>
  <c r="C1027" i="2"/>
  <c r="B1027" i="2"/>
  <c r="A1027" i="2"/>
  <c r="CG1026" i="2"/>
  <c r="CF1026" i="2"/>
  <c r="CE1026" i="2"/>
  <c r="CD1026" i="2"/>
  <c r="CC1026" i="2"/>
  <c r="CB1026" i="2"/>
  <c r="CA1026" i="2"/>
  <c r="BZ1026" i="2"/>
  <c r="BY1026" i="2"/>
  <c r="BX1026" i="2"/>
  <c r="BW1026" i="2"/>
  <c r="P1026" i="2"/>
  <c r="G1026" i="2"/>
  <c r="F1026" i="2"/>
  <c r="E1026" i="2"/>
  <c r="D1026" i="2"/>
  <c r="C1026" i="2"/>
  <c r="B1026" i="2"/>
  <c r="A1026" i="2"/>
  <c r="CG1025" i="2"/>
  <c r="CF1025" i="2"/>
  <c r="CE1025" i="2"/>
  <c r="CD1025" i="2"/>
  <c r="CC1025" i="2"/>
  <c r="CB1025" i="2"/>
  <c r="CA1025" i="2"/>
  <c r="BZ1025" i="2"/>
  <c r="BY1025" i="2"/>
  <c r="BX1025" i="2"/>
  <c r="BW1025" i="2"/>
  <c r="G1025" i="2"/>
  <c r="F1025" i="2"/>
  <c r="E1025" i="2"/>
  <c r="D1025" i="2"/>
  <c r="C1025" i="2"/>
  <c r="B1025" i="2"/>
  <c r="A1025" i="2"/>
  <c r="CG1024" i="2"/>
  <c r="CF1024" i="2"/>
  <c r="CE1024" i="2"/>
  <c r="CD1024" i="2"/>
  <c r="CC1024" i="2"/>
  <c r="CB1024" i="2"/>
  <c r="CA1024" i="2"/>
  <c r="BZ1024" i="2"/>
  <c r="BY1024" i="2"/>
  <c r="BX1024" i="2"/>
  <c r="BW1024" i="2"/>
  <c r="L1024" i="2"/>
  <c r="G1024" i="2"/>
  <c r="F1024" i="2"/>
  <c r="E1024" i="2"/>
  <c r="D1024" i="2"/>
  <c r="C1024" i="2"/>
  <c r="B1024" i="2"/>
  <c r="A1024" i="2"/>
  <c r="CG1023" i="2"/>
  <c r="CF1023" i="2"/>
  <c r="CE1023" i="2"/>
  <c r="CD1023" i="2"/>
  <c r="CC1023" i="2"/>
  <c r="CB1023" i="2"/>
  <c r="CA1023" i="2"/>
  <c r="BZ1023" i="2"/>
  <c r="BY1023" i="2"/>
  <c r="BX1023" i="2"/>
  <c r="BW1023" i="2"/>
  <c r="Q1023" i="2"/>
  <c r="G1023" i="2"/>
  <c r="D1023" i="2"/>
  <c r="C1023" i="2"/>
  <c r="B1023" i="2"/>
  <c r="A1023" i="2"/>
  <c r="CG1022" i="2"/>
  <c r="CF1022" i="2"/>
  <c r="CE1022" i="2"/>
  <c r="CD1022" i="2"/>
  <c r="CC1022" i="2"/>
  <c r="CB1022" i="2"/>
  <c r="CA1022" i="2"/>
  <c r="BZ1022" i="2"/>
  <c r="BY1022" i="2"/>
  <c r="BX1022" i="2"/>
  <c r="BW1022" i="2"/>
  <c r="H1022" i="2"/>
  <c r="G1022" i="2"/>
  <c r="F1022" i="2"/>
  <c r="E1022" i="2"/>
  <c r="D1022" i="2"/>
  <c r="C1022" i="2"/>
  <c r="B1022" i="2"/>
  <c r="A1022" i="2"/>
  <c r="CG1021" i="2"/>
  <c r="CF1021" i="2"/>
  <c r="CE1021" i="2"/>
  <c r="CD1021" i="2"/>
  <c r="CC1021" i="2"/>
  <c r="CB1021" i="2"/>
  <c r="CA1021" i="2"/>
  <c r="BZ1021" i="2"/>
  <c r="BY1021" i="2"/>
  <c r="BX1021" i="2"/>
  <c r="BW1021" i="2"/>
  <c r="T1021" i="2"/>
  <c r="G1021" i="2"/>
  <c r="F1021" i="2"/>
  <c r="E1021" i="2"/>
  <c r="D1021" i="2"/>
  <c r="C1021" i="2"/>
  <c r="B1021" i="2"/>
  <c r="A1021" i="2"/>
  <c r="CG1020" i="2"/>
  <c r="CF1020" i="2"/>
  <c r="CE1020" i="2"/>
  <c r="CD1020" i="2"/>
  <c r="CC1020" i="2"/>
  <c r="CB1020" i="2"/>
  <c r="CA1020" i="2"/>
  <c r="BZ1020" i="2"/>
  <c r="BY1020" i="2"/>
  <c r="BX1020" i="2"/>
  <c r="BW1020" i="2"/>
  <c r="G1020" i="2"/>
  <c r="F1020" i="2"/>
  <c r="E1020" i="2"/>
  <c r="D1020" i="2"/>
  <c r="C1020" i="2"/>
  <c r="B1020" i="2"/>
  <c r="A1020" i="2"/>
  <c r="CG1019" i="2"/>
  <c r="CF1019" i="2"/>
  <c r="CE1019" i="2"/>
  <c r="CD1019" i="2"/>
  <c r="CC1019" i="2"/>
  <c r="CB1019" i="2"/>
  <c r="CA1019" i="2"/>
  <c r="BZ1019" i="2"/>
  <c r="BY1019" i="2"/>
  <c r="BX1019" i="2"/>
  <c r="BW1019" i="2"/>
  <c r="H1019" i="2"/>
  <c r="G1019" i="2"/>
  <c r="F1019" i="2"/>
  <c r="E1019" i="2"/>
  <c r="D1019" i="2"/>
  <c r="C1019" i="2"/>
  <c r="B1019" i="2"/>
  <c r="A1019" i="2"/>
  <c r="CG1018" i="2"/>
  <c r="CF1018" i="2"/>
  <c r="CE1018" i="2"/>
  <c r="CD1018" i="2"/>
  <c r="CC1018" i="2"/>
  <c r="CB1018" i="2"/>
  <c r="CA1018" i="2"/>
  <c r="BZ1018" i="2"/>
  <c r="BY1018" i="2"/>
  <c r="BX1018" i="2"/>
  <c r="BW1018" i="2"/>
  <c r="O1018" i="2"/>
  <c r="G1018" i="2"/>
  <c r="F1018" i="2"/>
  <c r="E1018" i="2"/>
  <c r="D1018" i="2"/>
  <c r="C1018" i="2"/>
  <c r="B1018" i="2"/>
  <c r="A1018" i="2"/>
  <c r="CG1017" i="2"/>
  <c r="CF1017" i="2"/>
  <c r="CE1017" i="2"/>
  <c r="CD1017" i="2"/>
  <c r="CC1017" i="2"/>
  <c r="CB1017" i="2"/>
  <c r="CA1017" i="2"/>
  <c r="BZ1017" i="2"/>
  <c r="BY1017" i="2"/>
  <c r="BX1017" i="2"/>
  <c r="BW1017" i="2"/>
  <c r="T1017" i="2"/>
  <c r="G1017" i="2"/>
  <c r="F1017" i="2"/>
  <c r="E1017" i="2"/>
  <c r="D1017" i="2"/>
  <c r="C1017" i="2"/>
  <c r="B1017" i="2"/>
  <c r="A1017" i="2"/>
  <c r="CG1016" i="2"/>
  <c r="CF1016" i="2"/>
  <c r="CE1016" i="2"/>
  <c r="CD1016" i="2"/>
  <c r="CC1016" i="2"/>
  <c r="CB1016" i="2"/>
  <c r="CA1016" i="2"/>
  <c r="BZ1016" i="2"/>
  <c r="BY1016" i="2"/>
  <c r="BX1016" i="2"/>
  <c r="BW1016" i="2"/>
  <c r="T1016" i="2"/>
  <c r="G1016" i="2"/>
  <c r="F1016" i="2"/>
  <c r="E1016" i="2"/>
  <c r="C1016" i="2"/>
  <c r="B1016" i="2"/>
  <c r="A1016" i="2"/>
  <c r="CG1015" i="2"/>
  <c r="CF1015" i="2"/>
  <c r="CE1015" i="2"/>
  <c r="CD1015" i="2"/>
  <c r="CC1015" i="2"/>
  <c r="CB1015" i="2"/>
  <c r="CA1015" i="2"/>
  <c r="BZ1015" i="2"/>
  <c r="BY1015" i="2"/>
  <c r="BX1015" i="2"/>
  <c r="BW1015" i="2"/>
  <c r="Q1015" i="2"/>
  <c r="G1015" i="2"/>
  <c r="F1015" i="2"/>
  <c r="E1015" i="2"/>
  <c r="D1015" i="2"/>
  <c r="C1015" i="2"/>
  <c r="B1015" i="2"/>
  <c r="A1015" i="2"/>
  <c r="CG1014" i="2"/>
  <c r="CF1014" i="2"/>
  <c r="CE1014" i="2"/>
  <c r="CD1014" i="2"/>
  <c r="CC1014" i="2"/>
  <c r="CB1014" i="2"/>
  <c r="CA1014" i="2"/>
  <c r="BZ1014" i="2"/>
  <c r="BY1014" i="2"/>
  <c r="BX1014" i="2"/>
  <c r="BW1014" i="2"/>
  <c r="U1014" i="2"/>
  <c r="G1014" i="2"/>
  <c r="F1014" i="2"/>
  <c r="E1014" i="2"/>
  <c r="D1014" i="2"/>
  <c r="C1014" i="2"/>
  <c r="B1014" i="2"/>
  <c r="A1014" i="2"/>
  <c r="CG1013" i="2"/>
  <c r="CF1013" i="2"/>
  <c r="CE1013" i="2"/>
  <c r="CD1013" i="2"/>
  <c r="CC1013" i="2"/>
  <c r="CB1013" i="2"/>
  <c r="CA1013" i="2"/>
  <c r="BZ1013" i="2"/>
  <c r="BY1013" i="2"/>
  <c r="BX1013" i="2"/>
  <c r="BW1013" i="2"/>
  <c r="O1013" i="2"/>
  <c r="G1013" i="2"/>
  <c r="F1013" i="2"/>
  <c r="E1013" i="2"/>
  <c r="D1013" i="2"/>
  <c r="C1013" i="2"/>
  <c r="B1013" i="2"/>
  <c r="A1013" i="2"/>
  <c r="CG1012" i="2"/>
  <c r="CF1012" i="2"/>
  <c r="CE1012" i="2"/>
  <c r="CD1012" i="2"/>
  <c r="CC1012" i="2"/>
  <c r="CB1012" i="2"/>
  <c r="CA1012" i="2"/>
  <c r="BZ1012" i="2"/>
  <c r="BY1012" i="2"/>
  <c r="BX1012" i="2"/>
  <c r="BW1012" i="2"/>
  <c r="L1012" i="2"/>
  <c r="G1012" i="2"/>
  <c r="F1012" i="2"/>
  <c r="E1012" i="2"/>
  <c r="D1012" i="2"/>
  <c r="C1012" i="2"/>
  <c r="B1012" i="2"/>
  <c r="A1012" i="2"/>
  <c r="CG1011" i="2"/>
  <c r="CF1011" i="2"/>
  <c r="CE1011" i="2"/>
  <c r="CD1011" i="2"/>
  <c r="CC1011" i="2"/>
  <c r="CB1011" i="2"/>
  <c r="CA1011" i="2"/>
  <c r="BZ1011" i="2"/>
  <c r="BY1011" i="2"/>
  <c r="BX1011" i="2"/>
  <c r="BW1011" i="2"/>
  <c r="Q1011" i="2"/>
  <c r="G1011" i="2"/>
  <c r="F1011" i="2"/>
  <c r="E1011" i="2"/>
  <c r="D1011" i="2"/>
  <c r="C1011" i="2"/>
  <c r="B1011" i="2"/>
  <c r="A1011" i="2"/>
  <c r="CG1010" i="2"/>
  <c r="CF1010" i="2"/>
  <c r="CE1010" i="2"/>
  <c r="CD1010" i="2"/>
  <c r="CC1010" i="2"/>
  <c r="CB1010" i="2"/>
  <c r="CA1010" i="2"/>
  <c r="BZ1010" i="2"/>
  <c r="BY1010" i="2"/>
  <c r="BX1010" i="2"/>
  <c r="BW1010" i="2"/>
  <c r="U1010" i="2"/>
  <c r="G1010" i="2"/>
  <c r="F1010" i="2"/>
  <c r="E1010" i="2"/>
  <c r="D1010" i="2"/>
  <c r="C1010" i="2"/>
  <c r="B1010" i="2"/>
  <c r="A1010" i="2"/>
  <c r="CG1009" i="2"/>
  <c r="CF1009" i="2"/>
  <c r="CE1009" i="2"/>
  <c r="CD1009" i="2"/>
  <c r="CC1009" i="2"/>
  <c r="CB1009" i="2"/>
  <c r="CA1009" i="2"/>
  <c r="BZ1009" i="2"/>
  <c r="BY1009" i="2"/>
  <c r="BX1009" i="2"/>
  <c r="BW1009" i="2"/>
  <c r="T1009" i="2"/>
  <c r="G1009" i="2"/>
  <c r="F1009" i="2"/>
  <c r="E1009" i="2"/>
  <c r="D1009" i="2"/>
  <c r="C1009" i="2"/>
  <c r="B1009" i="2"/>
  <c r="A1009" i="2"/>
  <c r="CG1008" i="2"/>
  <c r="CF1008" i="2"/>
  <c r="CE1008" i="2"/>
  <c r="CD1008" i="2"/>
  <c r="CC1008" i="2"/>
  <c r="CB1008" i="2"/>
  <c r="CA1008" i="2"/>
  <c r="BZ1008" i="2"/>
  <c r="BY1008" i="2"/>
  <c r="BX1008" i="2"/>
  <c r="BW1008" i="2"/>
  <c r="S1008" i="2"/>
  <c r="G1008" i="2"/>
  <c r="F1008" i="2"/>
  <c r="E1008" i="2"/>
  <c r="D1008" i="2"/>
  <c r="C1008" i="2"/>
  <c r="B1008" i="2"/>
  <c r="A1008" i="2"/>
  <c r="CG1007" i="2"/>
  <c r="CF1007" i="2"/>
  <c r="CE1007" i="2"/>
  <c r="CD1007" i="2"/>
  <c r="CC1007" i="2"/>
  <c r="CB1007" i="2"/>
  <c r="CA1007" i="2"/>
  <c r="BZ1007" i="2"/>
  <c r="BY1007" i="2"/>
  <c r="BX1007" i="2"/>
  <c r="BW1007" i="2"/>
  <c r="H1007" i="2"/>
  <c r="G1007" i="2"/>
  <c r="F1007" i="2"/>
  <c r="E1007" i="2"/>
  <c r="D1007" i="2"/>
  <c r="C1007" i="2"/>
  <c r="B1007" i="2"/>
  <c r="A1007" i="2"/>
  <c r="CG1006" i="2"/>
  <c r="CF1006" i="2"/>
  <c r="CE1006" i="2"/>
  <c r="CD1006" i="2"/>
  <c r="CC1006" i="2"/>
  <c r="CB1006" i="2"/>
  <c r="CA1006" i="2"/>
  <c r="BZ1006" i="2"/>
  <c r="BY1006" i="2"/>
  <c r="BX1006" i="2"/>
  <c r="BW1006" i="2"/>
  <c r="U1006" i="2"/>
  <c r="G1006" i="2"/>
  <c r="F1006" i="2"/>
  <c r="E1006" i="2"/>
  <c r="D1006" i="2"/>
  <c r="C1006" i="2"/>
  <c r="B1006" i="2"/>
  <c r="A1006" i="2"/>
  <c r="CG1005" i="2"/>
  <c r="CF1005" i="2"/>
  <c r="CE1005" i="2"/>
  <c r="CD1005" i="2"/>
  <c r="CC1005" i="2"/>
  <c r="CB1005" i="2"/>
  <c r="CA1005" i="2"/>
  <c r="BZ1005" i="2"/>
  <c r="BY1005" i="2"/>
  <c r="BX1005" i="2"/>
  <c r="BW1005" i="2"/>
  <c r="H1005" i="2"/>
  <c r="G1005" i="2"/>
  <c r="F1005" i="2"/>
  <c r="E1005" i="2"/>
  <c r="D1005" i="2"/>
  <c r="C1005" i="2"/>
  <c r="B1005" i="2"/>
  <c r="A1005" i="2"/>
  <c r="CG1004" i="2"/>
  <c r="CF1004" i="2"/>
  <c r="CE1004" i="2"/>
  <c r="CD1004" i="2"/>
  <c r="CC1004" i="2"/>
  <c r="CB1004" i="2"/>
  <c r="CA1004" i="2"/>
  <c r="BZ1004" i="2"/>
  <c r="BY1004" i="2"/>
  <c r="BX1004" i="2"/>
  <c r="BW1004" i="2"/>
  <c r="L1004" i="2"/>
  <c r="G1004" i="2"/>
  <c r="F1004" i="2"/>
  <c r="E1004" i="2"/>
  <c r="D1004" i="2"/>
  <c r="C1004" i="2"/>
  <c r="B1004" i="2"/>
  <c r="A1004" i="2"/>
  <c r="CG1003" i="2"/>
  <c r="CF1003" i="2"/>
  <c r="CE1003" i="2"/>
  <c r="CD1003" i="2"/>
  <c r="CC1003" i="2"/>
  <c r="CB1003" i="2"/>
  <c r="CA1003" i="2"/>
  <c r="BZ1003" i="2"/>
  <c r="BY1003" i="2"/>
  <c r="BX1003" i="2"/>
  <c r="BW1003" i="2"/>
  <c r="Q1003" i="2"/>
  <c r="G1003" i="2"/>
  <c r="F1003" i="2"/>
  <c r="E1003" i="2"/>
  <c r="D1003" i="2"/>
  <c r="C1003" i="2"/>
  <c r="B1003" i="2"/>
  <c r="A1003" i="2"/>
  <c r="CG1002" i="2"/>
  <c r="CF1002" i="2"/>
  <c r="CE1002" i="2"/>
  <c r="CD1002" i="2"/>
  <c r="CC1002" i="2"/>
  <c r="CB1002" i="2"/>
  <c r="CA1002" i="2"/>
  <c r="BZ1002" i="2"/>
  <c r="BY1002" i="2"/>
  <c r="BX1002" i="2"/>
  <c r="BW1002" i="2"/>
  <c r="O1002" i="2"/>
  <c r="G1002" i="2"/>
  <c r="F1002" i="2"/>
  <c r="E1002" i="2"/>
  <c r="D1002" i="2"/>
  <c r="C1002" i="2"/>
  <c r="B1002" i="2"/>
  <c r="A1002" i="2"/>
  <c r="CG1001" i="2"/>
  <c r="CF1001" i="2"/>
  <c r="CE1001" i="2"/>
  <c r="CD1001" i="2"/>
  <c r="CC1001" i="2"/>
  <c r="CB1001" i="2"/>
  <c r="CA1001" i="2"/>
  <c r="BZ1001" i="2"/>
  <c r="BY1001" i="2"/>
  <c r="BX1001" i="2"/>
  <c r="BW1001" i="2"/>
  <c r="R1001" i="2"/>
  <c r="G1001" i="2"/>
  <c r="E1001" i="2"/>
  <c r="D1001" i="2"/>
  <c r="C1001" i="2"/>
  <c r="B1001" i="2"/>
  <c r="A1001" i="2"/>
  <c r="CG1000" i="2"/>
  <c r="CF1000" i="2"/>
  <c r="CE1000" i="2"/>
  <c r="CD1000" i="2"/>
  <c r="CC1000" i="2"/>
  <c r="CB1000" i="2"/>
  <c r="CA1000" i="2"/>
  <c r="BZ1000" i="2"/>
  <c r="BY1000" i="2"/>
  <c r="BX1000" i="2"/>
  <c r="BW1000" i="2"/>
  <c r="G1000" i="2"/>
  <c r="F1000" i="2"/>
  <c r="E1000" i="2"/>
  <c r="D1000" i="2"/>
  <c r="C1000" i="2"/>
  <c r="B1000" i="2"/>
  <c r="A1000" i="2"/>
  <c r="CG999" i="2"/>
  <c r="CF999" i="2"/>
  <c r="CE999" i="2"/>
  <c r="CD999" i="2"/>
  <c r="CC999" i="2"/>
  <c r="CB999" i="2"/>
  <c r="CA999" i="2"/>
  <c r="BZ999" i="2"/>
  <c r="BY999" i="2"/>
  <c r="BX999" i="2"/>
  <c r="BW999" i="2"/>
  <c r="O999" i="2"/>
  <c r="G999" i="2"/>
  <c r="F999" i="2"/>
  <c r="D999" i="2"/>
  <c r="C999" i="2"/>
  <c r="B999" i="2"/>
  <c r="A999" i="2"/>
  <c r="CG998" i="2"/>
  <c r="CF998" i="2"/>
  <c r="CE998" i="2"/>
  <c r="CD998" i="2"/>
  <c r="CC998" i="2"/>
  <c r="CB998" i="2"/>
  <c r="CA998" i="2"/>
  <c r="BZ998" i="2"/>
  <c r="BY998" i="2"/>
  <c r="BX998" i="2"/>
  <c r="BW998" i="2"/>
  <c r="H998" i="2"/>
  <c r="G998" i="2"/>
  <c r="F998" i="2"/>
  <c r="E998" i="2"/>
  <c r="D998" i="2"/>
  <c r="C998" i="2"/>
  <c r="B998" i="2"/>
  <c r="A998" i="2"/>
  <c r="CG997" i="2"/>
  <c r="CF997" i="2"/>
  <c r="CE997" i="2"/>
  <c r="CD997" i="2"/>
  <c r="CC997" i="2"/>
  <c r="CB997" i="2"/>
  <c r="CA997" i="2"/>
  <c r="BZ997" i="2"/>
  <c r="BY997" i="2"/>
  <c r="BX997" i="2"/>
  <c r="BW997" i="2"/>
  <c r="T997" i="2"/>
  <c r="G997" i="2"/>
  <c r="F997" i="2"/>
  <c r="E997" i="2"/>
  <c r="D997" i="2"/>
  <c r="C997" i="2"/>
  <c r="B997" i="2"/>
  <c r="A997" i="2"/>
  <c r="CG996" i="2"/>
  <c r="CF996" i="2"/>
  <c r="CE996" i="2"/>
  <c r="CD996" i="2"/>
  <c r="CC996" i="2"/>
  <c r="CB996" i="2"/>
  <c r="CA996" i="2"/>
  <c r="BZ996" i="2"/>
  <c r="BY996" i="2"/>
  <c r="BX996" i="2"/>
  <c r="BW996" i="2"/>
  <c r="BH996" i="2"/>
  <c r="W996" i="2"/>
  <c r="G996" i="2"/>
  <c r="F996" i="2"/>
  <c r="E996" i="2"/>
  <c r="D996" i="2"/>
  <c r="C996" i="2"/>
  <c r="B996" i="2"/>
  <c r="A996" i="2"/>
  <c r="CG995" i="2"/>
  <c r="CF995" i="2"/>
  <c r="CE995" i="2"/>
  <c r="CD995" i="2"/>
  <c r="CC995" i="2"/>
  <c r="CB995" i="2"/>
  <c r="CA995" i="2"/>
  <c r="BZ995" i="2"/>
  <c r="BY995" i="2"/>
  <c r="BX995" i="2"/>
  <c r="BW995" i="2"/>
  <c r="H995" i="2"/>
  <c r="G995" i="2"/>
  <c r="F995" i="2"/>
  <c r="E995" i="2"/>
  <c r="D995" i="2"/>
  <c r="C995" i="2"/>
  <c r="B995" i="2"/>
  <c r="A995" i="2"/>
  <c r="CG994" i="2"/>
  <c r="CF994" i="2"/>
  <c r="CE994" i="2"/>
  <c r="CD994" i="2"/>
  <c r="CC994" i="2"/>
  <c r="CB994" i="2"/>
  <c r="CA994" i="2"/>
  <c r="BZ994" i="2"/>
  <c r="BY994" i="2"/>
  <c r="BX994" i="2"/>
  <c r="BW994" i="2"/>
  <c r="T994" i="2"/>
  <c r="G994" i="2"/>
  <c r="F994" i="2"/>
  <c r="E994" i="2"/>
  <c r="D994" i="2"/>
  <c r="C994" i="2"/>
  <c r="B994" i="2"/>
  <c r="A994" i="2"/>
  <c r="CG993" i="2"/>
  <c r="CF993" i="2"/>
  <c r="CE993" i="2"/>
  <c r="CD993" i="2"/>
  <c r="CC993" i="2"/>
  <c r="CB993" i="2"/>
  <c r="CA993" i="2"/>
  <c r="BZ993" i="2"/>
  <c r="BY993" i="2"/>
  <c r="BX993" i="2"/>
  <c r="BW993" i="2"/>
  <c r="BH993" i="2"/>
  <c r="W993" i="2"/>
  <c r="G993" i="2"/>
  <c r="F993" i="2"/>
  <c r="D993" i="2"/>
  <c r="C993" i="2"/>
  <c r="B993" i="2"/>
  <c r="A993" i="2"/>
  <c r="CG992" i="2"/>
  <c r="CF992" i="2"/>
  <c r="CE992" i="2"/>
  <c r="CD992" i="2"/>
  <c r="CC992" i="2"/>
  <c r="CB992" i="2"/>
  <c r="CA992" i="2"/>
  <c r="BZ992" i="2"/>
  <c r="BY992" i="2"/>
  <c r="BX992" i="2"/>
  <c r="BW992" i="2"/>
  <c r="U992" i="2"/>
  <c r="G992" i="2"/>
  <c r="F992" i="2"/>
  <c r="E992" i="2"/>
  <c r="D992" i="2"/>
  <c r="C992" i="2"/>
  <c r="B992" i="2"/>
  <c r="A992" i="2"/>
  <c r="CG991" i="2"/>
  <c r="CF991" i="2"/>
  <c r="CE991" i="2"/>
  <c r="CD991" i="2"/>
  <c r="CC991" i="2"/>
  <c r="CB991" i="2"/>
  <c r="CA991" i="2"/>
  <c r="BZ991" i="2"/>
  <c r="BY991" i="2"/>
  <c r="BX991" i="2"/>
  <c r="BW991" i="2"/>
  <c r="G991" i="2"/>
  <c r="F991" i="2"/>
  <c r="E991" i="2"/>
  <c r="D991" i="2"/>
  <c r="C991" i="2"/>
  <c r="B991" i="2"/>
  <c r="A991" i="2"/>
  <c r="CG990" i="2"/>
  <c r="CF990" i="2"/>
  <c r="CE990" i="2"/>
  <c r="CD990" i="2"/>
  <c r="CC990" i="2"/>
  <c r="CB990" i="2"/>
  <c r="CA990" i="2"/>
  <c r="BZ990" i="2"/>
  <c r="BY990" i="2"/>
  <c r="BX990" i="2"/>
  <c r="BW990" i="2"/>
  <c r="H990" i="2"/>
  <c r="G990" i="2"/>
  <c r="F990" i="2"/>
  <c r="E990" i="2"/>
  <c r="D990" i="2"/>
  <c r="C990" i="2"/>
  <c r="B990" i="2"/>
  <c r="A990" i="2"/>
  <c r="CG989" i="2"/>
  <c r="CF989" i="2"/>
  <c r="CE989" i="2"/>
  <c r="CD989" i="2"/>
  <c r="CC989" i="2"/>
  <c r="CB989" i="2"/>
  <c r="CA989" i="2"/>
  <c r="BZ989" i="2"/>
  <c r="BY989" i="2"/>
  <c r="BX989" i="2"/>
  <c r="BW989" i="2"/>
  <c r="H989" i="2"/>
  <c r="G989" i="2"/>
  <c r="F989" i="2"/>
  <c r="D989" i="2"/>
  <c r="C989" i="2"/>
  <c r="B989" i="2"/>
  <c r="A989" i="2"/>
  <c r="CG988" i="2"/>
  <c r="CF988" i="2"/>
  <c r="CE988" i="2"/>
  <c r="CD988" i="2"/>
  <c r="CC988" i="2"/>
  <c r="CB988" i="2"/>
  <c r="CA988" i="2"/>
  <c r="BZ988" i="2"/>
  <c r="BY988" i="2"/>
  <c r="BX988" i="2"/>
  <c r="BW988" i="2"/>
  <c r="BG988" i="2"/>
  <c r="W988" i="2"/>
  <c r="G988" i="2"/>
  <c r="F988" i="2"/>
  <c r="D988" i="2"/>
  <c r="C988" i="2"/>
  <c r="B988" i="2"/>
  <c r="A988" i="2"/>
  <c r="CG987" i="2"/>
  <c r="CE987" i="2"/>
  <c r="CD987" i="2"/>
  <c r="CC987" i="2"/>
  <c r="CB987" i="2"/>
  <c r="CA987" i="2"/>
  <c r="BZ987" i="2"/>
  <c r="BY987" i="2"/>
  <c r="BX987" i="2"/>
  <c r="BW987" i="2"/>
  <c r="BJ987" i="2"/>
  <c r="W987" i="2"/>
  <c r="G987" i="2"/>
  <c r="F987" i="2"/>
  <c r="E987" i="2"/>
  <c r="D987" i="2"/>
  <c r="C987" i="2"/>
  <c r="B987" i="2"/>
  <c r="A987" i="2"/>
  <c r="CG986" i="2"/>
  <c r="CF986" i="2"/>
  <c r="CE986" i="2"/>
  <c r="CD986" i="2"/>
  <c r="CC986" i="2"/>
  <c r="CB986" i="2"/>
  <c r="CA986" i="2"/>
  <c r="BZ986" i="2"/>
  <c r="BY986" i="2"/>
  <c r="BX986" i="2"/>
  <c r="BW986" i="2"/>
  <c r="U986" i="2"/>
  <c r="G986" i="2"/>
  <c r="F986" i="2"/>
  <c r="E986" i="2"/>
  <c r="D986" i="2"/>
  <c r="C986" i="2"/>
  <c r="B986" i="2"/>
  <c r="A986" i="2"/>
  <c r="CG985" i="2"/>
  <c r="CE985" i="2"/>
  <c r="CD985" i="2"/>
  <c r="CC985" i="2"/>
  <c r="CB985" i="2"/>
  <c r="CA985" i="2"/>
  <c r="BZ985" i="2"/>
  <c r="BY985" i="2"/>
  <c r="BX985" i="2"/>
  <c r="BW985" i="2"/>
  <c r="O985" i="2"/>
  <c r="G985" i="2"/>
  <c r="F985" i="2"/>
  <c r="E985" i="2"/>
  <c r="D985" i="2"/>
  <c r="C985" i="2"/>
  <c r="B985" i="2"/>
  <c r="A985" i="2"/>
  <c r="CG984" i="2"/>
  <c r="CF984" i="2"/>
  <c r="CE984" i="2"/>
  <c r="CD984" i="2"/>
  <c r="CC984" i="2"/>
  <c r="CB984" i="2"/>
  <c r="CA984" i="2"/>
  <c r="BZ984" i="2"/>
  <c r="BY984" i="2"/>
  <c r="BX984" i="2"/>
  <c r="BW984" i="2"/>
  <c r="L984" i="2"/>
  <c r="G984" i="2"/>
  <c r="F984" i="2"/>
  <c r="E984" i="2"/>
  <c r="D984" i="2"/>
  <c r="C984" i="2"/>
  <c r="B984" i="2"/>
  <c r="A984" i="2"/>
  <c r="CG983" i="2"/>
  <c r="CF983" i="2"/>
  <c r="CE983" i="2"/>
  <c r="CD983" i="2"/>
  <c r="CC983" i="2"/>
  <c r="CB983" i="2"/>
  <c r="CA983" i="2"/>
  <c r="BZ983" i="2"/>
  <c r="BY983" i="2"/>
  <c r="BX983" i="2"/>
  <c r="BW983" i="2"/>
  <c r="S983" i="2"/>
  <c r="G983" i="2"/>
  <c r="F983" i="2"/>
  <c r="E983" i="2"/>
  <c r="D983" i="2"/>
  <c r="C983" i="2"/>
  <c r="B983" i="2"/>
  <c r="A983" i="2"/>
  <c r="CG982" i="2"/>
  <c r="CF982" i="2"/>
  <c r="CE982" i="2"/>
  <c r="CD982" i="2"/>
  <c r="CC982" i="2"/>
  <c r="CB982" i="2"/>
  <c r="CA982" i="2"/>
  <c r="BZ982" i="2"/>
  <c r="BY982" i="2"/>
  <c r="BX982" i="2"/>
  <c r="BW982" i="2"/>
  <c r="Q982" i="2"/>
  <c r="G982" i="2"/>
  <c r="F982" i="2"/>
  <c r="E982" i="2"/>
  <c r="D982" i="2"/>
  <c r="C982" i="2"/>
  <c r="B982" i="2"/>
  <c r="A982" i="2"/>
  <c r="CG981" i="2"/>
  <c r="CF981" i="2"/>
  <c r="CE981" i="2"/>
  <c r="CD981" i="2"/>
  <c r="CC981" i="2"/>
  <c r="CB981" i="2"/>
  <c r="CA981" i="2"/>
  <c r="BZ981" i="2"/>
  <c r="BY981" i="2"/>
  <c r="BX981" i="2"/>
  <c r="BW981" i="2"/>
  <c r="BH981" i="2"/>
  <c r="W981" i="2"/>
  <c r="G981" i="2"/>
  <c r="F981" i="2"/>
  <c r="D981" i="2"/>
  <c r="C981" i="2"/>
  <c r="B981" i="2"/>
  <c r="A981" i="2"/>
  <c r="CG980" i="2"/>
  <c r="CF980" i="2"/>
  <c r="CE980" i="2"/>
  <c r="CD980" i="2"/>
  <c r="CC980" i="2"/>
  <c r="CB980" i="2"/>
  <c r="CA980" i="2"/>
  <c r="BZ980" i="2"/>
  <c r="BY980" i="2"/>
  <c r="BX980" i="2"/>
  <c r="BW980" i="2"/>
  <c r="U980" i="2"/>
  <c r="G980" i="2"/>
  <c r="F980" i="2"/>
  <c r="E980" i="2"/>
  <c r="D980" i="2"/>
  <c r="C980" i="2"/>
  <c r="B980" i="2"/>
  <c r="A980" i="2"/>
  <c r="CG979" i="2"/>
  <c r="CF979" i="2"/>
  <c r="CE979" i="2"/>
  <c r="CD979" i="2"/>
  <c r="CC979" i="2"/>
  <c r="CB979" i="2"/>
  <c r="CA979" i="2"/>
  <c r="BZ979" i="2"/>
  <c r="BY979" i="2"/>
  <c r="BX979" i="2"/>
  <c r="BW979" i="2"/>
  <c r="H979" i="2"/>
  <c r="G979" i="2"/>
  <c r="F979" i="2"/>
  <c r="E979" i="2"/>
  <c r="D979" i="2"/>
  <c r="C979" i="2"/>
  <c r="B979" i="2"/>
  <c r="A979" i="2"/>
  <c r="CG978" i="2"/>
  <c r="CF978" i="2"/>
  <c r="CE978" i="2"/>
  <c r="CD978" i="2"/>
  <c r="CC978" i="2"/>
  <c r="CB978" i="2"/>
  <c r="CA978" i="2"/>
  <c r="BZ978" i="2"/>
  <c r="BY978" i="2"/>
  <c r="BX978" i="2"/>
  <c r="BW978" i="2"/>
  <c r="L978" i="2"/>
  <c r="G978" i="2"/>
  <c r="F978" i="2"/>
  <c r="E978" i="2"/>
  <c r="D978" i="2"/>
  <c r="C978" i="2"/>
  <c r="B978" i="2"/>
  <c r="A978" i="2"/>
  <c r="CG977" i="2"/>
  <c r="CF977" i="2"/>
  <c r="CE977" i="2"/>
  <c r="CD977" i="2"/>
  <c r="CC977" i="2"/>
  <c r="CB977" i="2"/>
  <c r="CA977" i="2"/>
  <c r="BZ977" i="2"/>
  <c r="BY977" i="2"/>
  <c r="BX977" i="2"/>
  <c r="BW977" i="2"/>
  <c r="L977" i="2"/>
  <c r="G977" i="2"/>
  <c r="F977" i="2"/>
  <c r="D977" i="2"/>
  <c r="C977" i="2"/>
  <c r="B977" i="2"/>
  <c r="A977" i="2"/>
  <c r="CG976" i="2"/>
  <c r="CF976" i="2"/>
  <c r="CE976" i="2"/>
  <c r="CD976" i="2"/>
  <c r="CC976" i="2"/>
  <c r="CB976" i="2"/>
  <c r="CA976" i="2"/>
  <c r="BZ976" i="2"/>
  <c r="BY976" i="2"/>
  <c r="BX976" i="2"/>
  <c r="BW976" i="2"/>
  <c r="BG976" i="2"/>
  <c r="W976" i="2"/>
  <c r="G976" i="2"/>
  <c r="F976" i="2"/>
  <c r="D976" i="2"/>
  <c r="C976" i="2"/>
  <c r="B976" i="2"/>
  <c r="A976" i="2"/>
  <c r="CG975" i="2"/>
  <c r="CF975" i="2"/>
  <c r="CE975" i="2"/>
  <c r="CD975" i="2"/>
  <c r="CC975" i="2"/>
  <c r="CB975" i="2"/>
  <c r="CA975" i="2"/>
  <c r="BZ975" i="2"/>
  <c r="BY975" i="2"/>
  <c r="BX975" i="2"/>
  <c r="BW975" i="2"/>
  <c r="G975" i="2"/>
  <c r="F975" i="2"/>
  <c r="E975" i="2"/>
  <c r="D975" i="2"/>
  <c r="C975" i="2"/>
  <c r="B975" i="2"/>
  <c r="A975" i="2"/>
  <c r="CG974" i="2"/>
  <c r="CF974" i="2"/>
  <c r="CE974" i="2"/>
  <c r="CD974" i="2"/>
  <c r="CC974" i="2"/>
  <c r="CB974" i="2"/>
  <c r="CA974" i="2"/>
  <c r="BZ974" i="2"/>
  <c r="BY974" i="2"/>
  <c r="BX974" i="2"/>
  <c r="BW974" i="2"/>
  <c r="T974" i="2"/>
  <c r="G974" i="2"/>
  <c r="F974" i="2"/>
  <c r="E974" i="2"/>
  <c r="C974" i="2"/>
  <c r="B974" i="2"/>
  <c r="A974" i="2"/>
  <c r="CG973" i="2"/>
  <c r="CF973" i="2"/>
  <c r="CE973" i="2"/>
  <c r="CD973" i="2"/>
  <c r="CC973" i="2"/>
  <c r="CB973" i="2"/>
  <c r="CA973" i="2"/>
  <c r="BZ973" i="2"/>
  <c r="BY973" i="2"/>
  <c r="BX973" i="2"/>
  <c r="BW973" i="2"/>
  <c r="S973" i="2"/>
  <c r="G973" i="2"/>
  <c r="F973" i="2"/>
  <c r="E973" i="2"/>
  <c r="D973" i="2"/>
  <c r="C973" i="2"/>
  <c r="B973" i="2"/>
  <c r="A973" i="2"/>
  <c r="CG972" i="2"/>
  <c r="CF972" i="2"/>
  <c r="CE972" i="2"/>
  <c r="CD972" i="2"/>
  <c r="CC972" i="2"/>
  <c r="CB972" i="2"/>
  <c r="CA972" i="2"/>
  <c r="BZ972" i="2"/>
  <c r="BY972" i="2"/>
  <c r="BX972" i="2"/>
  <c r="BW972" i="2"/>
  <c r="L972" i="2"/>
  <c r="G972" i="2"/>
  <c r="F972" i="2"/>
  <c r="E972" i="2"/>
  <c r="D972" i="2"/>
  <c r="C972" i="2"/>
  <c r="B972" i="2"/>
  <c r="A972" i="2"/>
  <c r="CG971" i="2"/>
  <c r="CF971" i="2"/>
  <c r="CE971" i="2"/>
  <c r="CD971" i="2"/>
  <c r="CC971" i="2"/>
  <c r="CB971" i="2"/>
  <c r="CA971" i="2"/>
  <c r="BZ971" i="2"/>
  <c r="BY971" i="2"/>
  <c r="BX971" i="2"/>
  <c r="BW971" i="2"/>
  <c r="U971" i="2"/>
  <c r="G971" i="2"/>
  <c r="F971" i="2"/>
  <c r="E971" i="2"/>
  <c r="D971" i="2"/>
  <c r="C971" i="2"/>
  <c r="B971" i="2"/>
  <c r="A971" i="2"/>
  <c r="CG970" i="2"/>
  <c r="CF970" i="2"/>
  <c r="CE970" i="2"/>
  <c r="CD970" i="2"/>
  <c r="CC970" i="2"/>
  <c r="CB970" i="2"/>
  <c r="CA970" i="2"/>
  <c r="BZ970" i="2"/>
  <c r="BY970" i="2"/>
  <c r="BX970" i="2"/>
  <c r="BW970" i="2"/>
  <c r="U970" i="2"/>
  <c r="G970" i="2"/>
  <c r="F970" i="2"/>
  <c r="E970" i="2"/>
  <c r="D970" i="2"/>
  <c r="C970" i="2"/>
  <c r="B970" i="2"/>
  <c r="A970" i="2"/>
  <c r="CG969" i="2"/>
  <c r="CF969" i="2"/>
  <c r="CE969" i="2"/>
  <c r="CD969" i="2"/>
  <c r="CC969" i="2"/>
  <c r="CB969" i="2"/>
  <c r="CA969" i="2"/>
  <c r="BZ969" i="2"/>
  <c r="BY969" i="2"/>
  <c r="BX969" i="2"/>
  <c r="BW969" i="2"/>
  <c r="H969" i="2"/>
  <c r="G969" i="2"/>
  <c r="D969" i="2"/>
  <c r="C969" i="2"/>
  <c r="B969" i="2"/>
  <c r="A969" i="2"/>
  <c r="CG968" i="2"/>
  <c r="CF968" i="2"/>
  <c r="CE968" i="2"/>
  <c r="CD968" i="2"/>
  <c r="CC968" i="2"/>
  <c r="CB968" i="2"/>
  <c r="CA968" i="2"/>
  <c r="BZ968" i="2"/>
  <c r="BY968" i="2"/>
  <c r="BX968" i="2"/>
  <c r="BW968" i="2"/>
  <c r="R968" i="2"/>
  <c r="G968" i="2"/>
  <c r="F968" i="2"/>
  <c r="E968" i="2"/>
  <c r="D968" i="2"/>
  <c r="C968" i="2"/>
  <c r="B968" i="2"/>
  <c r="A968" i="2"/>
  <c r="CG967" i="2"/>
  <c r="CF967" i="2"/>
  <c r="CE967" i="2"/>
  <c r="CD967" i="2"/>
  <c r="CC967" i="2"/>
  <c r="CB967" i="2"/>
  <c r="CA967" i="2"/>
  <c r="BZ967" i="2"/>
  <c r="BY967" i="2"/>
  <c r="BX967" i="2"/>
  <c r="BW967" i="2"/>
  <c r="H967" i="2"/>
  <c r="G967" i="2"/>
  <c r="F967" i="2"/>
  <c r="E967" i="2"/>
  <c r="D967" i="2"/>
  <c r="C967" i="2"/>
  <c r="B967" i="2"/>
  <c r="A967" i="2"/>
  <c r="CG966" i="2"/>
  <c r="CF966" i="2"/>
  <c r="CE966" i="2"/>
  <c r="CD966" i="2"/>
  <c r="CC966" i="2"/>
  <c r="CB966" i="2"/>
  <c r="CA966" i="2"/>
  <c r="BZ966" i="2"/>
  <c r="BY966" i="2"/>
  <c r="BX966" i="2"/>
  <c r="BW966" i="2"/>
  <c r="T966" i="2"/>
  <c r="G966" i="2"/>
  <c r="F966" i="2"/>
  <c r="E966" i="2"/>
  <c r="D966" i="2"/>
  <c r="C966" i="2"/>
  <c r="B966" i="2"/>
  <c r="A966" i="2"/>
  <c r="CG965" i="2"/>
  <c r="CF965" i="2"/>
  <c r="CE965" i="2"/>
  <c r="CD965" i="2"/>
  <c r="CC965" i="2"/>
  <c r="CB965" i="2"/>
  <c r="CA965" i="2"/>
  <c r="BZ965" i="2"/>
  <c r="BY965" i="2"/>
  <c r="BX965" i="2"/>
  <c r="BW965" i="2"/>
  <c r="U965" i="2"/>
  <c r="G965" i="2"/>
  <c r="F965" i="2"/>
  <c r="E965" i="2"/>
  <c r="D965" i="2"/>
  <c r="C965" i="2"/>
  <c r="B965" i="2"/>
  <c r="A965" i="2"/>
  <c r="CG964" i="2"/>
  <c r="CF964" i="2"/>
  <c r="CE964" i="2"/>
  <c r="CD964" i="2"/>
  <c r="CC964" i="2"/>
  <c r="CB964" i="2"/>
  <c r="CA964" i="2"/>
  <c r="BZ964" i="2"/>
  <c r="BY964" i="2"/>
  <c r="BX964" i="2"/>
  <c r="BW964" i="2"/>
  <c r="U964" i="2"/>
  <c r="G964" i="2"/>
  <c r="F964" i="2"/>
  <c r="E964" i="2"/>
  <c r="D964" i="2"/>
  <c r="C964" i="2"/>
  <c r="B964" i="2"/>
  <c r="A964" i="2"/>
  <c r="CG963" i="2"/>
  <c r="CF963" i="2"/>
  <c r="CE963" i="2"/>
  <c r="CD963" i="2"/>
  <c r="CC963" i="2"/>
  <c r="CB963" i="2"/>
  <c r="CA963" i="2"/>
  <c r="BZ963" i="2"/>
  <c r="BY963" i="2"/>
  <c r="BX963" i="2"/>
  <c r="BW963" i="2"/>
  <c r="H963" i="2"/>
  <c r="G963" i="2"/>
  <c r="F963" i="2"/>
  <c r="D963" i="2"/>
  <c r="C963" i="2"/>
  <c r="B963" i="2"/>
  <c r="A963" i="2"/>
  <c r="CG962" i="2"/>
  <c r="CE962" i="2"/>
  <c r="CC962" i="2"/>
  <c r="CB962" i="2"/>
  <c r="CA962" i="2"/>
  <c r="BZ962" i="2"/>
  <c r="BY962" i="2"/>
  <c r="BX962" i="2"/>
  <c r="BW962" i="2"/>
  <c r="T962" i="2"/>
  <c r="L962" i="2"/>
  <c r="G962" i="2"/>
  <c r="F962" i="2"/>
  <c r="E962" i="2"/>
  <c r="D962" i="2"/>
  <c r="C962" i="2"/>
  <c r="B962" i="2"/>
  <c r="A962" i="2"/>
  <c r="CG961" i="2"/>
  <c r="CF961" i="2"/>
  <c r="CE961" i="2"/>
  <c r="CD961" i="2"/>
  <c r="CC961" i="2"/>
  <c r="CB961" i="2"/>
  <c r="CA961" i="2"/>
  <c r="BZ961" i="2"/>
  <c r="BY961" i="2"/>
  <c r="BX961" i="2"/>
  <c r="BW961" i="2"/>
  <c r="L961" i="2"/>
  <c r="G961" i="2"/>
  <c r="F961" i="2"/>
  <c r="E961" i="2"/>
  <c r="C961" i="2"/>
  <c r="B961" i="2"/>
  <c r="A961" i="2"/>
  <c r="CG960" i="2"/>
  <c r="CF960" i="2"/>
  <c r="CE960" i="2"/>
  <c r="CD960" i="2"/>
  <c r="CC960" i="2"/>
  <c r="CB960" i="2"/>
  <c r="CA960" i="2"/>
  <c r="BZ960" i="2"/>
  <c r="BY960" i="2"/>
  <c r="BX960" i="2"/>
  <c r="BW960" i="2"/>
  <c r="P960" i="2"/>
  <c r="G960" i="2"/>
  <c r="F960" i="2"/>
  <c r="E960" i="2"/>
  <c r="D960" i="2"/>
  <c r="C960" i="2"/>
  <c r="B960" i="2"/>
  <c r="A960" i="2"/>
  <c r="CG959" i="2"/>
  <c r="CF959" i="2"/>
  <c r="CE959" i="2"/>
  <c r="CD959" i="2"/>
  <c r="CC959" i="2"/>
  <c r="CB959" i="2"/>
  <c r="CA959" i="2"/>
  <c r="BZ959" i="2"/>
  <c r="BY959" i="2"/>
  <c r="BX959" i="2"/>
  <c r="BW959" i="2"/>
  <c r="U959" i="2"/>
  <c r="G959" i="2"/>
  <c r="F959" i="2"/>
  <c r="E959" i="2"/>
  <c r="D959" i="2"/>
  <c r="C959" i="2"/>
  <c r="B959" i="2"/>
  <c r="A959" i="2"/>
  <c r="CG958" i="2"/>
  <c r="CF958" i="2"/>
  <c r="CE958" i="2"/>
  <c r="CD958" i="2"/>
  <c r="CC958" i="2"/>
  <c r="CB958" i="2"/>
  <c r="CA958" i="2"/>
  <c r="BZ958" i="2"/>
  <c r="BY958" i="2"/>
  <c r="BX958" i="2"/>
  <c r="BW958" i="2"/>
  <c r="W958" i="2"/>
  <c r="G958" i="2"/>
  <c r="F958" i="2"/>
  <c r="D958" i="2"/>
  <c r="C958" i="2"/>
  <c r="B958" i="2"/>
  <c r="A958" i="2"/>
  <c r="CG957" i="2"/>
  <c r="CF957" i="2"/>
  <c r="CE957" i="2"/>
  <c r="CD957" i="2"/>
  <c r="CC957" i="2"/>
  <c r="CB957" i="2"/>
  <c r="CA957" i="2"/>
  <c r="BZ957" i="2"/>
  <c r="BY957" i="2"/>
  <c r="BX957" i="2"/>
  <c r="BW957" i="2"/>
  <c r="U957" i="2"/>
  <c r="G957" i="2"/>
  <c r="E957" i="2"/>
  <c r="D957" i="2"/>
  <c r="C957" i="2"/>
  <c r="B957" i="2"/>
  <c r="A957" i="2"/>
  <c r="CG956" i="2"/>
  <c r="CF956" i="2"/>
  <c r="CE956" i="2"/>
  <c r="CD956" i="2"/>
  <c r="CC956" i="2"/>
  <c r="CB956" i="2"/>
  <c r="CA956" i="2"/>
  <c r="BZ956" i="2"/>
  <c r="BY956" i="2"/>
  <c r="BX956" i="2"/>
  <c r="BW956" i="2"/>
  <c r="L956" i="2"/>
  <c r="G956" i="2"/>
  <c r="F956" i="2"/>
  <c r="E956" i="2"/>
  <c r="D956" i="2"/>
  <c r="C956" i="2"/>
  <c r="B956" i="2"/>
  <c r="A956" i="2"/>
  <c r="CG955" i="2"/>
  <c r="CF955" i="2"/>
  <c r="CE955" i="2"/>
  <c r="CD955" i="2"/>
  <c r="CC955" i="2"/>
  <c r="CB955" i="2"/>
  <c r="CA955" i="2"/>
  <c r="BZ955" i="2"/>
  <c r="BY955" i="2"/>
  <c r="BX955" i="2"/>
  <c r="BW955" i="2"/>
  <c r="H955" i="2"/>
  <c r="G955" i="2"/>
  <c r="F955" i="2"/>
  <c r="E955" i="2"/>
  <c r="D955" i="2"/>
  <c r="C955" i="2"/>
  <c r="B955" i="2"/>
  <c r="A955" i="2"/>
  <c r="CG954" i="2"/>
  <c r="CF954" i="2"/>
  <c r="CE954" i="2"/>
  <c r="CD954" i="2"/>
  <c r="CC954" i="2"/>
  <c r="CB954" i="2"/>
  <c r="CA954" i="2"/>
  <c r="BZ954" i="2"/>
  <c r="BY954" i="2"/>
  <c r="BX954" i="2"/>
  <c r="BW954" i="2"/>
  <c r="L954" i="2"/>
  <c r="G954" i="2"/>
  <c r="E954" i="2"/>
  <c r="D954" i="2"/>
  <c r="C954" i="2"/>
  <c r="B954" i="2"/>
  <c r="A954" i="2"/>
  <c r="CG953" i="2"/>
  <c r="CF953" i="2"/>
  <c r="CE953" i="2"/>
  <c r="CD953" i="2"/>
  <c r="CC953" i="2"/>
  <c r="CB953" i="2"/>
  <c r="CA953" i="2"/>
  <c r="BZ953" i="2"/>
  <c r="BY953" i="2"/>
  <c r="BX953" i="2"/>
  <c r="BW953" i="2"/>
  <c r="BH953" i="2"/>
  <c r="W953" i="2"/>
  <c r="G953" i="2"/>
  <c r="F953" i="2"/>
  <c r="D953" i="2"/>
  <c r="C953" i="2"/>
  <c r="B953" i="2"/>
  <c r="A953" i="2"/>
  <c r="CG952" i="2"/>
  <c r="CF952" i="2"/>
  <c r="CE952" i="2"/>
  <c r="CD952" i="2"/>
  <c r="CC952" i="2"/>
  <c r="CB952" i="2"/>
  <c r="CA952" i="2"/>
  <c r="BZ952" i="2"/>
  <c r="BY952" i="2"/>
  <c r="BX952" i="2"/>
  <c r="BW952" i="2"/>
  <c r="M952" i="2"/>
  <c r="G952" i="2"/>
  <c r="F952" i="2"/>
  <c r="E952" i="2"/>
  <c r="D952" i="2"/>
  <c r="C952" i="2"/>
  <c r="B952" i="2"/>
  <c r="A952" i="2"/>
  <c r="CG951" i="2"/>
  <c r="CF951" i="2"/>
  <c r="CE951" i="2"/>
  <c r="CD951" i="2"/>
  <c r="CC951" i="2"/>
  <c r="CB951" i="2"/>
  <c r="CA951" i="2"/>
  <c r="BZ951" i="2"/>
  <c r="BY951" i="2"/>
  <c r="BX951" i="2"/>
  <c r="BW951" i="2"/>
  <c r="H951" i="2"/>
  <c r="G951" i="2"/>
  <c r="F951" i="2"/>
  <c r="D951" i="2"/>
  <c r="C951" i="2"/>
  <c r="B951" i="2"/>
  <c r="A951" i="2"/>
  <c r="CG950" i="2"/>
  <c r="CF950" i="2"/>
  <c r="CE950" i="2"/>
  <c r="CD950" i="2"/>
  <c r="CC950" i="2"/>
  <c r="CB950" i="2"/>
  <c r="CA950" i="2"/>
  <c r="BZ950" i="2"/>
  <c r="BY950" i="2"/>
  <c r="BX950" i="2"/>
  <c r="BW950" i="2"/>
  <c r="M950" i="2"/>
  <c r="G950" i="2"/>
  <c r="F950" i="2"/>
  <c r="E950" i="2"/>
  <c r="D950" i="2"/>
  <c r="C950" i="2"/>
  <c r="B950" i="2"/>
  <c r="A950" i="2"/>
  <c r="CG949" i="2"/>
  <c r="CF949" i="2"/>
  <c r="CE949" i="2"/>
  <c r="CD949" i="2"/>
  <c r="CC949" i="2"/>
  <c r="CB949" i="2"/>
  <c r="CA949" i="2"/>
  <c r="BZ949" i="2"/>
  <c r="BY949" i="2"/>
  <c r="BX949" i="2"/>
  <c r="BW949" i="2"/>
  <c r="U949" i="2"/>
  <c r="G949" i="2"/>
  <c r="F949" i="2"/>
  <c r="E949" i="2"/>
  <c r="D949" i="2"/>
  <c r="C949" i="2"/>
  <c r="B949" i="2"/>
  <c r="A949" i="2"/>
  <c r="CG948" i="2"/>
  <c r="CF948" i="2"/>
  <c r="CE948" i="2"/>
  <c r="CD948" i="2"/>
  <c r="CC948" i="2"/>
  <c r="CB948" i="2"/>
  <c r="CA948" i="2"/>
  <c r="BZ948" i="2"/>
  <c r="BY948" i="2"/>
  <c r="BX948" i="2"/>
  <c r="BW948" i="2"/>
  <c r="U948" i="2"/>
  <c r="G948" i="2"/>
  <c r="F948" i="2"/>
  <c r="E948" i="2"/>
  <c r="D948" i="2"/>
  <c r="C948" i="2"/>
  <c r="B948" i="2"/>
  <c r="A948" i="2"/>
  <c r="CG947" i="2"/>
  <c r="CF947" i="2"/>
  <c r="CE947" i="2"/>
  <c r="CD947" i="2"/>
  <c r="CC947" i="2"/>
  <c r="CB947" i="2"/>
  <c r="CA947" i="2"/>
  <c r="BZ947" i="2"/>
  <c r="BY947" i="2"/>
  <c r="BX947" i="2"/>
  <c r="BW947" i="2"/>
  <c r="M947" i="2"/>
  <c r="G947" i="2"/>
  <c r="F947" i="2"/>
  <c r="E947" i="2"/>
  <c r="D947" i="2"/>
  <c r="C947" i="2"/>
  <c r="B947" i="2"/>
  <c r="A947" i="2"/>
  <c r="CG946" i="2"/>
  <c r="CF946" i="2"/>
  <c r="CE946" i="2"/>
  <c r="CD946" i="2"/>
  <c r="CC946" i="2"/>
  <c r="CB946" i="2"/>
  <c r="CA946" i="2"/>
  <c r="BZ946" i="2"/>
  <c r="BY946" i="2"/>
  <c r="BX946" i="2"/>
  <c r="BW946" i="2"/>
  <c r="BH946" i="2"/>
  <c r="W946" i="2"/>
  <c r="G946" i="2"/>
  <c r="F946" i="2"/>
  <c r="D946" i="2"/>
  <c r="C946" i="2"/>
  <c r="B946" i="2"/>
  <c r="A946" i="2"/>
  <c r="CG945" i="2"/>
  <c r="CF945" i="2"/>
  <c r="CE945" i="2"/>
  <c r="CD945" i="2"/>
  <c r="CC945" i="2"/>
  <c r="CB945" i="2"/>
  <c r="CA945" i="2"/>
  <c r="BZ945" i="2"/>
  <c r="BY945" i="2"/>
  <c r="BX945" i="2"/>
  <c r="BW945" i="2"/>
  <c r="G945" i="2"/>
  <c r="F945" i="2"/>
  <c r="E945" i="2"/>
  <c r="D945" i="2"/>
  <c r="C945" i="2"/>
  <c r="B945" i="2"/>
  <c r="A945" i="2"/>
  <c r="CG944" i="2"/>
  <c r="CF944" i="2"/>
  <c r="CE944" i="2"/>
  <c r="CD944" i="2"/>
  <c r="CC944" i="2"/>
  <c r="CB944" i="2"/>
  <c r="CA944" i="2"/>
  <c r="BZ944" i="2"/>
  <c r="BY944" i="2"/>
  <c r="BX944" i="2"/>
  <c r="BW944" i="2"/>
  <c r="H944" i="2"/>
  <c r="G944" i="2"/>
  <c r="F944" i="2"/>
  <c r="E944" i="2"/>
  <c r="D944" i="2"/>
  <c r="C944" i="2"/>
  <c r="B944" i="2"/>
  <c r="A944" i="2"/>
  <c r="CG943" i="2"/>
  <c r="CF943" i="2"/>
  <c r="CE943" i="2"/>
  <c r="CD943" i="2"/>
  <c r="CC943" i="2"/>
  <c r="CB943" i="2"/>
  <c r="CA943" i="2"/>
  <c r="BZ943" i="2"/>
  <c r="BY943" i="2"/>
  <c r="BX943" i="2"/>
  <c r="BW943" i="2"/>
  <c r="U943" i="2"/>
  <c r="G943" i="2"/>
  <c r="F943" i="2"/>
  <c r="E943" i="2"/>
  <c r="D943" i="2"/>
  <c r="C943" i="2"/>
  <c r="B943" i="2"/>
  <c r="A943" i="2"/>
  <c r="CG942" i="2"/>
  <c r="CF942" i="2"/>
  <c r="CE942" i="2"/>
  <c r="CD942" i="2"/>
  <c r="CC942" i="2"/>
  <c r="CB942" i="2"/>
  <c r="CA942" i="2"/>
  <c r="BZ942" i="2"/>
  <c r="BY942" i="2"/>
  <c r="BX942" i="2"/>
  <c r="BW942" i="2"/>
  <c r="BH942" i="2"/>
  <c r="W942" i="2"/>
  <c r="G942" i="2"/>
  <c r="F942" i="2"/>
  <c r="D942" i="2"/>
  <c r="C942" i="2"/>
  <c r="B942" i="2"/>
  <c r="A942" i="2"/>
  <c r="CG941" i="2"/>
  <c r="CF941" i="2"/>
  <c r="CE941" i="2"/>
  <c r="CD941" i="2"/>
  <c r="CC941" i="2"/>
  <c r="CB941" i="2"/>
  <c r="CA941" i="2"/>
  <c r="BZ941" i="2"/>
  <c r="BY941" i="2"/>
  <c r="BX941" i="2"/>
  <c r="BW941" i="2"/>
  <c r="G941" i="2"/>
  <c r="F941" i="2"/>
  <c r="E941" i="2"/>
  <c r="D941" i="2"/>
  <c r="C941" i="2"/>
  <c r="B941" i="2"/>
  <c r="A941" i="2"/>
  <c r="CG940" i="2"/>
  <c r="CF940" i="2"/>
  <c r="CE940" i="2"/>
  <c r="CD940" i="2"/>
  <c r="CC940" i="2"/>
  <c r="CB940" i="2"/>
  <c r="CA940" i="2"/>
  <c r="BZ940" i="2"/>
  <c r="BY940" i="2"/>
  <c r="BX940" i="2"/>
  <c r="BW940" i="2"/>
  <c r="U940" i="2"/>
  <c r="G940" i="2"/>
  <c r="F940" i="2"/>
  <c r="E940" i="2"/>
  <c r="D940" i="2"/>
  <c r="C940" i="2"/>
  <c r="B940" i="2"/>
  <c r="A940" i="2"/>
  <c r="CG939" i="2"/>
  <c r="CF939" i="2"/>
  <c r="CE939" i="2"/>
  <c r="CD939" i="2"/>
  <c r="CC939" i="2"/>
  <c r="CB939" i="2"/>
  <c r="CA939" i="2"/>
  <c r="BZ939" i="2"/>
  <c r="BY939" i="2"/>
  <c r="BX939" i="2"/>
  <c r="BW939" i="2"/>
  <c r="T939" i="2"/>
  <c r="G939" i="2"/>
  <c r="F939" i="2"/>
  <c r="E939" i="2"/>
  <c r="C939" i="2"/>
  <c r="B939" i="2"/>
  <c r="A939" i="2"/>
  <c r="CG938" i="2"/>
  <c r="CF938" i="2"/>
  <c r="CE938" i="2"/>
  <c r="CD938" i="2"/>
  <c r="CC938" i="2"/>
  <c r="CB938" i="2"/>
  <c r="CA938" i="2"/>
  <c r="BZ938" i="2"/>
  <c r="BY938" i="2"/>
  <c r="BX938" i="2"/>
  <c r="BW938" i="2"/>
  <c r="G938" i="2"/>
  <c r="F938" i="2"/>
  <c r="E938" i="2"/>
  <c r="D938" i="2"/>
  <c r="C938" i="2"/>
  <c r="B938" i="2"/>
  <c r="A938" i="2"/>
  <c r="CG937" i="2"/>
  <c r="CF937" i="2"/>
  <c r="CE937" i="2"/>
  <c r="CD937" i="2"/>
  <c r="CC937" i="2"/>
  <c r="CB937" i="2"/>
  <c r="CA937" i="2"/>
  <c r="BZ937" i="2"/>
  <c r="BY937" i="2"/>
  <c r="BX937" i="2"/>
  <c r="BW937" i="2"/>
  <c r="O937" i="2"/>
  <c r="G937" i="2"/>
  <c r="F937" i="2"/>
  <c r="E937" i="2"/>
  <c r="D937" i="2"/>
  <c r="C937" i="2"/>
  <c r="B937" i="2"/>
  <c r="A937" i="2"/>
  <c r="CG936" i="2"/>
  <c r="CF936" i="2"/>
  <c r="CE936" i="2"/>
  <c r="CD936" i="2"/>
  <c r="CC936" i="2"/>
  <c r="CB936" i="2"/>
  <c r="CA936" i="2"/>
  <c r="BZ936" i="2"/>
  <c r="BY936" i="2"/>
  <c r="BX936" i="2"/>
  <c r="BW936" i="2"/>
  <c r="U936" i="2"/>
  <c r="G936" i="2"/>
  <c r="F936" i="2"/>
  <c r="E936" i="2"/>
  <c r="D936" i="2"/>
  <c r="C936" i="2"/>
  <c r="B936" i="2"/>
  <c r="A936" i="2"/>
  <c r="CG935" i="2"/>
  <c r="CF935" i="2"/>
  <c r="CE935" i="2"/>
  <c r="CD935" i="2"/>
  <c r="CC935" i="2"/>
  <c r="CB935" i="2"/>
  <c r="CA935" i="2"/>
  <c r="BZ935" i="2"/>
  <c r="BY935" i="2"/>
  <c r="BX935" i="2"/>
  <c r="BW935" i="2"/>
  <c r="O935" i="2"/>
  <c r="G935" i="2"/>
  <c r="F935" i="2"/>
  <c r="E935" i="2"/>
  <c r="D935" i="2"/>
  <c r="C935" i="2"/>
  <c r="B935" i="2"/>
  <c r="A935" i="2"/>
  <c r="CG934" i="2"/>
  <c r="CF934" i="2"/>
  <c r="CE934" i="2"/>
  <c r="CD934" i="2"/>
  <c r="CC934" i="2"/>
  <c r="CB934" i="2"/>
  <c r="CA934" i="2"/>
  <c r="BZ934" i="2"/>
  <c r="BY934" i="2"/>
  <c r="BX934" i="2"/>
  <c r="BW934" i="2"/>
  <c r="J934" i="2"/>
  <c r="G934" i="2"/>
  <c r="F934" i="2"/>
  <c r="E934" i="2"/>
  <c r="D934" i="2"/>
  <c r="C934" i="2"/>
  <c r="B934" i="2"/>
  <c r="A934" i="2"/>
  <c r="CG933" i="2"/>
  <c r="CF933" i="2"/>
  <c r="CE933" i="2"/>
  <c r="CD933" i="2"/>
  <c r="CC933" i="2"/>
  <c r="CB933" i="2"/>
  <c r="CA933" i="2"/>
  <c r="BZ933" i="2"/>
  <c r="BY933" i="2"/>
  <c r="BX933" i="2"/>
  <c r="BW933" i="2"/>
  <c r="G933" i="2"/>
  <c r="F933" i="2"/>
  <c r="E933" i="2"/>
  <c r="D933" i="2"/>
  <c r="C933" i="2"/>
  <c r="B933" i="2"/>
  <c r="A933" i="2"/>
  <c r="CG932" i="2"/>
  <c r="CF932" i="2"/>
  <c r="CE932" i="2"/>
  <c r="CD932" i="2"/>
  <c r="CC932" i="2"/>
  <c r="CB932" i="2"/>
  <c r="CA932" i="2"/>
  <c r="BZ932" i="2"/>
  <c r="BY932" i="2"/>
  <c r="BX932" i="2"/>
  <c r="BW932" i="2"/>
  <c r="G932" i="2"/>
  <c r="F932" i="2"/>
  <c r="E932" i="2"/>
  <c r="D932" i="2"/>
  <c r="C932" i="2"/>
  <c r="B932" i="2"/>
  <c r="A932" i="2"/>
  <c r="CG931" i="2"/>
  <c r="CF931" i="2"/>
  <c r="CE931" i="2"/>
  <c r="CD931" i="2"/>
  <c r="CC931" i="2"/>
  <c r="CB931" i="2"/>
  <c r="CA931" i="2"/>
  <c r="BZ931" i="2"/>
  <c r="BY931" i="2"/>
  <c r="BX931" i="2"/>
  <c r="BW931" i="2"/>
  <c r="O931" i="2"/>
  <c r="G931" i="2"/>
  <c r="F931" i="2"/>
  <c r="E931" i="2"/>
  <c r="D931" i="2"/>
  <c r="C931" i="2"/>
  <c r="B931" i="2"/>
  <c r="A931" i="2"/>
  <c r="CG930" i="2"/>
  <c r="CF930" i="2"/>
  <c r="CE930" i="2"/>
  <c r="CD930" i="2"/>
  <c r="CC930" i="2"/>
  <c r="CB930" i="2"/>
  <c r="CA930" i="2"/>
  <c r="BZ930" i="2"/>
  <c r="BY930" i="2"/>
  <c r="BX930" i="2"/>
  <c r="BW930" i="2"/>
  <c r="J930" i="2"/>
  <c r="G930" i="2"/>
  <c r="F930" i="2"/>
  <c r="E930" i="2"/>
  <c r="D930" i="2"/>
  <c r="C930" i="2"/>
  <c r="B930" i="2"/>
  <c r="A930" i="2"/>
  <c r="CG929" i="2"/>
  <c r="CF929" i="2"/>
  <c r="CE929" i="2"/>
  <c r="CD929" i="2"/>
  <c r="CC929" i="2"/>
  <c r="CB929" i="2"/>
  <c r="CA929" i="2"/>
  <c r="BZ929" i="2"/>
  <c r="BY929" i="2"/>
  <c r="BX929" i="2"/>
  <c r="BW929" i="2"/>
  <c r="H929" i="2"/>
  <c r="G929" i="2"/>
  <c r="F929" i="2"/>
  <c r="E929" i="2"/>
  <c r="D929" i="2"/>
  <c r="C929" i="2"/>
  <c r="B929" i="2"/>
  <c r="A929" i="2"/>
  <c r="CG928" i="2"/>
  <c r="CF928" i="2"/>
  <c r="CE928" i="2"/>
  <c r="CD928" i="2"/>
  <c r="CC928" i="2"/>
  <c r="CB928" i="2"/>
  <c r="CA928" i="2"/>
  <c r="BZ928" i="2"/>
  <c r="BY928" i="2"/>
  <c r="BX928" i="2"/>
  <c r="BW928" i="2"/>
  <c r="P928" i="2"/>
  <c r="G928" i="2"/>
  <c r="F928" i="2"/>
  <c r="E928" i="2"/>
  <c r="D928" i="2"/>
  <c r="C928" i="2"/>
  <c r="B928" i="2"/>
  <c r="A928" i="2"/>
  <c r="CG927" i="2"/>
  <c r="CF927" i="2"/>
  <c r="CE927" i="2"/>
  <c r="CC927" i="2"/>
  <c r="CB927" i="2"/>
  <c r="BZ927" i="2"/>
  <c r="BY927" i="2"/>
  <c r="BX927" i="2"/>
  <c r="BW927" i="2"/>
  <c r="H927" i="2"/>
  <c r="G927" i="2"/>
  <c r="F927" i="2"/>
  <c r="E927" i="2"/>
  <c r="D927" i="2"/>
  <c r="C927" i="2"/>
  <c r="B927" i="2"/>
  <c r="A927" i="2"/>
  <c r="CG926" i="2"/>
  <c r="CF926" i="2"/>
  <c r="CE926" i="2"/>
  <c r="CD926" i="2"/>
  <c r="CC926" i="2"/>
  <c r="CB926" i="2"/>
  <c r="CA926" i="2"/>
  <c r="BZ926" i="2"/>
  <c r="BY926" i="2"/>
  <c r="BX926" i="2"/>
  <c r="BW926" i="2"/>
  <c r="G926" i="2"/>
  <c r="F926" i="2"/>
  <c r="E926" i="2"/>
  <c r="D926" i="2"/>
  <c r="C926" i="2"/>
  <c r="B926" i="2"/>
  <c r="A926" i="2"/>
  <c r="CG925" i="2"/>
  <c r="CF925" i="2"/>
  <c r="CE925" i="2"/>
  <c r="CD925" i="2"/>
  <c r="CC925" i="2"/>
  <c r="CB925" i="2"/>
  <c r="CA925" i="2"/>
  <c r="BZ925" i="2"/>
  <c r="BY925" i="2"/>
  <c r="BX925" i="2"/>
  <c r="BW925" i="2"/>
  <c r="G925" i="2"/>
  <c r="F925" i="2"/>
  <c r="E925" i="2"/>
  <c r="D925" i="2"/>
  <c r="C925" i="2"/>
  <c r="B925" i="2"/>
  <c r="A925" i="2"/>
  <c r="CG924" i="2"/>
  <c r="CF924" i="2"/>
  <c r="CE924" i="2"/>
  <c r="CD924" i="2"/>
  <c r="CC924" i="2"/>
  <c r="CB924" i="2"/>
  <c r="CA924" i="2"/>
  <c r="BZ924" i="2"/>
  <c r="BY924" i="2"/>
  <c r="BX924" i="2"/>
  <c r="BW924" i="2"/>
  <c r="G924" i="2"/>
  <c r="F924" i="2"/>
  <c r="E924" i="2"/>
  <c r="D924" i="2"/>
  <c r="C924" i="2"/>
  <c r="B924" i="2"/>
  <c r="A924" i="2"/>
  <c r="CG923" i="2"/>
  <c r="CF923" i="2"/>
  <c r="CE923" i="2"/>
  <c r="CD923" i="2"/>
  <c r="CC923" i="2"/>
  <c r="CB923" i="2"/>
  <c r="CA923" i="2"/>
  <c r="BZ923" i="2"/>
  <c r="BY923" i="2"/>
  <c r="BX923" i="2"/>
  <c r="BW923" i="2"/>
  <c r="G923" i="2"/>
  <c r="F923" i="2"/>
  <c r="E923" i="2"/>
  <c r="D923" i="2"/>
  <c r="C923" i="2"/>
  <c r="B923" i="2"/>
  <c r="A923" i="2"/>
  <c r="CG922" i="2"/>
  <c r="CF922" i="2"/>
  <c r="CE922" i="2"/>
  <c r="CD922" i="2"/>
  <c r="CC922" i="2"/>
  <c r="CB922" i="2"/>
  <c r="CA922" i="2"/>
  <c r="BZ922" i="2"/>
  <c r="BY922" i="2"/>
  <c r="BX922" i="2"/>
  <c r="BW922" i="2"/>
  <c r="S922" i="2"/>
  <c r="G922" i="2"/>
  <c r="F922" i="2"/>
  <c r="E922" i="2"/>
  <c r="D922" i="2"/>
  <c r="C922" i="2"/>
  <c r="B922" i="2"/>
  <c r="A922" i="2"/>
  <c r="CG921" i="2"/>
  <c r="CF921" i="2"/>
  <c r="CE921" i="2"/>
  <c r="CD921" i="2"/>
  <c r="CC921" i="2"/>
  <c r="CB921" i="2"/>
  <c r="CA921" i="2"/>
  <c r="BZ921" i="2"/>
  <c r="BY921" i="2"/>
  <c r="BX921" i="2"/>
  <c r="BW921" i="2"/>
  <c r="J921" i="2"/>
  <c r="G921" i="2"/>
  <c r="F921" i="2"/>
  <c r="E921" i="2"/>
  <c r="D921" i="2"/>
  <c r="C921" i="2"/>
  <c r="B921" i="2"/>
  <c r="A921" i="2"/>
  <c r="CG920" i="2"/>
  <c r="CF920" i="2"/>
  <c r="CE920" i="2"/>
  <c r="CD920" i="2"/>
  <c r="CC920" i="2"/>
  <c r="CB920" i="2"/>
  <c r="CA920" i="2"/>
  <c r="BZ920" i="2"/>
  <c r="BY920" i="2"/>
  <c r="BX920" i="2"/>
  <c r="BW920" i="2"/>
  <c r="H920" i="2"/>
  <c r="G920" i="2"/>
  <c r="F920" i="2"/>
  <c r="D920" i="2"/>
  <c r="C920" i="2"/>
  <c r="B920" i="2"/>
  <c r="A920" i="2"/>
  <c r="CG919" i="2"/>
  <c r="CF919" i="2"/>
  <c r="CE919" i="2"/>
  <c r="CD919" i="2"/>
  <c r="CC919" i="2"/>
  <c r="CB919" i="2"/>
  <c r="CA919" i="2"/>
  <c r="BZ919" i="2"/>
  <c r="BY919" i="2"/>
  <c r="BX919" i="2"/>
  <c r="BW919" i="2"/>
  <c r="H919" i="2"/>
  <c r="G919" i="2"/>
  <c r="F919" i="2"/>
  <c r="D919" i="2"/>
  <c r="C919" i="2"/>
  <c r="B919" i="2"/>
  <c r="A919" i="2"/>
  <c r="CG918" i="2"/>
  <c r="CF918" i="2"/>
  <c r="CE918" i="2"/>
  <c r="CD918" i="2"/>
  <c r="CC918" i="2"/>
  <c r="CB918" i="2"/>
  <c r="CA918" i="2"/>
  <c r="BZ918" i="2"/>
  <c r="BY918" i="2"/>
  <c r="BX918" i="2"/>
  <c r="BW918" i="2"/>
  <c r="P918" i="2"/>
  <c r="G918" i="2"/>
  <c r="F918" i="2"/>
  <c r="E918" i="2"/>
  <c r="D918" i="2"/>
  <c r="C918" i="2"/>
  <c r="B918" i="2"/>
  <c r="A918" i="2"/>
  <c r="CG917" i="2"/>
  <c r="CF917" i="2"/>
  <c r="CE917" i="2"/>
  <c r="CD917" i="2"/>
  <c r="CC917" i="2"/>
  <c r="CB917" i="2"/>
  <c r="CA917" i="2"/>
  <c r="BZ917" i="2"/>
  <c r="BY917" i="2"/>
  <c r="BX917" i="2"/>
  <c r="BW917" i="2"/>
  <c r="T917" i="2"/>
  <c r="G917" i="2"/>
  <c r="F917" i="2"/>
  <c r="E917" i="2"/>
  <c r="C917" i="2"/>
  <c r="B917" i="2"/>
  <c r="A917" i="2"/>
  <c r="CG916" i="2"/>
  <c r="CF916" i="2"/>
  <c r="CE916" i="2"/>
  <c r="CD916" i="2"/>
  <c r="CC916" i="2"/>
  <c r="CB916" i="2"/>
  <c r="CA916" i="2"/>
  <c r="BZ916" i="2"/>
  <c r="BY916" i="2"/>
  <c r="BX916" i="2"/>
  <c r="BW916" i="2"/>
  <c r="H916" i="2"/>
  <c r="G916" i="2"/>
  <c r="F916" i="2"/>
  <c r="E916" i="2"/>
  <c r="C916" i="2"/>
  <c r="B916" i="2"/>
  <c r="A916" i="2"/>
  <c r="CG915" i="2"/>
  <c r="CF915" i="2"/>
  <c r="CE915" i="2"/>
  <c r="CD915" i="2"/>
  <c r="CC915" i="2"/>
  <c r="CB915" i="2"/>
  <c r="CA915" i="2"/>
  <c r="BZ915" i="2"/>
  <c r="BY915" i="2"/>
  <c r="BX915" i="2"/>
  <c r="BW915" i="2"/>
  <c r="H915" i="2"/>
  <c r="G915" i="2"/>
  <c r="D915" i="2"/>
  <c r="C915" i="2"/>
  <c r="B915" i="2"/>
  <c r="A915" i="2"/>
  <c r="CG914" i="2"/>
  <c r="CF914" i="2"/>
  <c r="CE914" i="2"/>
  <c r="CD914" i="2"/>
  <c r="CC914" i="2"/>
  <c r="CB914" i="2"/>
  <c r="CA914" i="2"/>
  <c r="BZ914" i="2"/>
  <c r="BY914" i="2"/>
  <c r="BX914" i="2"/>
  <c r="BW914" i="2"/>
  <c r="P914" i="2"/>
  <c r="G914" i="2"/>
  <c r="F914" i="2"/>
  <c r="E914" i="2"/>
  <c r="D914" i="2"/>
  <c r="C914" i="2"/>
  <c r="B914" i="2"/>
  <c r="A914" i="2"/>
  <c r="CG913" i="2"/>
  <c r="CF913" i="2"/>
  <c r="CE913" i="2"/>
  <c r="CD913" i="2"/>
  <c r="CC913" i="2"/>
  <c r="CB913" i="2"/>
  <c r="CA913" i="2"/>
  <c r="BZ913" i="2"/>
  <c r="BY913" i="2"/>
  <c r="BX913" i="2"/>
  <c r="BW913" i="2"/>
  <c r="M913" i="2"/>
  <c r="G913" i="2"/>
  <c r="F913" i="2"/>
  <c r="E913" i="2"/>
  <c r="D913" i="2"/>
  <c r="C913" i="2"/>
  <c r="B913" i="2"/>
  <c r="A913" i="2"/>
  <c r="CG912" i="2"/>
  <c r="CF912" i="2"/>
  <c r="CE912" i="2"/>
  <c r="CD912" i="2"/>
  <c r="CC912" i="2"/>
  <c r="CB912" i="2"/>
  <c r="CA912" i="2"/>
  <c r="BZ912" i="2"/>
  <c r="BY912" i="2"/>
  <c r="BX912" i="2"/>
  <c r="BW912" i="2"/>
  <c r="U912" i="2"/>
  <c r="G912" i="2"/>
  <c r="F912" i="2"/>
  <c r="E912" i="2"/>
  <c r="D912" i="2"/>
  <c r="C912" i="2"/>
  <c r="B912" i="2"/>
  <c r="A912" i="2"/>
  <c r="CG911" i="2"/>
  <c r="CF911" i="2"/>
  <c r="CE911" i="2"/>
  <c r="CD911" i="2"/>
  <c r="CC911" i="2"/>
  <c r="CB911" i="2"/>
  <c r="CA911" i="2"/>
  <c r="BZ911" i="2"/>
  <c r="BY911" i="2"/>
  <c r="BX911" i="2"/>
  <c r="BW911" i="2"/>
  <c r="G911" i="2"/>
  <c r="F911" i="2"/>
  <c r="E911" i="2"/>
  <c r="D911" i="2"/>
  <c r="C911" i="2"/>
  <c r="B911" i="2"/>
  <c r="A911" i="2"/>
  <c r="CG910" i="2"/>
  <c r="CF910" i="2"/>
  <c r="CE910" i="2"/>
  <c r="CD910" i="2"/>
  <c r="CC910" i="2"/>
  <c r="CB910" i="2"/>
  <c r="CA910" i="2"/>
  <c r="BZ910" i="2"/>
  <c r="BY910" i="2"/>
  <c r="BX910" i="2"/>
  <c r="BW910" i="2"/>
  <c r="G910" i="2"/>
  <c r="F910" i="2"/>
  <c r="E910" i="2"/>
  <c r="D910" i="2"/>
  <c r="C910" i="2"/>
  <c r="B910" i="2"/>
  <c r="A910" i="2"/>
  <c r="CG909" i="2"/>
  <c r="CF909" i="2"/>
  <c r="CE909" i="2"/>
  <c r="CD909" i="2"/>
  <c r="CC909" i="2"/>
  <c r="CB909" i="2"/>
  <c r="CA909" i="2"/>
  <c r="BZ909" i="2"/>
  <c r="BY909" i="2"/>
  <c r="BX909" i="2"/>
  <c r="BW909" i="2"/>
  <c r="G909" i="2"/>
  <c r="F909" i="2"/>
  <c r="D909" i="2"/>
  <c r="C909" i="2"/>
  <c r="B909" i="2"/>
  <c r="A909" i="2"/>
  <c r="CG908" i="2"/>
  <c r="CF908" i="2"/>
  <c r="CE908" i="2"/>
  <c r="CD908" i="2"/>
  <c r="CC908" i="2"/>
  <c r="CB908" i="2"/>
  <c r="CA908" i="2"/>
  <c r="BZ908" i="2"/>
  <c r="BY908" i="2"/>
  <c r="BX908" i="2"/>
  <c r="BW908" i="2"/>
  <c r="U908" i="2"/>
  <c r="G908" i="2"/>
  <c r="F908" i="2"/>
  <c r="E908" i="2"/>
  <c r="D908" i="2"/>
  <c r="C908" i="2"/>
  <c r="B908" i="2"/>
  <c r="A908" i="2"/>
  <c r="CG907" i="2"/>
  <c r="CF907" i="2"/>
  <c r="CE907" i="2"/>
  <c r="CD907" i="2"/>
  <c r="CC907" i="2"/>
  <c r="CB907" i="2"/>
  <c r="CA907" i="2"/>
  <c r="BZ907" i="2"/>
  <c r="BY907" i="2"/>
  <c r="BX907" i="2"/>
  <c r="BW907" i="2"/>
  <c r="P907" i="2"/>
  <c r="G907" i="2"/>
  <c r="F907" i="2"/>
  <c r="E907" i="2"/>
  <c r="D907" i="2"/>
  <c r="C907" i="2"/>
  <c r="B907" i="2"/>
  <c r="A907" i="2"/>
  <c r="CG906" i="2"/>
  <c r="CF906" i="2"/>
  <c r="CE906" i="2"/>
  <c r="CD906" i="2"/>
  <c r="CC906" i="2"/>
  <c r="CB906" i="2"/>
  <c r="CA906" i="2"/>
  <c r="BZ906" i="2"/>
  <c r="BY906" i="2"/>
  <c r="BX906" i="2"/>
  <c r="BW906" i="2"/>
  <c r="W906" i="2"/>
  <c r="G906" i="2"/>
  <c r="F906" i="2"/>
  <c r="D906" i="2"/>
  <c r="C906" i="2"/>
  <c r="B906" i="2"/>
  <c r="A906" i="2"/>
  <c r="CG905" i="2"/>
  <c r="CF905" i="2"/>
  <c r="CE905" i="2"/>
  <c r="CD905" i="2"/>
  <c r="CC905" i="2"/>
  <c r="CB905" i="2"/>
  <c r="CA905" i="2"/>
  <c r="BZ905" i="2"/>
  <c r="BY905" i="2"/>
  <c r="BX905" i="2"/>
  <c r="BW905" i="2"/>
  <c r="T905" i="2"/>
  <c r="G905" i="2"/>
  <c r="F905" i="2"/>
  <c r="E905" i="2"/>
  <c r="C905" i="2"/>
  <c r="B905" i="2"/>
  <c r="A905" i="2"/>
  <c r="CG904" i="2"/>
  <c r="CF904" i="2"/>
  <c r="CE904" i="2"/>
  <c r="CD904" i="2"/>
  <c r="CC904" i="2"/>
  <c r="CB904" i="2"/>
  <c r="CA904" i="2"/>
  <c r="BZ904" i="2"/>
  <c r="BY904" i="2"/>
  <c r="BX904" i="2"/>
  <c r="BW904" i="2"/>
  <c r="U904" i="2"/>
  <c r="G904" i="2"/>
  <c r="F904" i="2"/>
  <c r="E904" i="2"/>
  <c r="D904" i="2"/>
  <c r="C904" i="2"/>
  <c r="B904" i="2"/>
  <c r="A904" i="2"/>
  <c r="CG903" i="2"/>
  <c r="CF903" i="2"/>
  <c r="CE903" i="2"/>
  <c r="CD903" i="2"/>
  <c r="CC903" i="2"/>
  <c r="CB903" i="2"/>
  <c r="CA903" i="2"/>
  <c r="BZ903" i="2"/>
  <c r="BY903" i="2"/>
  <c r="BX903" i="2"/>
  <c r="BW903" i="2"/>
  <c r="BH903" i="2"/>
  <c r="W903" i="2"/>
  <c r="G903" i="2"/>
  <c r="F903" i="2"/>
  <c r="E903" i="2"/>
  <c r="D903" i="2"/>
  <c r="C903" i="2"/>
  <c r="B903" i="2"/>
  <c r="A903" i="2"/>
  <c r="CG902" i="2"/>
  <c r="CF902" i="2"/>
  <c r="CE902" i="2"/>
  <c r="CD902" i="2"/>
  <c r="CC902" i="2"/>
  <c r="CB902" i="2"/>
  <c r="CA902" i="2"/>
  <c r="BZ902" i="2"/>
  <c r="BY902" i="2"/>
  <c r="BX902" i="2"/>
  <c r="BW902" i="2"/>
  <c r="T902" i="2"/>
  <c r="G902" i="2"/>
  <c r="F902" i="2"/>
  <c r="E902" i="2"/>
  <c r="C902" i="2"/>
  <c r="B902" i="2"/>
  <c r="A902" i="2"/>
  <c r="CG901" i="2"/>
  <c r="CF901" i="2"/>
  <c r="CE901" i="2"/>
  <c r="CD901" i="2"/>
  <c r="CC901" i="2"/>
  <c r="CB901" i="2"/>
  <c r="CA901" i="2"/>
  <c r="BZ901" i="2"/>
  <c r="BY901" i="2"/>
  <c r="BX901" i="2"/>
  <c r="BW901" i="2"/>
  <c r="Q901" i="2"/>
  <c r="G901" i="2"/>
  <c r="F901" i="2"/>
  <c r="E901" i="2"/>
  <c r="D901" i="2"/>
  <c r="C901" i="2"/>
  <c r="B901" i="2"/>
  <c r="A901" i="2"/>
  <c r="CG900" i="2"/>
  <c r="CF900" i="2"/>
  <c r="CE900" i="2"/>
  <c r="CD900" i="2"/>
  <c r="CC900" i="2"/>
  <c r="CB900" i="2"/>
  <c r="CA900" i="2"/>
  <c r="BZ900" i="2"/>
  <c r="BY900" i="2"/>
  <c r="BX900" i="2"/>
  <c r="BW900" i="2"/>
  <c r="V900" i="2"/>
  <c r="G900" i="2"/>
  <c r="F900" i="2"/>
  <c r="E900" i="2"/>
  <c r="D900" i="2"/>
  <c r="C900" i="2"/>
  <c r="B900" i="2"/>
  <c r="A900" i="2"/>
  <c r="CG899" i="2"/>
  <c r="CF899" i="2"/>
  <c r="CE899" i="2"/>
  <c r="CD899" i="2"/>
  <c r="CC899" i="2"/>
  <c r="CB899" i="2"/>
  <c r="CA899" i="2"/>
  <c r="BZ899" i="2"/>
  <c r="BY899" i="2"/>
  <c r="BX899" i="2"/>
  <c r="BW899" i="2"/>
  <c r="U899" i="2"/>
  <c r="G899" i="2"/>
  <c r="F899" i="2"/>
  <c r="E899" i="2"/>
  <c r="D899" i="2"/>
  <c r="C899" i="2"/>
  <c r="B899" i="2"/>
  <c r="A899" i="2"/>
  <c r="CG898" i="2"/>
  <c r="CF898" i="2"/>
  <c r="CE898" i="2"/>
  <c r="CD898" i="2"/>
  <c r="CC898" i="2"/>
  <c r="CB898" i="2"/>
  <c r="CA898" i="2"/>
  <c r="BZ898" i="2"/>
  <c r="BY898" i="2"/>
  <c r="BX898" i="2"/>
  <c r="BW898" i="2"/>
  <c r="H898" i="2"/>
  <c r="G898" i="2"/>
  <c r="F898" i="2"/>
  <c r="E898" i="2"/>
  <c r="D898" i="2"/>
  <c r="C898" i="2"/>
  <c r="B898" i="2"/>
  <c r="A898" i="2"/>
  <c r="CG897" i="2"/>
  <c r="CF897" i="2"/>
  <c r="CE897" i="2"/>
  <c r="CD897" i="2"/>
  <c r="CC897" i="2"/>
  <c r="CB897" i="2"/>
  <c r="CA897" i="2"/>
  <c r="BZ897" i="2"/>
  <c r="BY897" i="2"/>
  <c r="BX897" i="2"/>
  <c r="BW897" i="2"/>
  <c r="L897" i="2"/>
  <c r="G897" i="2"/>
  <c r="F897" i="2"/>
  <c r="E897" i="2"/>
  <c r="D897" i="2"/>
  <c r="C897" i="2"/>
  <c r="B897" i="2"/>
  <c r="A897" i="2"/>
  <c r="CG896" i="2"/>
  <c r="CF896" i="2"/>
  <c r="CE896" i="2"/>
  <c r="CD896" i="2"/>
  <c r="CC896" i="2"/>
  <c r="CB896" i="2"/>
  <c r="CA896" i="2"/>
  <c r="BZ896" i="2"/>
  <c r="BY896" i="2"/>
  <c r="BX896" i="2"/>
  <c r="BW896" i="2"/>
  <c r="O896" i="2"/>
  <c r="G896" i="2"/>
  <c r="F896" i="2"/>
  <c r="D896" i="2"/>
  <c r="C896" i="2"/>
  <c r="B896" i="2"/>
  <c r="A896" i="2"/>
  <c r="CG895" i="2"/>
  <c r="CF895" i="2"/>
  <c r="CE895" i="2"/>
  <c r="CD895" i="2"/>
  <c r="CC895" i="2"/>
  <c r="CB895" i="2"/>
  <c r="CA895" i="2"/>
  <c r="BZ895" i="2"/>
  <c r="BY895" i="2"/>
  <c r="BX895" i="2"/>
  <c r="BW895" i="2"/>
  <c r="V895" i="2"/>
  <c r="G895" i="2"/>
  <c r="F895" i="2"/>
  <c r="E895" i="2"/>
  <c r="D895" i="2"/>
  <c r="C895" i="2"/>
  <c r="B895" i="2"/>
  <c r="A895" i="2"/>
  <c r="CG894" i="2"/>
  <c r="CF894" i="2"/>
  <c r="CE894" i="2"/>
  <c r="CD894" i="2"/>
  <c r="CC894" i="2"/>
  <c r="CB894" i="2"/>
  <c r="CA894" i="2"/>
  <c r="BZ894" i="2"/>
  <c r="BY894" i="2"/>
  <c r="BX894" i="2"/>
  <c r="BW894" i="2"/>
  <c r="M894" i="2"/>
  <c r="G894" i="2"/>
  <c r="F894" i="2"/>
  <c r="E894" i="2"/>
  <c r="D894" i="2"/>
  <c r="C894" i="2"/>
  <c r="B894" i="2"/>
  <c r="A894" i="2"/>
  <c r="CG893" i="2"/>
  <c r="CF893" i="2"/>
  <c r="CE893" i="2"/>
  <c r="CD893" i="2"/>
  <c r="CC893" i="2"/>
  <c r="CB893" i="2"/>
  <c r="CA893" i="2"/>
  <c r="BZ893" i="2"/>
  <c r="BY893" i="2"/>
  <c r="BX893" i="2"/>
  <c r="BW893" i="2"/>
  <c r="L893" i="2"/>
  <c r="G893" i="2"/>
  <c r="F893" i="2"/>
  <c r="E893" i="2"/>
  <c r="D893" i="2"/>
  <c r="C893" i="2"/>
  <c r="B893" i="2"/>
  <c r="A893" i="2"/>
  <c r="CG892" i="2"/>
  <c r="CF892" i="2"/>
  <c r="CE892" i="2"/>
  <c r="CD892" i="2"/>
  <c r="CC892" i="2"/>
  <c r="CB892" i="2"/>
  <c r="CA892" i="2"/>
  <c r="BZ892" i="2"/>
  <c r="BY892" i="2"/>
  <c r="BX892" i="2"/>
  <c r="BW892" i="2"/>
  <c r="H892" i="2"/>
  <c r="G892" i="2"/>
  <c r="F892" i="2"/>
  <c r="E892" i="2"/>
  <c r="D892" i="2"/>
  <c r="C892" i="2"/>
  <c r="B892" i="2"/>
  <c r="A892" i="2"/>
  <c r="CG891" i="2"/>
  <c r="CF891" i="2"/>
  <c r="CE891" i="2"/>
  <c r="CD891" i="2"/>
  <c r="CC891" i="2"/>
  <c r="CB891" i="2"/>
  <c r="CA891" i="2"/>
  <c r="BZ891" i="2"/>
  <c r="BY891" i="2"/>
  <c r="BX891" i="2"/>
  <c r="BW891" i="2"/>
  <c r="F891" i="2"/>
  <c r="E891" i="2"/>
  <c r="D891" i="2"/>
  <c r="C891" i="2"/>
  <c r="B891" i="2"/>
  <c r="A891" i="2"/>
  <c r="CG890" i="2"/>
  <c r="CF890" i="2"/>
  <c r="CE890" i="2"/>
  <c r="CD890" i="2"/>
  <c r="CC890" i="2"/>
  <c r="CB890" i="2"/>
  <c r="CA890" i="2"/>
  <c r="BZ890" i="2"/>
  <c r="BY890" i="2"/>
  <c r="BX890" i="2"/>
  <c r="BW890" i="2"/>
  <c r="S890" i="2"/>
  <c r="G890" i="2"/>
  <c r="F890" i="2"/>
  <c r="E890" i="2"/>
  <c r="D890" i="2"/>
  <c r="C890" i="2"/>
  <c r="B890" i="2"/>
  <c r="A890" i="2"/>
  <c r="CG889" i="2"/>
  <c r="CF889" i="2"/>
  <c r="CE889" i="2"/>
  <c r="CD889" i="2"/>
  <c r="CC889" i="2"/>
  <c r="CB889" i="2"/>
  <c r="CA889" i="2"/>
  <c r="BZ889" i="2"/>
  <c r="BY889" i="2"/>
  <c r="BX889" i="2"/>
  <c r="BW889" i="2"/>
  <c r="P889" i="2"/>
  <c r="G889" i="2"/>
  <c r="F889" i="2"/>
  <c r="E889" i="2"/>
  <c r="D889" i="2"/>
  <c r="C889" i="2"/>
  <c r="B889" i="2"/>
  <c r="A889" i="2"/>
  <c r="CG888" i="2"/>
  <c r="CF888" i="2"/>
  <c r="CE888" i="2"/>
  <c r="CD888" i="2"/>
  <c r="CC888" i="2"/>
  <c r="CB888" i="2"/>
  <c r="CA888" i="2"/>
  <c r="BZ888" i="2"/>
  <c r="BY888" i="2"/>
  <c r="BX888" i="2"/>
  <c r="BW888" i="2"/>
  <c r="T888" i="2"/>
  <c r="G888" i="2"/>
  <c r="F888" i="2"/>
  <c r="E888" i="2"/>
  <c r="D888" i="2"/>
  <c r="C888" i="2"/>
  <c r="B888" i="2"/>
  <c r="A888" i="2"/>
  <c r="CG887" i="2"/>
  <c r="CF887" i="2"/>
  <c r="CE887" i="2"/>
  <c r="CD887" i="2"/>
  <c r="CC887" i="2"/>
  <c r="CB887" i="2"/>
  <c r="CA887" i="2"/>
  <c r="BZ887" i="2"/>
  <c r="BY887" i="2"/>
  <c r="BX887" i="2"/>
  <c r="BW887" i="2"/>
  <c r="M887" i="2"/>
  <c r="G887" i="2"/>
  <c r="F887" i="2"/>
  <c r="E887" i="2"/>
  <c r="D887" i="2"/>
  <c r="C887" i="2"/>
  <c r="B887" i="2"/>
  <c r="A887" i="2"/>
  <c r="CG886" i="2"/>
  <c r="CF886" i="2"/>
  <c r="CE886" i="2"/>
  <c r="CD886" i="2"/>
  <c r="CC886" i="2"/>
  <c r="CB886" i="2"/>
  <c r="CA886" i="2"/>
  <c r="BZ886" i="2"/>
  <c r="BY886" i="2"/>
  <c r="BX886" i="2"/>
  <c r="BW886" i="2"/>
  <c r="T886" i="2"/>
  <c r="G886" i="2"/>
  <c r="F886" i="2"/>
  <c r="E886" i="2"/>
  <c r="D886" i="2"/>
  <c r="C886" i="2"/>
  <c r="B886" i="2"/>
  <c r="A886" i="2"/>
  <c r="CG885" i="2"/>
  <c r="CF885" i="2"/>
  <c r="CE885" i="2"/>
  <c r="CD885" i="2"/>
  <c r="CC885" i="2"/>
  <c r="CB885" i="2"/>
  <c r="CA885" i="2"/>
  <c r="BZ885" i="2"/>
  <c r="BY885" i="2"/>
  <c r="BX885" i="2"/>
  <c r="BW885" i="2"/>
  <c r="S885" i="2"/>
  <c r="G885" i="2"/>
  <c r="F885" i="2"/>
  <c r="E885" i="2"/>
  <c r="D885" i="2"/>
  <c r="C885" i="2"/>
  <c r="B885" i="2"/>
  <c r="A885" i="2"/>
  <c r="CG884" i="2"/>
  <c r="CF884" i="2"/>
  <c r="CE884" i="2"/>
  <c r="CD884" i="2"/>
  <c r="CC884" i="2"/>
  <c r="CB884" i="2"/>
  <c r="CA884" i="2"/>
  <c r="BZ884" i="2"/>
  <c r="BY884" i="2"/>
  <c r="BX884" i="2"/>
  <c r="BW884" i="2"/>
  <c r="M884" i="2"/>
  <c r="G884" i="2"/>
  <c r="F884" i="2"/>
  <c r="E884" i="2"/>
  <c r="D884" i="2"/>
  <c r="C884" i="2"/>
  <c r="B884" i="2"/>
  <c r="A884" i="2"/>
  <c r="CG883" i="2"/>
  <c r="CF883" i="2"/>
  <c r="CE883" i="2"/>
  <c r="CD883" i="2"/>
  <c r="CC883" i="2"/>
  <c r="CB883" i="2"/>
  <c r="CA883" i="2"/>
  <c r="BZ883" i="2"/>
  <c r="BY883" i="2"/>
  <c r="BX883" i="2"/>
  <c r="BW883" i="2"/>
  <c r="R883" i="2"/>
  <c r="G883" i="2"/>
  <c r="F883" i="2"/>
  <c r="E883" i="2"/>
  <c r="D883" i="2"/>
  <c r="C883" i="2"/>
  <c r="B883" i="2"/>
  <c r="A883" i="2"/>
  <c r="CG882" i="2"/>
  <c r="CF882" i="2"/>
  <c r="CE882" i="2"/>
  <c r="CD882" i="2"/>
  <c r="CC882" i="2"/>
  <c r="CB882" i="2"/>
  <c r="CA882" i="2"/>
  <c r="BZ882" i="2"/>
  <c r="BY882" i="2"/>
  <c r="BX882" i="2"/>
  <c r="BW882" i="2"/>
  <c r="T882" i="2"/>
  <c r="G882" i="2"/>
  <c r="F882" i="2"/>
  <c r="E882" i="2"/>
  <c r="D882" i="2"/>
  <c r="C882" i="2"/>
  <c r="B882" i="2"/>
  <c r="A882" i="2"/>
  <c r="CG881" i="2"/>
  <c r="CF881" i="2"/>
  <c r="CE881" i="2"/>
  <c r="CD881" i="2"/>
  <c r="CC881" i="2"/>
  <c r="CB881" i="2"/>
  <c r="CA881" i="2"/>
  <c r="BZ881" i="2"/>
  <c r="BY881" i="2"/>
  <c r="BX881" i="2"/>
  <c r="BW881" i="2"/>
  <c r="R881" i="2"/>
  <c r="G881" i="2"/>
  <c r="F881" i="2"/>
  <c r="E881" i="2"/>
  <c r="D881" i="2"/>
  <c r="C881" i="2"/>
  <c r="B881" i="2"/>
  <c r="A881" i="2"/>
  <c r="CG880" i="2"/>
  <c r="CF880" i="2"/>
  <c r="CE880" i="2"/>
  <c r="CD880" i="2"/>
  <c r="CC880" i="2"/>
  <c r="CB880" i="2"/>
  <c r="CA880" i="2"/>
  <c r="BZ880" i="2"/>
  <c r="BY880" i="2"/>
  <c r="BX880" i="2"/>
  <c r="BW880" i="2"/>
  <c r="G880" i="2"/>
  <c r="F880" i="2"/>
  <c r="E880" i="2"/>
  <c r="D880" i="2"/>
  <c r="C880" i="2"/>
  <c r="B880" i="2"/>
  <c r="A880" i="2"/>
  <c r="CG879" i="2"/>
  <c r="CF879" i="2"/>
  <c r="CE879" i="2"/>
  <c r="CD879" i="2"/>
  <c r="CC879" i="2"/>
  <c r="CB879" i="2"/>
  <c r="CA879" i="2"/>
  <c r="BZ879" i="2"/>
  <c r="BY879" i="2"/>
  <c r="BX879" i="2"/>
  <c r="BW879" i="2"/>
  <c r="V879" i="2"/>
  <c r="G879" i="2"/>
  <c r="F879" i="2"/>
  <c r="E879" i="2"/>
  <c r="D879" i="2"/>
  <c r="C879" i="2"/>
  <c r="B879" i="2"/>
  <c r="A879" i="2"/>
  <c r="CG878" i="2"/>
  <c r="CF878" i="2"/>
  <c r="CE878" i="2"/>
  <c r="CD878" i="2"/>
  <c r="CC878" i="2"/>
  <c r="CB878" i="2"/>
  <c r="CA878" i="2"/>
  <c r="BZ878" i="2"/>
  <c r="BY878" i="2"/>
  <c r="BX878" i="2"/>
  <c r="BW878" i="2"/>
  <c r="P878" i="2"/>
  <c r="G878" i="2"/>
  <c r="F878" i="2"/>
  <c r="E878" i="2"/>
  <c r="D878" i="2"/>
  <c r="C878" i="2"/>
  <c r="B878" i="2"/>
  <c r="A878" i="2"/>
  <c r="CG877" i="2"/>
  <c r="CF877" i="2"/>
  <c r="CE877" i="2"/>
  <c r="CD877" i="2"/>
  <c r="CC877" i="2"/>
  <c r="CB877" i="2"/>
  <c r="CA877" i="2"/>
  <c r="BZ877" i="2"/>
  <c r="BY877" i="2"/>
  <c r="BX877" i="2"/>
  <c r="BW877" i="2"/>
  <c r="H877" i="2"/>
  <c r="G877" i="2"/>
  <c r="F877" i="2"/>
  <c r="E877" i="2"/>
  <c r="D877" i="2"/>
  <c r="C877" i="2"/>
  <c r="B877" i="2"/>
  <c r="A877" i="2"/>
  <c r="CG876" i="2"/>
  <c r="CF876" i="2"/>
  <c r="CE876" i="2"/>
  <c r="CD876" i="2"/>
  <c r="CC876" i="2"/>
  <c r="CB876" i="2"/>
  <c r="CA876" i="2"/>
  <c r="BZ876" i="2"/>
  <c r="BY876" i="2"/>
  <c r="BX876" i="2"/>
  <c r="BW876" i="2"/>
  <c r="H876" i="2"/>
  <c r="G876" i="2"/>
  <c r="F876" i="2"/>
  <c r="E876" i="2"/>
  <c r="D876" i="2"/>
  <c r="C876" i="2"/>
  <c r="B876" i="2"/>
  <c r="A876" i="2"/>
  <c r="CG875" i="2"/>
  <c r="CF875" i="2"/>
  <c r="CE875" i="2"/>
  <c r="CD875" i="2"/>
  <c r="CC875" i="2"/>
  <c r="CB875" i="2"/>
  <c r="CA875" i="2"/>
  <c r="BZ875" i="2"/>
  <c r="BY875" i="2"/>
  <c r="BX875" i="2"/>
  <c r="BW875" i="2"/>
  <c r="V875" i="2"/>
  <c r="G875" i="2"/>
  <c r="F875" i="2"/>
  <c r="E875" i="2"/>
  <c r="D875" i="2"/>
  <c r="C875" i="2"/>
  <c r="B875" i="2"/>
  <c r="A875" i="2"/>
  <c r="CG874" i="2"/>
  <c r="CF874" i="2"/>
  <c r="CE874" i="2"/>
  <c r="CD874" i="2"/>
  <c r="CC874" i="2"/>
  <c r="CB874" i="2"/>
  <c r="CA874" i="2"/>
  <c r="BZ874" i="2"/>
  <c r="BY874" i="2"/>
  <c r="BX874" i="2"/>
  <c r="BW874" i="2"/>
  <c r="T874" i="2"/>
  <c r="G874" i="2"/>
  <c r="F874" i="2"/>
  <c r="E874" i="2"/>
  <c r="C874" i="2"/>
  <c r="B874" i="2"/>
  <c r="A874" i="2"/>
  <c r="CG873" i="2"/>
  <c r="CF873" i="2"/>
  <c r="CE873" i="2"/>
  <c r="CD873" i="2"/>
  <c r="CC873" i="2"/>
  <c r="CB873" i="2"/>
  <c r="CA873" i="2"/>
  <c r="BZ873" i="2"/>
  <c r="BY873" i="2"/>
  <c r="BX873" i="2"/>
  <c r="BW873" i="2"/>
  <c r="T873" i="2"/>
  <c r="G873" i="2"/>
  <c r="F873" i="2"/>
  <c r="E873" i="2"/>
  <c r="D873" i="2"/>
  <c r="C873" i="2"/>
  <c r="B873" i="2"/>
  <c r="A873" i="2"/>
  <c r="CG872" i="2"/>
  <c r="CF872" i="2"/>
  <c r="CE872" i="2"/>
  <c r="CD872" i="2"/>
  <c r="CC872" i="2"/>
  <c r="CB872" i="2"/>
  <c r="CA872" i="2"/>
  <c r="BZ872" i="2"/>
  <c r="BY872" i="2"/>
  <c r="BX872" i="2"/>
  <c r="BW872" i="2"/>
  <c r="P872" i="2"/>
  <c r="G872" i="2"/>
  <c r="F872" i="2"/>
  <c r="E872" i="2"/>
  <c r="D872" i="2"/>
  <c r="C872" i="2"/>
  <c r="B872" i="2"/>
  <c r="A872" i="2"/>
  <c r="CG871" i="2"/>
  <c r="CF871" i="2"/>
  <c r="CE871" i="2"/>
  <c r="CD871" i="2"/>
  <c r="CC871" i="2"/>
  <c r="CB871" i="2"/>
  <c r="CA871" i="2"/>
  <c r="BZ871" i="2"/>
  <c r="BY871" i="2"/>
  <c r="BX871" i="2"/>
  <c r="BW871" i="2"/>
  <c r="P871" i="2"/>
  <c r="G871" i="2"/>
  <c r="F871" i="2"/>
  <c r="E871" i="2"/>
  <c r="D871" i="2"/>
  <c r="C871" i="2"/>
  <c r="B871" i="2"/>
  <c r="A871" i="2"/>
  <c r="CG870" i="2"/>
  <c r="CF870" i="2"/>
  <c r="CE870" i="2"/>
  <c r="CD870" i="2"/>
  <c r="CC870" i="2"/>
  <c r="CB870" i="2"/>
  <c r="CA870" i="2"/>
  <c r="BZ870" i="2"/>
  <c r="BY870" i="2"/>
  <c r="BX870" i="2"/>
  <c r="BW870" i="2"/>
  <c r="R870" i="2"/>
  <c r="G870" i="2"/>
  <c r="F870" i="2"/>
  <c r="E870" i="2"/>
  <c r="D870" i="2"/>
  <c r="C870" i="2"/>
  <c r="B870" i="2"/>
  <c r="A870" i="2"/>
  <c r="CG869" i="2"/>
  <c r="CF869" i="2"/>
  <c r="CE869" i="2"/>
  <c r="CD869" i="2"/>
  <c r="CC869" i="2"/>
  <c r="CB869" i="2"/>
  <c r="CA869" i="2"/>
  <c r="BZ869" i="2"/>
  <c r="BY869" i="2"/>
  <c r="BX869" i="2"/>
  <c r="BW869" i="2"/>
  <c r="H869" i="2"/>
  <c r="G869" i="2"/>
  <c r="F869" i="2"/>
  <c r="E869" i="2"/>
  <c r="D869" i="2"/>
  <c r="C869" i="2"/>
  <c r="B869" i="2"/>
  <c r="A869" i="2"/>
  <c r="CG868" i="2"/>
  <c r="CF868" i="2"/>
  <c r="CE868" i="2"/>
  <c r="CD868" i="2"/>
  <c r="CC868" i="2"/>
  <c r="CB868" i="2"/>
  <c r="CA868" i="2"/>
  <c r="BZ868" i="2"/>
  <c r="BY868" i="2"/>
  <c r="BX868" i="2"/>
  <c r="BW868" i="2"/>
  <c r="H868" i="2"/>
  <c r="G868" i="2"/>
  <c r="F868" i="2"/>
  <c r="E868" i="2"/>
  <c r="D868" i="2"/>
  <c r="C868" i="2"/>
  <c r="B868" i="2"/>
  <c r="A868" i="2"/>
  <c r="CG867" i="2"/>
  <c r="CF867" i="2"/>
  <c r="CE867" i="2"/>
  <c r="CD867" i="2"/>
  <c r="CC867" i="2"/>
  <c r="CB867" i="2"/>
  <c r="CA867" i="2"/>
  <c r="BZ867" i="2"/>
  <c r="BY867" i="2"/>
  <c r="BX867" i="2"/>
  <c r="BW867" i="2"/>
  <c r="T867" i="2"/>
  <c r="G867" i="2"/>
  <c r="F867" i="2"/>
  <c r="E867" i="2"/>
  <c r="D867" i="2"/>
  <c r="C867" i="2"/>
  <c r="B867" i="2"/>
  <c r="A867" i="2"/>
  <c r="CG866" i="2"/>
  <c r="CF866" i="2"/>
  <c r="CE866" i="2"/>
  <c r="CD866" i="2"/>
  <c r="CC866" i="2"/>
  <c r="CB866" i="2"/>
  <c r="CA866" i="2"/>
  <c r="BZ866" i="2"/>
  <c r="BY866" i="2"/>
  <c r="BX866" i="2"/>
  <c r="BW866" i="2"/>
  <c r="G866" i="2"/>
  <c r="F866" i="2"/>
  <c r="E866" i="2"/>
  <c r="D866" i="2"/>
  <c r="C866" i="2"/>
  <c r="B866" i="2"/>
  <c r="A866" i="2"/>
  <c r="CG865" i="2"/>
  <c r="CF865" i="2"/>
  <c r="CE865" i="2"/>
  <c r="CD865" i="2"/>
  <c r="CC865" i="2"/>
  <c r="CB865" i="2"/>
  <c r="CA865" i="2"/>
  <c r="BZ865" i="2"/>
  <c r="BY865" i="2"/>
  <c r="BX865" i="2"/>
  <c r="BW865" i="2"/>
  <c r="P865" i="2"/>
  <c r="G865" i="2"/>
  <c r="F865" i="2"/>
  <c r="E865" i="2"/>
  <c r="D865" i="2"/>
  <c r="C865" i="2"/>
  <c r="B865" i="2"/>
  <c r="A865" i="2"/>
  <c r="CG864" i="2"/>
  <c r="CF864" i="2"/>
  <c r="CE864" i="2"/>
  <c r="CD864" i="2"/>
  <c r="CC864" i="2"/>
  <c r="CB864" i="2"/>
  <c r="CA864" i="2"/>
  <c r="BZ864" i="2"/>
  <c r="BY864" i="2"/>
  <c r="BX864" i="2"/>
  <c r="BW864" i="2"/>
  <c r="T864" i="2"/>
  <c r="G864" i="2"/>
  <c r="F864" i="2"/>
  <c r="E864" i="2"/>
  <c r="D864" i="2"/>
  <c r="C864" i="2"/>
  <c r="B864" i="2"/>
  <c r="A864" i="2"/>
  <c r="CG863" i="2"/>
  <c r="CF863" i="2"/>
  <c r="CE863" i="2"/>
  <c r="CD863" i="2"/>
  <c r="CC863" i="2"/>
  <c r="CB863" i="2"/>
  <c r="CA863" i="2"/>
  <c r="BZ863" i="2"/>
  <c r="BY863" i="2"/>
  <c r="BX863" i="2"/>
  <c r="BW863" i="2"/>
  <c r="R863" i="2"/>
  <c r="G863" i="2"/>
  <c r="F863" i="2"/>
  <c r="E863" i="2"/>
  <c r="D863" i="2"/>
  <c r="C863" i="2"/>
  <c r="B863" i="2"/>
  <c r="A863" i="2"/>
  <c r="CG862" i="2"/>
  <c r="CF862" i="2"/>
  <c r="CE862" i="2"/>
  <c r="CD862" i="2"/>
  <c r="CC862" i="2"/>
  <c r="CB862" i="2"/>
  <c r="CA862" i="2"/>
  <c r="BZ862" i="2"/>
  <c r="BY862" i="2"/>
  <c r="BX862" i="2"/>
  <c r="BW862" i="2"/>
  <c r="O862" i="2"/>
  <c r="G862" i="2"/>
  <c r="F862" i="2"/>
  <c r="E862" i="2"/>
  <c r="D862" i="2"/>
  <c r="C862" i="2"/>
  <c r="B862" i="2"/>
  <c r="A862" i="2"/>
  <c r="CG861" i="2"/>
  <c r="CF861" i="2"/>
  <c r="CE861" i="2"/>
  <c r="CD861" i="2"/>
  <c r="CC861" i="2"/>
  <c r="CB861" i="2"/>
  <c r="CA861" i="2"/>
  <c r="BZ861" i="2"/>
  <c r="BY861" i="2"/>
  <c r="BX861" i="2"/>
  <c r="BW861" i="2"/>
  <c r="U861" i="2"/>
  <c r="G861" i="2"/>
  <c r="F861" i="2"/>
  <c r="E861" i="2"/>
  <c r="D861" i="2"/>
  <c r="C861" i="2"/>
  <c r="B861" i="2"/>
  <c r="A861" i="2"/>
  <c r="CG860" i="2"/>
  <c r="CF860" i="2"/>
  <c r="CE860" i="2"/>
  <c r="CD860" i="2"/>
  <c r="CC860" i="2"/>
  <c r="CB860" i="2"/>
  <c r="CA860" i="2"/>
  <c r="BZ860" i="2"/>
  <c r="BY860" i="2"/>
  <c r="BX860" i="2"/>
  <c r="BW860" i="2"/>
  <c r="H860" i="2"/>
  <c r="G860" i="2"/>
  <c r="F860" i="2"/>
  <c r="E860" i="2"/>
  <c r="D860" i="2"/>
  <c r="C860" i="2"/>
  <c r="B860" i="2"/>
  <c r="A860" i="2"/>
  <c r="CG859" i="2"/>
  <c r="CF859" i="2"/>
  <c r="CE859" i="2"/>
  <c r="CD859" i="2"/>
  <c r="CC859" i="2"/>
  <c r="CB859" i="2"/>
  <c r="CA859" i="2"/>
  <c r="BZ859" i="2"/>
  <c r="BY859" i="2"/>
  <c r="BX859" i="2"/>
  <c r="BW859" i="2"/>
  <c r="O859" i="2"/>
  <c r="G859" i="2"/>
  <c r="F859" i="2"/>
  <c r="E859" i="2"/>
  <c r="D859" i="2"/>
  <c r="C859" i="2"/>
  <c r="B859" i="2"/>
  <c r="A859" i="2"/>
  <c r="CG858" i="2"/>
  <c r="CF858" i="2"/>
  <c r="CE858" i="2"/>
  <c r="CD858" i="2"/>
  <c r="CC858" i="2"/>
  <c r="CB858" i="2"/>
  <c r="CA858" i="2"/>
  <c r="BZ858" i="2"/>
  <c r="BY858" i="2"/>
  <c r="BX858" i="2"/>
  <c r="BW858" i="2"/>
  <c r="G858" i="2"/>
  <c r="F858" i="2"/>
  <c r="E858" i="2"/>
  <c r="D858" i="2"/>
  <c r="C858" i="2"/>
  <c r="B858" i="2"/>
  <c r="A858" i="2"/>
  <c r="CG857" i="2"/>
  <c r="CF857" i="2"/>
  <c r="CE857" i="2"/>
  <c r="CD857" i="2"/>
  <c r="CC857" i="2"/>
  <c r="CB857" i="2"/>
  <c r="CA857" i="2"/>
  <c r="BZ857" i="2"/>
  <c r="BY857" i="2"/>
  <c r="BX857" i="2"/>
  <c r="BW857" i="2"/>
  <c r="V857" i="2"/>
  <c r="G857" i="2"/>
  <c r="F857" i="2"/>
  <c r="E857" i="2"/>
  <c r="D857" i="2"/>
  <c r="C857" i="2"/>
  <c r="B857" i="2"/>
  <c r="A857" i="2"/>
  <c r="CG856" i="2"/>
  <c r="CF856" i="2"/>
  <c r="CE856" i="2"/>
  <c r="CD856" i="2"/>
  <c r="CC856" i="2"/>
  <c r="CB856" i="2"/>
  <c r="CA856" i="2"/>
  <c r="BZ856" i="2"/>
  <c r="BY856" i="2"/>
  <c r="BX856" i="2"/>
  <c r="BW856" i="2"/>
  <c r="T856" i="2"/>
  <c r="G856" i="2"/>
  <c r="F856" i="2"/>
  <c r="E856" i="2"/>
  <c r="D856" i="2"/>
  <c r="C856" i="2"/>
  <c r="B856" i="2"/>
  <c r="A856" i="2"/>
  <c r="CG855" i="2"/>
  <c r="CF855" i="2"/>
  <c r="CE855" i="2"/>
  <c r="CD855" i="2"/>
  <c r="CC855" i="2"/>
  <c r="CB855" i="2"/>
  <c r="CA855" i="2"/>
  <c r="BZ855" i="2"/>
  <c r="BY855" i="2"/>
  <c r="BX855" i="2"/>
  <c r="BW855" i="2"/>
  <c r="M855" i="2"/>
  <c r="G855" i="2"/>
  <c r="F855" i="2"/>
  <c r="E855" i="2"/>
  <c r="D855" i="2"/>
  <c r="C855" i="2"/>
  <c r="B855" i="2"/>
  <c r="A855" i="2"/>
  <c r="CG854" i="2"/>
  <c r="CF854" i="2"/>
  <c r="CE854" i="2"/>
  <c r="CD854" i="2"/>
  <c r="CC854" i="2"/>
  <c r="CB854" i="2"/>
  <c r="CA854" i="2"/>
  <c r="BZ854" i="2"/>
  <c r="BY854" i="2"/>
  <c r="BX854" i="2"/>
  <c r="BW854" i="2"/>
  <c r="O854" i="2"/>
  <c r="G854" i="2"/>
  <c r="F854" i="2"/>
  <c r="E854" i="2"/>
  <c r="C854" i="2"/>
  <c r="B854" i="2"/>
  <c r="A854" i="2"/>
  <c r="CG853" i="2"/>
  <c r="CF853" i="2"/>
  <c r="CE853" i="2"/>
  <c r="CD853" i="2"/>
  <c r="CC853" i="2"/>
  <c r="CB853" i="2"/>
  <c r="CA853" i="2"/>
  <c r="BZ853" i="2"/>
  <c r="BY853" i="2"/>
  <c r="BX853" i="2"/>
  <c r="BW853" i="2"/>
  <c r="M853" i="2"/>
  <c r="G853" i="2"/>
  <c r="F853" i="2"/>
  <c r="E853" i="2"/>
  <c r="D853" i="2"/>
  <c r="C853" i="2"/>
  <c r="B853" i="2"/>
  <c r="A853" i="2"/>
  <c r="CG852" i="2"/>
  <c r="CF852" i="2"/>
  <c r="CE852" i="2"/>
  <c r="CD852" i="2"/>
  <c r="CC852" i="2"/>
  <c r="CB852" i="2"/>
  <c r="CA852" i="2"/>
  <c r="BZ852" i="2"/>
  <c r="BY852" i="2"/>
  <c r="BX852" i="2"/>
  <c r="BW852" i="2"/>
  <c r="H852" i="2"/>
  <c r="G852" i="2"/>
  <c r="F852" i="2"/>
  <c r="E852" i="2"/>
  <c r="D852" i="2"/>
  <c r="C852" i="2"/>
  <c r="B852" i="2"/>
  <c r="A852" i="2"/>
  <c r="CG851" i="2"/>
  <c r="CF851" i="2"/>
  <c r="CE851" i="2"/>
  <c r="CD851" i="2"/>
  <c r="CC851" i="2"/>
  <c r="CB851" i="2"/>
  <c r="CA851" i="2"/>
  <c r="BZ851" i="2"/>
  <c r="BY851" i="2"/>
  <c r="BX851" i="2"/>
  <c r="BW851" i="2"/>
  <c r="S851" i="2"/>
  <c r="G851" i="2"/>
  <c r="F851" i="2"/>
  <c r="E851" i="2"/>
  <c r="D851" i="2"/>
  <c r="C851" i="2"/>
  <c r="B851" i="2"/>
  <c r="A851" i="2"/>
  <c r="CG850" i="2"/>
  <c r="CF850" i="2"/>
  <c r="CE850" i="2"/>
  <c r="CD850" i="2"/>
  <c r="CC850" i="2"/>
  <c r="CB850" i="2"/>
  <c r="CA850" i="2"/>
  <c r="BZ850" i="2"/>
  <c r="BY850" i="2"/>
  <c r="BX850" i="2"/>
  <c r="BW850" i="2"/>
  <c r="G850" i="2"/>
  <c r="F850" i="2"/>
  <c r="E850" i="2"/>
  <c r="D850" i="2"/>
  <c r="C850" i="2"/>
  <c r="B850" i="2"/>
  <c r="A850" i="2"/>
  <c r="CG849" i="2"/>
  <c r="CF849" i="2"/>
  <c r="CE849" i="2"/>
  <c r="CD849" i="2"/>
  <c r="CC849" i="2"/>
  <c r="CB849" i="2"/>
  <c r="CA849" i="2"/>
  <c r="BZ849" i="2"/>
  <c r="BY849" i="2"/>
  <c r="BX849" i="2"/>
  <c r="BW849" i="2"/>
  <c r="G849" i="2"/>
  <c r="F849" i="2"/>
  <c r="E849" i="2"/>
  <c r="C849" i="2"/>
  <c r="B849" i="2"/>
  <c r="A849" i="2"/>
  <c r="CG848" i="2"/>
  <c r="CF848" i="2"/>
  <c r="CE848" i="2"/>
  <c r="CD848" i="2"/>
  <c r="CC848" i="2"/>
  <c r="CB848" i="2"/>
  <c r="CA848" i="2"/>
  <c r="BZ848" i="2"/>
  <c r="BY848" i="2"/>
  <c r="BX848" i="2"/>
  <c r="BW848" i="2"/>
  <c r="BI848" i="2"/>
  <c r="W848" i="2"/>
  <c r="G848" i="2"/>
  <c r="F848" i="2"/>
  <c r="E848" i="2"/>
  <c r="D848" i="2"/>
  <c r="C848" i="2"/>
  <c r="B848" i="2"/>
  <c r="A848" i="2"/>
  <c r="CG847" i="2"/>
  <c r="CF847" i="2"/>
  <c r="CE847" i="2"/>
  <c r="CD847" i="2"/>
  <c r="CC847" i="2"/>
  <c r="CB847" i="2"/>
  <c r="CA847" i="2"/>
  <c r="BZ847" i="2"/>
  <c r="BY847" i="2"/>
  <c r="BX847" i="2"/>
  <c r="BW847" i="2"/>
  <c r="U847" i="2"/>
  <c r="G847" i="2"/>
  <c r="F847" i="2"/>
  <c r="E847" i="2"/>
  <c r="D847" i="2"/>
  <c r="C847" i="2"/>
  <c r="B847" i="2"/>
  <c r="A847" i="2"/>
  <c r="CG846" i="2"/>
  <c r="CF846" i="2"/>
  <c r="CE846" i="2"/>
  <c r="CD846" i="2"/>
  <c r="CC846" i="2"/>
  <c r="CB846" i="2"/>
  <c r="CA846" i="2"/>
  <c r="BZ846" i="2"/>
  <c r="BY846" i="2"/>
  <c r="BX846" i="2"/>
  <c r="BW846" i="2"/>
  <c r="O846" i="2"/>
  <c r="G846" i="2"/>
  <c r="F846" i="2"/>
  <c r="E846" i="2"/>
  <c r="D846" i="2"/>
  <c r="C846" i="2"/>
  <c r="B846" i="2"/>
  <c r="A846" i="2"/>
  <c r="CG845" i="2"/>
  <c r="CF845" i="2"/>
  <c r="CE845" i="2"/>
  <c r="CD845" i="2"/>
  <c r="CC845" i="2"/>
  <c r="CB845" i="2"/>
  <c r="CA845" i="2"/>
  <c r="BZ845" i="2"/>
  <c r="BY845" i="2"/>
  <c r="BX845" i="2"/>
  <c r="BW845" i="2"/>
  <c r="P845" i="2"/>
  <c r="G845" i="2"/>
  <c r="F845" i="2"/>
  <c r="E845" i="2"/>
  <c r="D845" i="2"/>
  <c r="C845" i="2"/>
  <c r="B845" i="2"/>
  <c r="A845" i="2"/>
  <c r="CG844" i="2"/>
  <c r="CF844" i="2"/>
  <c r="CE844" i="2"/>
  <c r="CD844" i="2"/>
  <c r="CC844" i="2"/>
  <c r="CB844" i="2"/>
  <c r="CA844" i="2"/>
  <c r="BZ844" i="2"/>
  <c r="BY844" i="2"/>
  <c r="BX844" i="2"/>
  <c r="BW844" i="2"/>
  <c r="R844" i="2"/>
  <c r="G844" i="2"/>
  <c r="F844" i="2"/>
  <c r="E844" i="2"/>
  <c r="D844" i="2"/>
  <c r="C844" i="2"/>
  <c r="B844" i="2"/>
  <c r="A844" i="2"/>
  <c r="CG843" i="2"/>
  <c r="CF843" i="2"/>
  <c r="CE843" i="2"/>
  <c r="CD843" i="2"/>
  <c r="CC843" i="2"/>
  <c r="CB843" i="2"/>
  <c r="CA843" i="2"/>
  <c r="BZ843" i="2"/>
  <c r="BY843" i="2"/>
  <c r="BX843" i="2"/>
  <c r="BW843" i="2"/>
  <c r="T843" i="2"/>
  <c r="G843" i="2"/>
  <c r="F843" i="2"/>
  <c r="E843" i="2"/>
  <c r="D843" i="2"/>
  <c r="C843" i="2"/>
  <c r="B843" i="2"/>
  <c r="A843" i="2"/>
  <c r="CG842" i="2"/>
  <c r="CF842" i="2"/>
  <c r="CE842" i="2"/>
  <c r="CD842" i="2"/>
  <c r="CC842" i="2"/>
  <c r="CB842" i="2"/>
  <c r="CA842" i="2"/>
  <c r="BZ842" i="2"/>
  <c r="BY842" i="2"/>
  <c r="BX842" i="2"/>
  <c r="BW842" i="2"/>
  <c r="G842" i="2"/>
  <c r="F842" i="2"/>
  <c r="E842" i="2"/>
  <c r="D842" i="2"/>
  <c r="C842" i="2"/>
  <c r="B842" i="2"/>
  <c r="A842" i="2"/>
  <c r="CG841" i="2"/>
  <c r="CF841" i="2"/>
  <c r="CE841" i="2"/>
  <c r="CD841" i="2"/>
  <c r="CC841" i="2"/>
  <c r="CB841" i="2"/>
  <c r="CA841" i="2"/>
  <c r="BZ841" i="2"/>
  <c r="BY841" i="2"/>
  <c r="BX841" i="2"/>
  <c r="BW841" i="2"/>
  <c r="T841" i="2"/>
  <c r="G841" i="2"/>
  <c r="F841" i="2"/>
  <c r="E841" i="2"/>
  <c r="D841" i="2"/>
  <c r="C841" i="2"/>
  <c r="B841" i="2"/>
  <c r="A841" i="2"/>
  <c r="CG840" i="2"/>
  <c r="CF840" i="2"/>
  <c r="CE840" i="2"/>
  <c r="CD840" i="2"/>
  <c r="CC840" i="2"/>
  <c r="CB840" i="2"/>
  <c r="CA840" i="2"/>
  <c r="BZ840" i="2"/>
  <c r="BY840" i="2"/>
  <c r="BX840" i="2"/>
  <c r="BW840" i="2"/>
  <c r="M840" i="2"/>
  <c r="G840" i="2"/>
  <c r="F840" i="2"/>
  <c r="E840" i="2"/>
  <c r="D840" i="2"/>
  <c r="C840" i="2"/>
  <c r="B840" i="2"/>
  <c r="A840" i="2"/>
  <c r="CG839" i="2"/>
  <c r="CF839" i="2"/>
  <c r="CE839" i="2"/>
  <c r="CD839" i="2"/>
  <c r="CC839" i="2"/>
  <c r="CB839" i="2"/>
  <c r="CA839" i="2"/>
  <c r="BZ839" i="2"/>
  <c r="BY839" i="2"/>
  <c r="BX839" i="2"/>
  <c r="BW839" i="2"/>
  <c r="J839" i="2"/>
  <c r="G839" i="2"/>
  <c r="F839" i="2"/>
  <c r="E839" i="2"/>
  <c r="D839" i="2"/>
  <c r="C839" i="2"/>
  <c r="B839" i="2"/>
  <c r="A839" i="2"/>
  <c r="CG838" i="2"/>
  <c r="CF838" i="2"/>
  <c r="CE838" i="2"/>
  <c r="CD838" i="2"/>
  <c r="CC838" i="2"/>
  <c r="CB838" i="2"/>
  <c r="CA838" i="2"/>
  <c r="BZ838" i="2"/>
  <c r="BY838" i="2"/>
  <c r="BX838" i="2"/>
  <c r="BW838" i="2"/>
  <c r="P838" i="2"/>
  <c r="G838" i="2"/>
  <c r="F838" i="2"/>
  <c r="E838" i="2"/>
  <c r="D838" i="2"/>
  <c r="C838" i="2"/>
  <c r="B838" i="2"/>
  <c r="A838" i="2"/>
  <c r="CG837" i="2"/>
  <c r="CF837" i="2"/>
  <c r="CE837" i="2"/>
  <c r="CD837" i="2"/>
  <c r="CC837" i="2"/>
  <c r="CB837" i="2"/>
  <c r="CA837" i="2"/>
  <c r="BZ837" i="2"/>
  <c r="BY837" i="2"/>
  <c r="BX837" i="2"/>
  <c r="BW837" i="2"/>
  <c r="T837" i="2"/>
  <c r="G837" i="2"/>
  <c r="F837" i="2"/>
  <c r="E837" i="2"/>
  <c r="D837" i="2"/>
  <c r="C837" i="2"/>
  <c r="B837" i="2"/>
  <c r="A837" i="2"/>
  <c r="CG836" i="2"/>
  <c r="CF836" i="2"/>
  <c r="CE836" i="2"/>
  <c r="CD836" i="2"/>
  <c r="CC836" i="2"/>
  <c r="CB836" i="2"/>
  <c r="CA836" i="2"/>
  <c r="BZ836" i="2"/>
  <c r="BY836" i="2"/>
  <c r="BX836" i="2"/>
  <c r="BW836" i="2"/>
  <c r="P836" i="2"/>
  <c r="G836" i="2"/>
  <c r="F836" i="2"/>
  <c r="E836" i="2"/>
  <c r="D836" i="2"/>
  <c r="C836" i="2"/>
  <c r="B836" i="2"/>
  <c r="A836" i="2"/>
  <c r="CG835" i="2"/>
  <c r="CF835" i="2"/>
  <c r="CE835" i="2"/>
  <c r="CD835" i="2"/>
  <c r="CC835" i="2"/>
  <c r="CB835" i="2"/>
  <c r="CA835" i="2"/>
  <c r="BZ835" i="2"/>
  <c r="BY835" i="2"/>
  <c r="BX835" i="2"/>
  <c r="BW835" i="2"/>
  <c r="V835" i="2"/>
  <c r="G835" i="2"/>
  <c r="F835" i="2"/>
  <c r="E835" i="2"/>
  <c r="D835" i="2"/>
  <c r="C835" i="2"/>
  <c r="B835" i="2"/>
  <c r="A835" i="2"/>
  <c r="CG834" i="2"/>
  <c r="CF834" i="2"/>
  <c r="CE834" i="2"/>
  <c r="CD834" i="2"/>
  <c r="CC834" i="2"/>
  <c r="CB834" i="2"/>
  <c r="CA834" i="2"/>
  <c r="BZ834" i="2"/>
  <c r="BY834" i="2"/>
  <c r="BX834" i="2"/>
  <c r="BW834" i="2"/>
  <c r="T834" i="2"/>
  <c r="G834" i="2"/>
  <c r="F834" i="2"/>
  <c r="E834" i="2"/>
  <c r="D834" i="2"/>
  <c r="C834" i="2"/>
  <c r="B834" i="2"/>
  <c r="A834" i="2"/>
  <c r="CG833" i="2"/>
  <c r="CF833" i="2"/>
  <c r="CE833" i="2"/>
  <c r="CD833" i="2"/>
  <c r="CC833" i="2"/>
  <c r="CB833" i="2"/>
  <c r="CA833" i="2"/>
  <c r="BZ833" i="2"/>
  <c r="BY833" i="2"/>
  <c r="BX833" i="2"/>
  <c r="BW833" i="2"/>
  <c r="P833" i="2"/>
  <c r="G833" i="2"/>
  <c r="F833" i="2"/>
  <c r="E833" i="2"/>
  <c r="D833" i="2"/>
  <c r="C833" i="2"/>
  <c r="B833" i="2"/>
  <c r="A833" i="2"/>
  <c r="CG832" i="2"/>
  <c r="CF832" i="2"/>
  <c r="CE832" i="2"/>
  <c r="CD832" i="2"/>
  <c r="CC832" i="2"/>
  <c r="CB832" i="2"/>
  <c r="CA832" i="2"/>
  <c r="BZ832" i="2"/>
  <c r="BY832" i="2"/>
  <c r="BX832" i="2"/>
  <c r="BW832" i="2"/>
  <c r="H832" i="2"/>
  <c r="G832" i="2"/>
  <c r="F832" i="2"/>
  <c r="E832" i="2"/>
  <c r="D832" i="2"/>
  <c r="C832" i="2"/>
  <c r="B832" i="2"/>
  <c r="A832" i="2"/>
  <c r="CG831" i="2"/>
  <c r="CF831" i="2"/>
  <c r="CE831" i="2"/>
  <c r="CD831" i="2"/>
  <c r="CC831" i="2"/>
  <c r="CB831" i="2"/>
  <c r="CA831" i="2"/>
  <c r="BZ831" i="2"/>
  <c r="BY831" i="2"/>
  <c r="BX831" i="2"/>
  <c r="BW831" i="2"/>
  <c r="N831" i="2"/>
  <c r="G831" i="2"/>
  <c r="F831" i="2"/>
  <c r="E831" i="2"/>
  <c r="D831" i="2"/>
  <c r="C831" i="2"/>
  <c r="B831" i="2"/>
  <c r="A831" i="2"/>
  <c r="CG830" i="2"/>
  <c r="CF830" i="2"/>
  <c r="CE830" i="2"/>
  <c r="CD830" i="2"/>
  <c r="CC830" i="2"/>
  <c r="CB830" i="2"/>
  <c r="CA830" i="2"/>
  <c r="BZ830" i="2"/>
  <c r="BY830" i="2"/>
  <c r="BX830" i="2"/>
  <c r="BW830" i="2"/>
  <c r="H830" i="2"/>
  <c r="G830" i="2"/>
  <c r="F830" i="2"/>
  <c r="E830" i="2"/>
  <c r="D830" i="2"/>
  <c r="C830" i="2"/>
  <c r="B830" i="2"/>
  <c r="A830" i="2"/>
  <c r="CG829" i="2"/>
  <c r="CF829" i="2"/>
  <c r="CE829" i="2"/>
  <c r="CD829" i="2"/>
  <c r="CC829" i="2"/>
  <c r="CB829" i="2"/>
  <c r="CA829" i="2"/>
  <c r="BZ829" i="2"/>
  <c r="BY829" i="2"/>
  <c r="BX829" i="2"/>
  <c r="BW829" i="2"/>
  <c r="V829" i="2"/>
  <c r="G829" i="2"/>
  <c r="F829" i="2"/>
  <c r="E829" i="2"/>
  <c r="D829" i="2"/>
  <c r="C829" i="2"/>
  <c r="B829" i="2"/>
  <c r="A829" i="2"/>
  <c r="CG828" i="2"/>
  <c r="CF828" i="2"/>
  <c r="CE828" i="2"/>
  <c r="CD828" i="2"/>
  <c r="CC828" i="2"/>
  <c r="CB828" i="2"/>
  <c r="CA828" i="2"/>
  <c r="BZ828" i="2"/>
  <c r="BY828" i="2"/>
  <c r="BX828" i="2"/>
  <c r="BW828" i="2"/>
  <c r="S828" i="2"/>
  <c r="G828" i="2"/>
  <c r="F828" i="2"/>
  <c r="E828" i="2"/>
  <c r="D828" i="2"/>
  <c r="C828" i="2"/>
  <c r="B828" i="2"/>
  <c r="A828" i="2"/>
  <c r="CG827" i="2"/>
  <c r="CF827" i="2"/>
  <c r="CE827" i="2"/>
  <c r="CD827" i="2"/>
  <c r="CC827" i="2"/>
  <c r="CB827" i="2"/>
  <c r="CA827" i="2"/>
  <c r="BZ827" i="2"/>
  <c r="BY827" i="2"/>
  <c r="BX827" i="2"/>
  <c r="BW827" i="2"/>
  <c r="BG827" i="2"/>
  <c r="W827" i="2"/>
  <c r="G827" i="2"/>
  <c r="F827" i="2"/>
  <c r="E827" i="2"/>
  <c r="D827" i="2"/>
  <c r="C827" i="2"/>
  <c r="B827" i="2"/>
  <c r="A827" i="2"/>
  <c r="CG826" i="2"/>
  <c r="CF826" i="2"/>
  <c r="CE826" i="2"/>
  <c r="CD826" i="2"/>
  <c r="CC826" i="2"/>
  <c r="CB826" i="2"/>
  <c r="CA826" i="2"/>
  <c r="BZ826" i="2"/>
  <c r="BY826" i="2"/>
  <c r="BX826" i="2"/>
  <c r="BW826" i="2"/>
  <c r="P826" i="2"/>
  <c r="G826" i="2"/>
  <c r="F826" i="2"/>
  <c r="E826" i="2"/>
  <c r="D826" i="2"/>
  <c r="C826" i="2"/>
  <c r="B826" i="2"/>
  <c r="A826" i="2"/>
  <c r="CG825" i="2"/>
  <c r="CF825" i="2"/>
  <c r="CE825" i="2"/>
  <c r="CD825" i="2"/>
  <c r="CC825" i="2"/>
  <c r="CB825" i="2"/>
  <c r="CA825" i="2"/>
  <c r="BZ825" i="2"/>
  <c r="BY825" i="2"/>
  <c r="BX825" i="2"/>
  <c r="BW825" i="2"/>
  <c r="P825" i="2"/>
  <c r="G825" i="2"/>
  <c r="F825" i="2"/>
  <c r="E825" i="2"/>
  <c r="D825" i="2"/>
  <c r="C825" i="2"/>
  <c r="B825" i="2"/>
  <c r="A825" i="2"/>
  <c r="CG824" i="2"/>
  <c r="CF824" i="2"/>
  <c r="CE824" i="2"/>
  <c r="CD824" i="2"/>
  <c r="CC824" i="2"/>
  <c r="CB824" i="2"/>
  <c r="CA824" i="2"/>
  <c r="BZ824" i="2"/>
  <c r="BY824" i="2"/>
  <c r="BX824" i="2"/>
  <c r="BW824" i="2"/>
  <c r="T824" i="2"/>
  <c r="G824" i="2"/>
  <c r="F824" i="2"/>
  <c r="E824" i="2"/>
  <c r="D824" i="2"/>
  <c r="C824" i="2"/>
  <c r="B824" i="2"/>
  <c r="A824" i="2"/>
  <c r="CG823" i="2"/>
  <c r="CF823" i="2"/>
  <c r="CE823" i="2"/>
  <c r="CD823" i="2"/>
  <c r="CC823" i="2"/>
  <c r="CB823" i="2"/>
  <c r="CA823" i="2"/>
  <c r="BZ823" i="2"/>
  <c r="BY823" i="2"/>
  <c r="BX823" i="2"/>
  <c r="BW823" i="2"/>
  <c r="G823" i="2"/>
  <c r="F823" i="2"/>
  <c r="E823" i="2"/>
  <c r="D823" i="2"/>
  <c r="C823" i="2"/>
  <c r="B823" i="2"/>
  <c r="A823" i="2"/>
  <c r="CG822" i="2"/>
  <c r="CF822" i="2"/>
  <c r="CE822" i="2"/>
  <c r="CD822" i="2"/>
  <c r="CC822" i="2"/>
  <c r="CB822" i="2"/>
  <c r="CA822" i="2"/>
  <c r="BZ822" i="2"/>
  <c r="BY822" i="2"/>
  <c r="BX822" i="2"/>
  <c r="BW822" i="2"/>
  <c r="O822" i="2"/>
  <c r="G822" i="2"/>
  <c r="D822" i="2"/>
  <c r="C822" i="2"/>
  <c r="B822" i="2"/>
  <c r="A822" i="2"/>
  <c r="CG821" i="2"/>
  <c r="CF821" i="2"/>
  <c r="CE821" i="2"/>
  <c r="CD821" i="2"/>
  <c r="CC821" i="2"/>
  <c r="CB821" i="2"/>
  <c r="CA821" i="2"/>
  <c r="BZ821" i="2"/>
  <c r="BY821" i="2"/>
  <c r="BX821" i="2"/>
  <c r="BW821" i="2"/>
  <c r="P821" i="2"/>
  <c r="G821" i="2"/>
  <c r="F821" i="2"/>
  <c r="E821" i="2"/>
  <c r="D821" i="2"/>
  <c r="C821" i="2"/>
  <c r="B821" i="2"/>
  <c r="A821" i="2"/>
  <c r="CG820" i="2"/>
  <c r="CF820" i="2"/>
  <c r="CE820" i="2"/>
  <c r="CD820" i="2"/>
  <c r="CC820" i="2"/>
  <c r="CB820" i="2"/>
  <c r="CA820" i="2"/>
  <c r="BZ820" i="2"/>
  <c r="BY820" i="2"/>
  <c r="BX820" i="2"/>
  <c r="BW820" i="2"/>
  <c r="T820" i="2"/>
  <c r="G820" i="2"/>
  <c r="F820" i="2"/>
  <c r="E820" i="2"/>
  <c r="D820" i="2"/>
  <c r="C820" i="2"/>
  <c r="B820" i="2"/>
  <c r="A820" i="2"/>
  <c r="CG819" i="2"/>
  <c r="CF819" i="2"/>
  <c r="CE819" i="2"/>
  <c r="CD819" i="2"/>
  <c r="CC819" i="2"/>
  <c r="CB819" i="2"/>
  <c r="CA819" i="2"/>
  <c r="BZ819" i="2"/>
  <c r="BY819" i="2"/>
  <c r="BX819" i="2"/>
  <c r="BW819" i="2"/>
  <c r="P819" i="2"/>
  <c r="G819" i="2"/>
  <c r="F819" i="2"/>
  <c r="E819" i="2"/>
  <c r="D819" i="2"/>
  <c r="C819" i="2"/>
  <c r="B819" i="2"/>
  <c r="A819" i="2"/>
  <c r="CG818" i="2"/>
  <c r="CF818" i="2"/>
  <c r="CE818" i="2"/>
  <c r="CD818" i="2"/>
  <c r="CC818" i="2"/>
  <c r="CB818" i="2"/>
  <c r="BZ818" i="2"/>
  <c r="BY818" i="2"/>
  <c r="BX818" i="2"/>
  <c r="BW818" i="2"/>
  <c r="V818" i="2"/>
  <c r="G818" i="2"/>
  <c r="F818" i="2"/>
  <c r="E818" i="2"/>
  <c r="D818" i="2"/>
  <c r="C818" i="2"/>
  <c r="B818" i="2"/>
  <c r="A818" i="2"/>
  <c r="CG817" i="2"/>
  <c r="CF817" i="2"/>
  <c r="CE817" i="2"/>
  <c r="CD817" i="2"/>
  <c r="CC817" i="2"/>
  <c r="CB817" i="2"/>
  <c r="CA817" i="2"/>
  <c r="BZ817" i="2"/>
  <c r="BY817" i="2"/>
  <c r="BX817" i="2"/>
  <c r="BW817" i="2"/>
  <c r="G817" i="2"/>
  <c r="F817" i="2"/>
  <c r="E817" i="2"/>
  <c r="D817" i="2"/>
  <c r="C817" i="2"/>
  <c r="B817" i="2"/>
  <c r="A817" i="2"/>
  <c r="CG816" i="2"/>
  <c r="CF816" i="2"/>
  <c r="CE816" i="2"/>
  <c r="CD816" i="2"/>
  <c r="CC816" i="2"/>
  <c r="CB816" i="2"/>
  <c r="CA816" i="2"/>
  <c r="BZ816" i="2"/>
  <c r="BY816" i="2"/>
  <c r="BX816" i="2"/>
  <c r="BW816" i="2"/>
  <c r="O816" i="2"/>
  <c r="G816" i="2"/>
  <c r="F816" i="2"/>
  <c r="E816" i="2"/>
  <c r="D816" i="2"/>
  <c r="C816" i="2"/>
  <c r="B816" i="2"/>
  <c r="A816" i="2"/>
  <c r="CG815" i="2"/>
  <c r="CF815" i="2"/>
  <c r="CE815" i="2"/>
  <c r="CD815" i="2"/>
  <c r="CC815" i="2"/>
  <c r="CB815" i="2"/>
  <c r="BZ815" i="2"/>
  <c r="BY815" i="2"/>
  <c r="BX815" i="2"/>
  <c r="BW815" i="2"/>
  <c r="L815" i="2"/>
  <c r="G815" i="2"/>
  <c r="F815" i="2"/>
  <c r="D815" i="2"/>
  <c r="C815" i="2"/>
  <c r="B815" i="2"/>
  <c r="A815" i="2"/>
  <c r="CG814" i="2"/>
  <c r="CF814" i="2"/>
  <c r="CE814" i="2"/>
  <c r="CD814" i="2"/>
  <c r="CC814" i="2"/>
  <c r="CB814" i="2"/>
  <c r="CA814" i="2"/>
  <c r="BZ814" i="2"/>
  <c r="BY814" i="2"/>
  <c r="BX814" i="2"/>
  <c r="BW814" i="2"/>
  <c r="H814" i="2"/>
  <c r="G814" i="2"/>
  <c r="F814" i="2"/>
  <c r="E814" i="2"/>
  <c r="D814" i="2"/>
  <c r="C814" i="2"/>
  <c r="B814" i="2"/>
  <c r="A814" i="2"/>
  <c r="CG813" i="2"/>
  <c r="CF813" i="2"/>
  <c r="CE813" i="2"/>
  <c r="CD813" i="2"/>
  <c r="CC813" i="2"/>
  <c r="CB813" i="2"/>
  <c r="BZ813" i="2"/>
  <c r="BY813" i="2"/>
  <c r="BX813" i="2"/>
  <c r="BW813" i="2"/>
  <c r="P813" i="2"/>
  <c r="G813" i="2"/>
  <c r="F813" i="2"/>
  <c r="E813" i="2"/>
  <c r="D813" i="2"/>
  <c r="C813" i="2"/>
  <c r="B813" i="2"/>
  <c r="A813" i="2"/>
  <c r="CG812" i="2"/>
  <c r="CF812" i="2"/>
  <c r="CE812" i="2"/>
  <c r="CD812" i="2"/>
  <c r="CC812" i="2"/>
  <c r="CB812" i="2"/>
  <c r="BZ812" i="2"/>
  <c r="BY812" i="2"/>
  <c r="BX812" i="2"/>
  <c r="BW812" i="2"/>
  <c r="O812" i="2"/>
  <c r="G812" i="2"/>
  <c r="F812" i="2"/>
  <c r="E812" i="2"/>
  <c r="D812" i="2"/>
  <c r="C812" i="2"/>
  <c r="B812" i="2"/>
  <c r="A812" i="2"/>
  <c r="CG811" i="2"/>
  <c r="CF811" i="2"/>
  <c r="CE811" i="2"/>
  <c r="CD811" i="2"/>
  <c r="CC811" i="2"/>
  <c r="CB811" i="2"/>
  <c r="CA811" i="2"/>
  <c r="BZ811" i="2"/>
  <c r="BY811" i="2"/>
  <c r="BX811" i="2"/>
  <c r="BW811" i="2"/>
  <c r="Q811" i="2"/>
  <c r="G811" i="2"/>
  <c r="F811" i="2"/>
  <c r="E811" i="2"/>
  <c r="D811" i="2"/>
  <c r="C811" i="2"/>
  <c r="B811" i="2"/>
  <c r="A811" i="2"/>
  <c r="CG810" i="2"/>
  <c r="CF810" i="2"/>
  <c r="CE810" i="2"/>
  <c r="CD810" i="2"/>
  <c r="CC810" i="2"/>
  <c r="CB810" i="2"/>
  <c r="BZ810" i="2"/>
  <c r="BY810" i="2"/>
  <c r="BX810" i="2"/>
  <c r="BW810" i="2"/>
  <c r="H810" i="2"/>
  <c r="G810" i="2"/>
  <c r="F810" i="2"/>
  <c r="E810" i="2"/>
  <c r="D810" i="2"/>
  <c r="C810" i="2"/>
  <c r="B810" i="2"/>
  <c r="A810" i="2"/>
  <c r="CG809" i="2"/>
  <c r="CF809" i="2"/>
  <c r="CE809" i="2"/>
  <c r="CD809" i="2"/>
  <c r="CC809" i="2"/>
  <c r="CB809" i="2"/>
  <c r="BZ809" i="2"/>
  <c r="BY809" i="2"/>
  <c r="BX809" i="2"/>
  <c r="BW809" i="2"/>
  <c r="T809" i="2"/>
  <c r="G809" i="2"/>
  <c r="F809" i="2"/>
  <c r="E809" i="2"/>
  <c r="D809" i="2"/>
  <c r="C809" i="2"/>
  <c r="B809" i="2"/>
  <c r="A809" i="2"/>
  <c r="CG808" i="2"/>
  <c r="CF808" i="2"/>
  <c r="CE808" i="2"/>
  <c r="CD808" i="2"/>
  <c r="CC808" i="2"/>
  <c r="CB808" i="2"/>
  <c r="CA808" i="2"/>
  <c r="BZ808" i="2"/>
  <c r="BY808" i="2"/>
  <c r="BX808" i="2"/>
  <c r="BW808" i="2"/>
  <c r="P808" i="2"/>
  <c r="G808" i="2"/>
  <c r="F808" i="2"/>
  <c r="E808" i="2"/>
  <c r="D808" i="2"/>
  <c r="C808" i="2"/>
  <c r="B808" i="2"/>
  <c r="A808" i="2"/>
  <c r="CG807" i="2"/>
  <c r="CF807" i="2"/>
  <c r="CE807" i="2"/>
  <c r="CD807" i="2"/>
  <c r="CC807" i="2"/>
  <c r="CB807" i="2"/>
  <c r="BZ807" i="2"/>
  <c r="BY807" i="2"/>
  <c r="BX807" i="2"/>
  <c r="BW807" i="2"/>
  <c r="G807" i="2"/>
  <c r="F807" i="2"/>
  <c r="E807" i="2"/>
  <c r="C807" i="2"/>
  <c r="B807" i="2"/>
  <c r="A807" i="2"/>
  <c r="CG806" i="2"/>
  <c r="CF806" i="2"/>
  <c r="CE806" i="2"/>
  <c r="CD806" i="2"/>
  <c r="CC806" i="2"/>
  <c r="CB806" i="2"/>
  <c r="BZ806" i="2"/>
  <c r="BY806" i="2"/>
  <c r="BX806" i="2"/>
  <c r="BW806" i="2"/>
  <c r="L806" i="2"/>
  <c r="G806" i="2"/>
  <c r="F806" i="2"/>
  <c r="E806" i="2"/>
  <c r="D806" i="2"/>
  <c r="C806" i="2"/>
  <c r="B806" i="2"/>
  <c r="A806" i="2"/>
  <c r="CG805" i="2"/>
  <c r="CF805" i="2"/>
  <c r="CE805" i="2"/>
  <c r="CD805" i="2"/>
  <c r="CC805" i="2"/>
  <c r="CB805" i="2"/>
  <c r="BZ805" i="2"/>
  <c r="BY805" i="2"/>
  <c r="BX805" i="2"/>
  <c r="BW805" i="2"/>
  <c r="V805" i="2"/>
  <c r="G805" i="2"/>
  <c r="F805" i="2"/>
  <c r="E805" i="2"/>
  <c r="D805" i="2"/>
  <c r="C805" i="2"/>
  <c r="B805" i="2"/>
  <c r="A805" i="2"/>
  <c r="CG804" i="2"/>
  <c r="CF804" i="2"/>
  <c r="CE804" i="2"/>
  <c r="CD804" i="2"/>
  <c r="CC804" i="2"/>
  <c r="CB804" i="2"/>
  <c r="BZ804" i="2"/>
  <c r="BY804" i="2"/>
  <c r="BX804" i="2"/>
  <c r="BW804" i="2"/>
  <c r="L804" i="2"/>
  <c r="G804" i="2"/>
  <c r="F804" i="2"/>
  <c r="E804" i="2"/>
  <c r="D804" i="2"/>
  <c r="C804" i="2"/>
  <c r="B804" i="2"/>
  <c r="A804" i="2"/>
  <c r="CG803" i="2"/>
  <c r="CF803" i="2"/>
  <c r="CE803" i="2"/>
  <c r="CD803" i="2"/>
  <c r="CC803" i="2"/>
  <c r="CB803" i="2"/>
  <c r="BZ803" i="2"/>
  <c r="BY803" i="2"/>
  <c r="BX803" i="2"/>
  <c r="BW803" i="2"/>
  <c r="N803" i="2"/>
  <c r="G803" i="2"/>
  <c r="F803" i="2"/>
  <c r="E803" i="2"/>
  <c r="D803" i="2"/>
  <c r="C803" i="2"/>
  <c r="B803" i="2"/>
  <c r="A803" i="2"/>
  <c r="CG802" i="2"/>
  <c r="CF802" i="2"/>
  <c r="CE802" i="2"/>
  <c r="CD802" i="2"/>
  <c r="CC802" i="2"/>
  <c r="CB802" i="2"/>
  <c r="BZ802" i="2"/>
  <c r="BY802" i="2"/>
  <c r="BX802" i="2"/>
  <c r="BW802" i="2"/>
  <c r="H802" i="2"/>
  <c r="G802" i="2"/>
  <c r="F802" i="2"/>
  <c r="E802" i="2"/>
  <c r="D802" i="2"/>
  <c r="C802" i="2"/>
  <c r="B802" i="2"/>
  <c r="A802" i="2"/>
  <c r="CG801" i="2"/>
  <c r="CF801" i="2"/>
  <c r="CE801" i="2"/>
  <c r="CD801" i="2"/>
  <c r="CC801" i="2"/>
  <c r="CB801" i="2"/>
  <c r="BZ801" i="2"/>
  <c r="BY801" i="2"/>
  <c r="BX801" i="2"/>
  <c r="BW801" i="2"/>
  <c r="T801" i="2"/>
  <c r="G801" i="2"/>
  <c r="F801" i="2"/>
  <c r="E801" i="2"/>
  <c r="D801" i="2"/>
  <c r="C801" i="2"/>
  <c r="B801" i="2"/>
  <c r="A801" i="2"/>
  <c r="CG800" i="2"/>
  <c r="CF800" i="2"/>
  <c r="CE800" i="2"/>
  <c r="CD800" i="2"/>
  <c r="CC800" i="2"/>
  <c r="CB800" i="2"/>
  <c r="BZ800" i="2"/>
  <c r="BY800" i="2"/>
  <c r="BX800" i="2"/>
  <c r="BW800" i="2"/>
  <c r="G800" i="2"/>
  <c r="F800" i="2"/>
  <c r="E800" i="2"/>
  <c r="D800" i="2"/>
  <c r="C800" i="2"/>
  <c r="B800" i="2"/>
  <c r="A800" i="2"/>
  <c r="CG799" i="2"/>
  <c r="CF799" i="2"/>
  <c r="CE799" i="2"/>
  <c r="CD799" i="2"/>
  <c r="CC799" i="2"/>
  <c r="CB799" i="2"/>
  <c r="BZ799" i="2"/>
  <c r="BY799" i="2"/>
  <c r="BX799" i="2"/>
  <c r="BW799" i="2"/>
  <c r="H799" i="2"/>
  <c r="G799" i="2"/>
  <c r="F799" i="2"/>
  <c r="E799" i="2"/>
  <c r="D799" i="2"/>
  <c r="C799" i="2"/>
  <c r="B799" i="2"/>
  <c r="A799" i="2"/>
  <c r="CG798" i="2"/>
  <c r="CF798" i="2"/>
  <c r="CE798" i="2"/>
  <c r="CD798" i="2"/>
  <c r="CC798" i="2"/>
  <c r="CB798" i="2"/>
  <c r="BZ798" i="2"/>
  <c r="BY798" i="2"/>
  <c r="BX798" i="2"/>
  <c r="BW798" i="2"/>
  <c r="H798" i="2"/>
  <c r="G798" i="2"/>
  <c r="F798" i="2"/>
  <c r="C798" i="2"/>
  <c r="B798" i="2"/>
  <c r="A798" i="2"/>
  <c r="CG797" i="2"/>
  <c r="CF797" i="2"/>
  <c r="CE797" i="2"/>
  <c r="CD797" i="2"/>
  <c r="CC797" i="2"/>
  <c r="CB797" i="2"/>
  <c r="BZ797" i="2"/>
  <c r="BY797" i="2"/>
  <c r="BX797" i="2"/>
  <c r="BW797" i="2"/>
  <c r="M797" i="2"/>
  <c r="G797" i="2"/>
  <c r="F797" i="2"/>
  <c r="E797" i="2"/>
  <c r="D797" i="2"/>
  <c r="C797" i="2"/>
  <c r="B797" i="2"/>
  <c r="A797" i="2"/>
  <c r="CG796" i="2"/>
  <c r="CF796" i="2"/>
  <c r="CE796" i="2"/>
  <c r="CD796" i="2"/>
  <c r="CC796" i="2"/>
  <c r="CB796" i="2"/>
  <c r="BZ796" i="2"/>
  <c r="BY796" i="2"/>
  <c r="BX796" i="2"/>
  <c r="BW796" i="2"/>
  <c r="L796" i="2"/>
  <c r="G796" i="2"/>
  <c r="F796" i="2"/>
  <c r="E796" i="2"/>
  <c r="D796" i="2"/>
  <c r="C796" i="2"/>
  <c r="B796" i="2"/>
  <c r="A796" i="2"/>
  <c r="CG795" i="2"/>
  <c r="CF795" i="2"/>
  <c r="CE795" i="2"/>
  <c r="CD795" i="2"/>
  <c r="CC795" i="2"/>
  <c r="CB795" i="2"/>
  <c r="BZ795" i="2"/>
  <c r="BY795" i="2"/>
  <c r="BX795" i="2"/>
  <c r="BW795" i="2"/>
  <c r="V795" i="2"/>
  <c r="G795" i="2"/>
  <c r="F795" i="2"/>
  <c r="E795" i="2"/>
  <c r="D795" i="2"/>
  <c r="C795" i="2"/>
  <c r="B795" i="2"/>
  <c r="A795" i="2"/>
  <c r="CG794" i="2"/>
  <c r="CF794" i="2"/>
  <c r="CE794" i="2"/>
  <c r="CD794" i="2"/>
  <c r="CC794" i="2"/>
  <c r="CB794" i="2"/>
  <c r="BZ794" i="2"/>
  <c r="BY794" i="2"/>
  <c r="BX794" i="2"/>
  <c r="BW794" i="2"/>
  <c r="U794" i="2"/>
  <c r="G794" i="2"/>
  <c r="F794" i="2"/>
  <c r="E794" i="2"/>
  <c r="D794" i="2"/>
  <c r="C794" i="2"/>
  <c r="B794" i="2"/>
  <c r="A794" i="2"/>
  <c r="CG793" i="2"/>
  <c r="CF793" i="2"/>
  <c r="CE793" i="2"/>
  <c r="CD793" i="2"/>
  <c r="CC793" i="2"/>
  <c r="CB793" i="2"/>
  <c r="BZ793" i="2"/>
  <c r="BY793" i="2"/>
  <c r="BX793" i="2"/>
  <c r="BW793" i="2"/>
  <c r="H793" i="2"/>
  <c r="G793" i="2"/>
  <c r="E793" i="2"/>
  <c r="D793" i="2"/>
  <c r="C793" i="2"/>
  <c r="B793" i="2"/>
  <c r="A793" i="2"/>
  <c r="CG792" i="2"/>
  <c r="CF792" i="2"/>
  <c r="CE792" i="2"/>
  <c r="CD792" i="2"/>
  <c r="CC792" i="2"/>
  <c r="CB792" i="2"/>
  <c r="BZ792" i="2"/>
  <c r="BY792" i="2"/>
  <c r="BX792" i="2"/>
  <c r="BW792" i="2"/>
  <c r="P792" i="2"/>
  <c r="G792" i="2"/>
  <c r="F792" i="2"/>
  <c r="E792" i="2"/>
  <c r="D792" i="2"/>
  <c r="C792" i="2"/>
  <c r="B792" i="2"/>
  <c r="A792" i="2"/>
  <c r="CG791" i="2"/>
  <c r="CF791" i="2"/>
  <c r="CE791" i="2"/>
  <c r="CD791" i="2"/>
  <c r="CC791" i="2"/>
  <c r="CB791" i="2"/>
  <c r="BZ791" i="2"/>
  <c r="BY791" i="2"/>
  <c r="BX791" i="2"/>
  <c r="BW791" i="2"/>
  <c r="L791" i="2"/>
  <c r="G791" i="2"/>
  <c r="F791" i="2"/>
  <c r="E791" i="2"/>
  <c r="D791" i="2"/>
  <c r="C791" i="2"/>
  <c r="B791" i="2"/>
  <c r="A791" i="2"/>
  <c r="CG790" i="2"/>
  <c r="CF790" i="2"/>
  <c r="CE790" i="2"/>
  <c r="CD790" i="2"/>
  <c r="CC790" i="2"/>
  <c r="CB790" i="2"/>
  <c r="BZ790" i="2"/>
  <c r="BY790" i="2"/>
  <c r="BX790" i="2"/>
  <c r="BW790" i="2"/>
  <c r="T790" i="2"/>
  <c r="G790" i="2"/>
  <c r="F790" i="2"/>
  <c r="E790" i="2"/>
  <c r="D790" i="2"/>
  <c r="C790" i="2"/>
  <c r="B790" i="2"/>
  <c r="A790" i="2"/>
  <c r="CG789" i="2"/>
  <c r="CF789" i="2"/>
  <c r="CE789" i="2"/>
  <c r="CD789" i="2"/>
  <c r="CC789" i="2"/>
  <c r="CB789" i="2"/>
  <c r="BZ789" i="2"/>
  <c r="BY789" i="2"/>
  <c r="BX789" i="2"/>
  <c r="BW789" i="2"/>
  <c r="G789" i="2"/>
  <c r="F789" i="2"/>
  <c r="E789" i="2"/>
  <c r="D789" i="2"/>
  <c r="C789" i="2"/>
  <c r="B789" i="2"/>
  <c r="A789" i="2"/>
  <c r="CG788" i="2"/>
  <c r="CF788" i="2"/>
  <c r="CE788" i="2"/>
  <c r="CD788" i="2"/>
  <c r="CC788" i="2"/>
  <c r="CB788" i="2"/>
  <c r="BZ788" i="2"/>
  <c r="BY788" i="2"/>
  <c r="BX788" i="2"/>
  <c r="BW788" i="2"/>
  <c r="O788" i="2"/>
  <c r="G788" i="2"/>
  <c r="F788" i="2"/>
  <c r="E788" i="2"/>
  <c r="D788" i="2"/>
  <c r="C788" i="2"/>
  <c r="B788" i="2"/>
  <c r="A788" i="2"/>
  <c r="CG787" i="2"/>
  <c r="CF787" i="2"/>
  <c r="CE787" i="2"/>
  <c r="CD787" i="2"/>
  <c r="CC787" i="2"/>
  <c r="CB787" i="2"/>
  <c r="BZ787" i="2"/>
  <c r="BY787" i="2"/>
  <c r="BX787" i="2"/>
  <c r="BW787" i="2"/>
  <c r="L787" i="2"/>
  <c r="G787" i="2"/>
  <c r="F787" i="2"/>
  <c r="E787" i="2"/>
  <c r="D787" i="2"/>
  <c r="C787" i="2"/>
  <c r="B787" i="2"/>
  <c r="A787" i="2"/>
  <c r="CG786" i="2"/>
  <c r="CF786" i="2"/>
  <c r="CE786" i="2"/>
  <c r="CD786" i="2"/>
  <c r="CC786" i="2"/>
  <c r="CB786" i="2"/>
  <c r="BZ786" i="2"/>
  <c r="BY786" i="2"/>
  <c r="BX786" i="2"/>
  <c r="BW786" i="2"/>
  <c r="U786" i="2"/>
  <c r="G786" i="2"/>
  <c r="F786" i="2"/>
  <c r="E786" i="2"/>
  <c r="D786" i="2"/>
  <c r="C786" i="2"/>
  <c r="B786" i="2"/>
  <c r="A786" i="2"/>
  <c r="CG785" i="2"/>
  <c r="CF785" i="2"/>
  <c r="CE785" i="2"/>
  <c r="CD785" i="2"/>
  <c r="CC785" i="2"/>
  <c r="CB785" i="2"/>
  <c r="BZ785" i="2"/>
  <c r="BY785" i="2"/>
  <c r="BX785" i="2"/>
  <c r="BW785" i="2"/>
  <c r="P785" i="2"/>
  <c r="G785" i="2"/>
  <c r="F785" i="2"/>
  <c r="E785" i="2"/>
  <c r="D785" i="2"/>
  <c r="C785" i="2"/>
  <c r="B785" i="2"/>
  <c r="A785" i="2"/>
  <c r="CG784" i="2"/>
  <c r="CF784" i="2"/>
  <c r="CE784" i="2"/>
  <c r="CD784" i="2"/>
  <c r="CC784" i="2"/>
  <c r="CB784" i="2"/>
  <c r="BZ784" i="2"/>
  <c r="BY784" i="2"/>
  <c r="BX784" i="2"/>
  <c r="BW784" i="2"/>
  <c r="Q784" i="2"/>
  <c r="G784" i="2"/>
  <c r="F784" i="2"/>
  <c r="E784" i="2"/>
  <c r="D784" i="2"/>
  <c r="C784" i="2"/>
  <c r="B784" i="2"/>
  <c r="A784" i="2"/>
  <c r="CG783" i="2"/>
  <c r="CF783" i="2"/>
  <c r="CE783" i="2"/>
  <c r="CD783" i="2"/>
  <c r="CC783" i="2"/>
  <c r="CB783" i="2"/>
  <c r="BZ783" i="2"/>
  <c r="BY783" i="2"/>
  <c r="BX783" i="2"/>
  <c r="BW783" i="2"/>
  <c r="H783" i="2"/>
  <c r="G783" i="2"/>
  <c r="F783" i="2"/>
  <c r="E783" i="2"/>
  <c r="D783" i="2"/>
  <c r="C783" i="2"/>
  <c r="B783" i="2"/>
  <c r="A783" i="2"/>
  <c r="CG782" i="2"/>
  <c r="CF782" i="2"/>
  <c r="CE782" i="2"/>
  <c r="CD782" i="2"/>
  <c r="CC782" i="2"/>
  <c r="CB782" i="2"/>
  <c r="BZ782" i="2"/>
  <c r="BY782" i="2"/>
  <c r="BX782" i="2"/>
  <c r="BW782" i="2"/>
  <c r="Q782" i="2"/>
  <c r="G782" i="2"/>
  <c r="F782" i="2"/>
  <c r="E782" i="2"/>
  <c r="D782" i="2"/>
  <c r="C782" i="2"/>
  <c r="B782" i="2"/>
  <c r="A782" i="2"/>
  <c r="CG781" i="2"/>
  <c r="CF781" i="2"/>
  <c r="CE781" i="2"/>
  <c r="CD781" i="2"/>
  <c r="CC781" i="2"/>
  <c r="CB781" i="2"/>
  <c r="BZ781" i="2"/>
  <c r="BY781" i="2"/>
  <c r="BX781" i="2"/>
  <c r="BW781" i="2"/>
  <c r="Q781" i="2"/>
  <c r="G781" i="2"/>
  <c r="F781" i="2"/>
  <c r="E781" i="2"/>
  <c r="D781" i="2"/>
  <c r="C781" i="2"/>
  <c r="B781" i="2"/>
  <c r="A781" i="2"/>
  <c r="CG780" i="2"/>
  <c r="CF780" i="2"/>
  <c r="CE780" i="2"/>
  <c r="CD780" i="2"/>
  <c r="CC780" i="2"/>
  <c r="CB780" i="2"/>
  <c r="BZ780" i="2"/>
  <c r="BY780" i="2"/>
  <c r="BX780" i="2"/>
  <c r="BW780" i="2"/>
  <c r="H780" i="2"/>
  <c r="G780" i="2"/>
  <c r="F780" i="2"/>
  <c r="E780" i="2"/>
  <c r="D780" i="2"/>
  <c r="C780" i="2"/>
  <c r="B780" i="2"/>
  <c r="A780" i="2"/>
  <c r="CG779" i="2"/>
  <c r="CF779" i="2"/>
  <c r="CE779" i="2"/>
  <c r="CD779" i="2"/>
  <c r="CC779" i="2"/>
  <c r="CB779" i="2"/>
  <c r="BZ779" i="2"/>
  <c r="BY779" i="2"/>
  <c r="BX779" i="2"/>
  <c r="BW779" i="2"/>
  <c r="L779" i="2"/>
  <c r="G779" i="2"/>
  <c r="F779" i="2"/>
  <c r="E779" i="2"/>
  <c r="D779" i="2"/>
  <c r="C779" i="2"/>
  <c r="B779" i="2"/>
  <c r="A779" i="2"/>
  <c r="CG778" i="2"/>
  <c r="CF778" i="2"/>
  <c r="CE778" i="2"/>
  <c r="CD778" i="2"/>
  <c r="CC778" i="2"/>
  <c r="CB778" i="2"/>
  <c r="BZ778" i="2"/>
  <c r="BY778" i="2"/>
  <c r="BX778" i="2"/>
  <c r="BW778" i="2"/>
  <c r="F778" i="2"/>
  <c r="E778" i="2"/>
  <c r="D778" i="2"/>
  <c r="C778" i="2"/>
  <c r="B778" i="2"/>
  <c r="A778" i="2"/>
  <c r="CG777" i="2"/>
  <c r="CF777" i="2"/>
  <c r="CE777" i="2"/>
  <c r="CD777" i="2"/>
  <c r="CC777" i="2"/>
  <c r="CB777" i="2"/>
  <c r="BZ777" i="2"/>
  <c r="BY777" i="2"/>
  <c r="BX777" i="2"/>
  <c r="BW777" i="2"/>
  <c r="O777" i="2"/>
  <c r="G777" i="2"/>
  <c r="F777" i="2"/>
  <c r="E777" i="2"/>
  <c r="D777" i="2"/>
  <c r="C777" i="2"/>
  <c r="B777" i="2"/>
  <c r="A777" i="2"/>
  <c r="CG776" i="2"/>
  <c r="CF776" i="2"/>
  <c r="CE776" i="2"/>
  <c r="CD776" i="2"/>
  <c r="CC776" i="2"/>
  <c r="CB776" i="2"/>
  <c r="BZ776" i="2"/>
  <c r="BY776" i="2"/>
  <c r="BX776" i="2"/>
  <c r="BW776" i="2"/>
  <c r="H776" i="2"/>
  <c r="G776" i="2"/>
  <c r="F776" i="2"/>
  <c r="E776" i="2"/>
  <c r="D776" i="2"/>
  <c r="C776" i="2"/>
  <c r="B776" i="2"/>
  <c r="A776" i="2"/>
  <c r="CG775" i="2"/>
  <c r="CF775" i="2"/>
  <c r="CE775" i="2"/>
  <c r="CD775" i="2"/>
  <c r="CC775" i="2"/>
  <c r="CB775" i="2"/>
  <c r="BZ775" i="2"/>
  <c r="BY775" i="2"/>
  <c r="BX775" i="2"/>
  <c r="BW775" i="2"/>
  <c r="V775" i="2"/>
  <c r="G775" i="2"/>
  <c r="F775" i="2"/>
  <c r="E775" i="2"/>
  <c r="D775" i="2"/>
  <c r="C775" i="2"/>
  <c r="B775" i="2"/>
  <c r="A775" i="2"/>
  <c r="CG774" i="2"/>
  <c r="CF774" i="2"/>
  <c r="CE774" i="2"/>
  <c r="CD774" i="2"/>
  <c r="CC774" i="2"/>
  <c r="CB774" i="2"/>
  <c r="BZ774" i="2"/>
  <c r="BY774" i="2"/>
  <c r="BX774" i="2"/>
  <c r="BW774" i="2"/>
  <c r="M774" i="2"/>
  <c r="G774" i="2"/>
  <c r="F774" i="2"/>
  <c r="E774" i="2"/>
  <c r="D774" i="2"/>
  <c r="C774" i="2"/>
  <c r="B774" i="2"/>
  <c r="A774" i="2"/>
  <c r="CG773" i="2"/>
  <c r="CF773" i="2"/>
  <c r="CE773" i="2"/>
  <c r="CD773" i="2"/>
  <c r="CC773" i="2"/>
  <c r="CB773" i="2"/>
  <c r="BZ773" i="2"/>
  <c r="BY773" i="2"/>
  <c r="BX773" i="2"/>
  <c r="BW773" i="2"/>
  <c r="U773" i="2"/>
  <c r="G773" i="2"/>
  <c r="F773" i="2"/>
  <c r="E773" i="2"/>
  <c r="D773" i="2"/>
  <c r="C773" i="2"/>
  <c r="B773" i="2"/>
  <c r="A773" i="2"/>
  <c r="CG772" i="2"/>
  <c r="CF772" i="2"/>
  <c r="CE772" i="2"/>
  <c r="CD772" i="2"/>
  <c r="CC772" i="2"/>
  <c r="CB772" i="2"/>
  <c r="BZ772" i="2"/>
  <c r="BY772" i="2"/>
  <c r="BX772" i="2"/>
  <c r="BW772" i="2"/>
  <c r="P772" i="2"/>
  <c r="G772" i="2"/>
  <c r="F772" i="2"/>
  <c r="E772" i="2"/>
  <c r="D772" i="2"/>
  <c r="C772" i="2"/>
  <c r="B772" i="2"/>
  <c r="A772" i="2"/>
  <c r="CG771" i="2"/>
  <c r="CF771" i="2"/>
  <c r="CE771" i="2"/>
  <c r="CD771" i="2"/>
  <c r="CC771" i="2"/>
  <c r="CB771" i="2"/>
  <c r="BZ771" i="2"/>
  <c r="BY771" i="2"/>
  <c r="BX771" i="2"/>
  <c r="BW771" i="2"/>
  <c r="T771" i="2"/>
  <c r="G771" i="2"/>
  <c r="F771" i="2"/>
  <c r="E771" i="2"/>
  <c r="D771" i="2"/>
  <c r="C771" i="2"/>
  <c r="B771" i="2"/>
  <c r="A771" i="2"/>
  <c r="CG770" i="2"/>
  <c r="CF770" i="2"/>
  <c r="CE770" i="2"/>
  <c r="CD770" i="2"/>
  <c r="CC770" i="2"/>
  <c r="CB770" i="2"/>
  <c r="BZ770" i="2"/>
  <c r="BY770" i="2"/>
  <c r="BX770" i="2"/>
  <c r="BW770" i="2"/>
  <c r="S770" i="2"/>
  <c r="G770" i="2"/>
  <c r="F770" i="2"/>
  <c r="E770" i="2"/>
  <c r="D770" i="2"/>
  <c r="C770" i="2"/>
  <c r="B770" i="2"/>
  <c r="A770" i="2"/>
  <c r="CG769" i="2"/>
  <c r="CF769" i="2"/>
  <c r="CE769" i="2"/>
  <c r="CD769" i="2"/>
  <c r="CC769" i="2"/>
  <c r="CB769" i="2"/>
  <c r="BZ769" i="2"/>
  <c r="BY769" i="2"/>
  <c r="BX769" i="2"/>
  <c r="BW769" i="2"/>
  <c r="G769" i="2"/>
  <c r="F769" i="2"/>
  <c r="E769" i="2"/>
  <c r="D769" i="2"/>
  <c r="C769" i="2"/>
  <c r="B769" i="2"/>
  <c r="A769" i="2"/>
  <c r="CG768" i="2"/>
  <c r="CF768" i="2"/>
  <c r="CE768" i="2"/>
  <c r="CD768" i="2"/>
  <c r="CC768" i="2"/>
  <c r="CB768" i="2"/>
  <c r="BZ768" i="2"/>
  <c r="BY768" i="2"/>
  <c r="BX768" i="2"/>
  <c r="BW768" i="2"/>
  <c r="BG768" i="2"/>
  <c r="W768" i="2"/>
  <c r="G768" i="2"/>
  <c r="F768" i="2"/>
  <c r="E768" i="2"/>
  <c r="D768" i="2"/>
  <c r="C768" i="2"/>
  <c r="B768" i="2"/>
  <c r="A768" i="2"/>
  <c r="CG767" i="2"/>
  <c r="CF767" i="2"/>
  <c r="CE767" i="2"/>
  <c r="CD767" i="2"/>
  <c r="CC767" i="2"/>
  <c r="CB767" i="2"/>
  <c r="BZ767" i="2"/>
  <c r="BY767" i="2"/>
  <c r="BX767" i="2"/>
  <c r="BW767" i="2"/>
  <c r="O767" i="2"/>
  <c r="G767" i="2"/>
  <c r="F767" i="2"/>
  <c r="E767" i="2"/>
  <c r="D767" i="2"/>
  <c r="C767" i="2"/>
  <c r="B767" i="2"/>
  <c r="A767" i="2"/>
  <c r="CG766" i="2"/>
  <c r="CF766" i="2"/>
  <c r="CE766" i="2"/>
  <c r="CD766" i="2"/>
  <c r="CC766" i="2"/>
  <c r="CB766" i="2"/>
  <c r="BZ766" i="2"/>
  <c r="BY766" i="2"/>
  <c r="BX766" i="2"/>
  <c r="BW766" i="2"/>
  <c r="G766" i="2"/>
  <c r="F766" i="2"/>
  <c r="E766" i="2"/>
  <c r="D766" i="2"/>
  <c r="C766" i="2"/>
  <c r="B766" i="2"/>
  <c r="A766" i="2"/>
  <c r="CG765" i="2"/>
  <c r="CF765" i="2"/>
  <c r="CE765" i="2"/>
  <c r="CD765" i="2"/>
  <c r="CC765" i="2"/>
  <c r="CB765" i="2"/>
  <c r="BZ765" i="2"/>
  <c r="BY765" i="2"/>
  <c r="BX765" i="2"/>
  <c r="BW765" i="2"/>
  <c r="U765" i="2"/>
  <c r="G765" i="2"/>
  <c r="F765" i="2"/>
  <c r="E765" i="2"/>
  <c r="D765" i="2"/>
  <c r="C765" i="2"/>
  <c r="B765" i="2"/>
  <c r="A765" i="2"/>
  <c r="CG764" i="2"/>
  <c r="CF764" i="2"/>
  <c r="CE764" i="2"/>
  <c r="CD764" i="2"/>
  <c r="CC764" i="2"/>
  <c r="CB764" i="2"/>
  <c r="BZ764" i="2"/>
  <c r="BY764" i="2"/>
  <c r="BX764" i="2"/>
  <c r="BW764" i="2"/>
  <c r="O764" i="2"/>
  <c r="G764" i="2"/>
  <c r="F764" i="2"/>
  <c r="E764" i="2"/>
  <c r="D764" i="2"/>
  <c r="C764" i="2"/>
  <c r="B764" i="2"/>
  <c r="A764" i="2"/>
  <c r="CG763" i="2"/>
  <c r="CF763" i="2"/>
  <c r="CE763" i="2"/>
  <c r="CD763" i="2"/>
  <c r="CC763" i="2"/>
  <c r="CB763" i="2"/>
  <c r="BZ763" i="2"/>
  <c r="BY763" i="2"/>
  <c r="BX763" i="2"/>
  <c r="BW763" i="2"/>
  <c r="H763" i="2"/>
  <c r="G763" i="2"/>
  <c r="F763" i="2"/>
  <c r="E763" i="2"/>
  <c r="D763" i="2"/>
  <c r="C763" i="2"/>
  <c r="B763" i="2"/>
  <c r="A763" i="2"/>
  <c r="CG762" i="2"/>
  <c r="CF762" i="2"/>
  <c r="CE762" i="2"/>
  <c r="CD762" i="2"/>
  <c r="CC762" i="2"/>
  <c r="CB762" i="2"/>
  <c r="BZ762" i="2"/>
  <c r="BY762" i="2"/>
  <c r="BX762" i="2"/>
  <c r="BW762" i="2"/>
  <c r="G762" i="2"/>
  <c r="F762" i="2"/>
  <c r="E762" i="2"/>
  <c r="D762" i="2"/>
  <c r="C762" i="2"/>
  <c r="B762" i="2"/>
  <c r="A762" i="2"/>
  <c r="CG761" i="2"/>
  <c r="CF761" i="2"/>
  <c r="CE761" i="2"/>
  <c r="CD761" i="2"/>
  <c r="CC761" i="2"/>
  <c r="CB761" i="2"/>
  <c r="BZ761" i="2"/>
  <c r="BY761" i="2"/>
  <c r="BX761" i="2"/>
  <c r="BW761" i="2"/>
  <c r="O761" i="2"/>
  <c r="G761" i="2"/>
  <c r="F761" i="2"/>
  <c r="E761" i="2"/>
  <c r="D761" i="2"/>
  <c r="C761" i="2"/>
  <c r="B761" i="2"/>
  <c r="A761" i="2"/>
  <c r="CG760" i="2"/>
  <c r="CF760" i="2"/>
  <c r="CE760" i="2"/>
  <c r="CD760" i="2"/>
  <c r="CC760" i="2"/>
  <c r="CB760" i="2"/>
  <c r="BZ760" i="2"/>
  <c r="BY760" i="2"/>
  <c r="BX760" i="2"/>
  <c r="BW760" i="2"/>
  <c r="G760" i="2"/>
  <c r="F760" i="2"/>
  <c r="E760" i="2"/>
  <c r="D760" i="2"/>
  <c r="C760" i="2"/>
  <c r="B760" i="2"/>
  <c r="A760" i="2"/>
  <c r="CG759" i="2"/>
  <c r="CF759" i="2"/>
  <c r="CE759" i="2"/>
  <c r="CD759" i="2"/>
  <c r="CC759" i="2"/>
  <c r="CB759" i="2"/>
  <c r="BZ759" i="2"/>
  <c r="BY759" i="2"/>
  <c r="BX759" i="2"/>
  <c r="BW759" i="2"/>
  <c r="M759" i="2"/>
  <c r="G759" i="2"/>
  <c r="F759" i="2"/>
  <c r="E759" i="2"/>
  <c r="D759" i="2"/>
  <c r="C759" i="2"/>
  <c r="B759" i="2"/>
  <c r="A759" i="2"/>
  <c r="CG758" i="2"/>
  <c r="CF758" i="2"/>
  <c r="CE758" i="2"/>
  <c r="CD758" i="2"/>
  <c r="CC758" i="2"/>
  <c r="CB758" i="2"/>
  <c r="BZ758" i="2"/>
  <c r="BY758" i="2"/>
  <c r="BX758" i="2"/>
  <c r="BW758" i="2"/>
  <c r="L758" i="2"/>
  <c r="G758" i="2"/>
  <c r="F758" i="2"/>
  <c r="E758" i="2"/>
  <c r="D758" i="2"/>
  <c r="C758" i="2"/>
  <c r="B758" i="2"/>
  <c r="A758" i="2"/>
  <c r="CG757" i="2"/>
  <c r="CF757" i="2"/>
  <c r="CE757" i="2"/>
  <c r="CD757" i="2"/>
  <c r="CC757" i="2"/>
  <c r="CB757" i="2"/>
  <c r="BZ757" i="2"/>
  <c r="BY757" i="2"/>
  <c r="BX757" i="2"/>
  <c r="BW757" i="2"/>
  <c r="V757" i="2"/>
  <c r="G757" i="2"/>
  <c r="F757" i="2"/>
  <c r="E757" i="2"/>
  <c r="D757" i="2"/>
  <c r="C757" i="2"/>
  <c r="B757" i="2"/>
  <c r="A757" i="2"/>
  <c r="CG756" i="2"/>
  <c r="CF756" i="2"/>
  <c r="CE756" i="2"/>
  <c r="CD756" i="2"/>
  <c r="CC756" i="2"/>
  <c r="CB756" i="2"/>
  <c r="BZ756" i="2"/>
  <c r="BY756" i="2"/>
  <c r="BX756" i="2"/>
  <c r="BW756" i="2"/>
  <c r="H756" i="2"/>
  <c r="G756" i="2"/>
  <c r="F756" i="2"/>
  <c r="E756" i="2"/>
  <c r="D756" i="2"/>
  <c r="C756" i="2"/>
  <c r="B756" i="2"/>
  <c r="A756" i="2"/>
  <c r="CG755" i="2"/>
  <c r="CF755" i="2"/>
  <c r="CE755" i="2"/>
  <c r="CD755" i="2"/>
  <c r="CC755" i="2"/>
  <c r="CB755" i="2"/>
  <c r="BZ755" i="2"/>
  <c r="BY755" i="2"/>
  <c r="BX755" i="2"/>
  <c r="BW755" i="2"/>
  <c r="O755" i="2"/>
  <c r="G755" i="2"/>
  <c r="F755" i="2"/>
  <c r="E755" i="2"/>
  <c r="D755" i="2"/>
  <c r="C755" i="2"/>
  <c r="B755" i="2"/>
  <c r="A755" i="2"/>
  <c r="CG754" i="2"/>
  <c r="CF754" i="2"/>
  <c r="CE754" i="2"/>
  <c r="CD754" i="2"/>
  <c r="CC754" i="2"/>
  <c r="CB754" i="2"/>
  <c r="BZ754" i="2"/>
  <c r="BY754" i="2"/>
  <c r="BX754" i="2"/>
  <c r="BW754" i="2"/>
  <c r="G754" i="2"/>
  <c r="F754" i="2"/>
  <c r="E754" i="2"/>
  <c r="D754" i="2"/>
  <c r="C754" i="2"/>
  <c r="B754" i="2"/>
  <c r="A754" i="2"/>
  <c r="CG753" i="2"/>
  <c r="CF753" i="2"/>
  <c r="CE753" i="2"/>
  <c r="CD753" i="2"/>
  <c r="CC753" i="2"/>
  <c r="CB753" i="2"/>
  <c r="BZ753" i="2"/>
  <c r="BY753" i="2"/>
  <c r="BX753" i="2"/>
  <c r="BW753" i="2"/>
  <c r="P753" i="2"/>
  <c r="G753" i="2"/>
  <c r="F753" i="2"/>
  <c r="E753" i="2"/>
  <c r="D753" i="2"/>
  <c r="C753" i="2"/>
  <c r="B753" i="2"/>
  <c r="A753" i="2"/>
  <c r="CG752" i="2"/>
  <c r="CF752" i="2"/>
  <c r="CE752" i="2"/>
  <c r="CD752" i="2"/>
  <c r="CC752" i="2"/>
  <c r="CB752" i="2"/>
  <c r="BZ752" i="2"/>
  <c r="BY752" i="2"/>
  <c r="BX752" i="2"/>
  <c r="BW752" i="2"/>
  <c r="O752" i="2"/>
  <c r="G752" i="2"/>
  <c r="F752" i="2"/>
  <c r="E752" i="2"/>
  <c r="D752" i="2"/>
  <c r="C752" i="2"/>
  <c r="B752" i="2"/>
  <c r="A752" i="2"/>
  <c r="CG751" i="2"/>
  <c r="CF751" i="2"/>
  <c r="CE751" i="2"/>
  <c r="CD751" i="2"/>
  <c r="CC751" i="2"/>
  <c r="CB751" i="2"/>
  <c r="BZ751" i="2"/>
  <c r="BY751" i="2"/>
  <c r="BX751" i="2"/>
  <c r="BW751" i="2"/>
  <c r="G751" i="2"/>
  <c r="F751" i="2"/>
  <c r="E751" i="2"/>
  <c r="D751" i="2"/>
  <c r="C751" i="2"/>
  <c r="B751" i="2"/>
  <c r="A751" i="2"/>
  <c r="CG750" i="2"/>
  <c r="CF750" i="2"/>
  <c r="CE750" i="2"/>
  <c r="CD750" i="2"/>
  <c r="CC750" i="2"/>
  <c r="CB750" i="2"/>
  <c r="BZ750" i="2"/>
  <c r="BY750" i="2"/>
  <c r="BX750" i="2"/>
  <c r="BW750" i="2"/>
  <c r="H750" i="2"/>
  <c r="G750" i="2"/>
  <c r="F750" i="2"/>
  <c r="E750" i="2"/>
  <c r="D750" i="2"/>
  <c r="C750" i="2"/>
  <c r="B750" i="2"/>
  <c r="A750" i="2"/>
  <c r="CG749" i="2"/>
  <c r="CF749" i="2"/>
  <c r="CE749" i="2"/>
  <c r="CD749" i="2"/>
  <c r="CC749" i="2"/>
  <c r="CB749" i="2"/>
  <c r="BZ749" i="2"/>
  <c r="BY749" i="2"/>
  <c r="BX749" i="2"/>
  <c r="BW749" i="2"/>
  <c r="L749" i="2"/>
  <c r="G749" i="2"/>
  <c r="F749" i="2"/>
  <c r="E749" i="2"/>
  <c r="D749" i="2"/>
  <c r="C749" i="2"/>
  <c r="B749" i="2"/>
  <c r="A749" i="2"/>
  <c r="CG748" i="2"/>
  <c r="CF748" i="2"/>
  <c r="CE748" i="2"/>
  <c r="CD748" i="2"/>
  <c r="CC748" i="2"/>
  <c r="CB748" i="2"/>
  <c r="BZ748" i="2"/>
  <c r="BY748" i="2"/>
  <c r="BX748" i="2"/>
  <c r="BW748" i="2"/>
  <c r="M748" i="2"/>
  <c r="G748" i="2"/>
  <c r="F748" i="2"/>
  <c r="E748" i="2"/>
  <c r="D748" i="2"/>
  <c r="C748" i="2"/>
  <c r="B748" i="2"/>
  <c r="A748" i="2"/>
  <c r="CG747" i="2"/>
  <c r="CF747" i="2"/>
  <c r="CE747" i="2"/>
  <c r="CD747" i="2"/>
  <c r="CC747" i="2"/>
  <c r="CB747" i="2"/>
  <c r="BZ747" i="2"/>
  <c r="BY747" i="2"/>
  <c r="BX747" i="2"/>
  <c r="BW747" i="2"/>
  <c r="P747" i="2"/>
  <c r="G747" i="2"/>
  <c r="F747" i="2"/>
  <c r="E747" i="2"/>
  <c r="D747" i="2"/>
  <c r="C747" i="2"/>
  <c r="B747" i="2"/>
  <c r="A747" i="2"/>
  <c r="CG746" i="2"/>
  <c r="CF746" i="2"/>
  <c r="CE746" i="2"/>
  <c r="CD746" i="2"/>
  <c r="CC746" i="2"/>
  <c r="CB746" i="2"/>
  <c r="BZ746" i="2"/>
  <c r="BY746" i="2"/>
  <c r="BX746" i="2"/>
  <c r="BW746" i="2"/>
  <c r="V746" i="2"/>
  <c r="G746" i="2"/>
  <c r="F746" i="2"/>
  <c r="E746" i="2"/>
  <c r="D746" i="2"/>
  <c r="C746" i="2"/>
  <c r="B746" i="2"/>
  <c r="A746" i="2"/>
  <c r="CG745" i="2"/>
  <c r="CF745" i="2"/>
  <c r="CE745" i="2"/>
  <c r="CD745" i="2"/>
  <c r="CC745" i="2"/>
  <c r="CB745" i="2"/>
  <c r="BZ745" i="2"/>
  <c r="BY745" i="2"/>
  <c r="BX745" i="2"/>
  <c r="BW745" i="2"/>
  <c r="V745" i="2"/>
  <c r="G745" i="2"/>
  <c r="F745" i="2"/>
  <c r="E745" i="2"/>
  <c r="D745" i="2"/>
  <c r="C745" i="2"/>
  <c r="B745" i="2"/>
  <c r="A745" i="2"/>
  <c r="CG744" i="2"/>
  <c r="CF744" i="2"/>
  <c r="CE744" i="2"/>
  <c r="CD744" i="2"/>
  <c r="CC744" i="2"/>
  <c r="CB744" i="2"/>
  <c r="BZ744" i="2"/>
  <c r="BY744" i="2"/>
  <c r="BX744" i="2"/>
  <c r="BW744" i="2"/>
  <c r="T744" i="2"/>
  <c r="G744" i="2"/>
  <c r="F744" i="2"/>
  <c r="E744" i="2"/>
  <c r="D744" i="2"/>
  <c r="C744" i="2"/>
  <c r="B744" i="2"/>
  <c r="A744" i="2"/>
  <c r="CG743" i="2"/>
  <c r="CF743" i="2"/>
  <c r="CE743" i="2"/>
  <c r="CD743" i="2"/>
  <c r="CC743" i="2"/>
  <c r="CB743" i="2"/>
  <c r="BZ743" i="2"/>
  <c r="BY743" i="2"/>
  <c r="BX743" i="2"/>
  <c r="BW743" i="2"/>
  <c r="O743" i="2"/>
  <c r="G743" i="2"/>
  <c r="F743" i="2"/>
  <c r="E743" i="2"/>
  <c r="D743" i="2"/>
  <c r="C743" i="2"/>
  <c r="B743" i="2"/>
  <c r="A743" i="2"/>
  <c r="CG742" i="2"/>
  <c r="CF742" i="2"/>
  <c r="CE742" i="2"/>
  <c r="CD742" i="2"/>
  <c r="CC742" i="2"/>
  <c r="CB742" i="2"/>
  <c r="BZ742" i="2"/>
  <c r="BY742" i="2"/>
  <c r="BX742" i="2"/>
  <c r="BW742" i="2"/>
  <c r="S742" i="2"/>
  <c r="G742" i="2"/>
  <c r="F742" i="2"/>
  <c r="E742" i="2"/>
  <c r="D742" i="2"/>
  <c r="C742" i="2"/>
  <c r="B742" i="2"/>
  <c r="A742" i="2"/>
  <c r="CG741" i="2"/>
  <c r="CF741" i="2"/>
  <c r="CE741" i="2"/>
  <c r="CD741" i="2"/>
  <c r="CC741" i="2"/>
  <c r="CB741" i="2"/>
  <c r="BZ741" i="2"/>
  <c r="BY741" i="2"/>
  <c r="BX741" i="2"/>
  <c r="BW741" i="2"/>
  <c r="O741" i="2"/>
  <c r="G741" i="2"/>
  <c r="F741" i="2"/>
  <c r="E741" i="2"/>
  <c r="D741" i="2"/>
  <c r="C741" i="2"/>
  <c r="B741" i="2"/>
  <c r="A741" i="2"/>
  <c r="CG740" i="2"/>
  <c r="CF740" i="2"/>
  <c r="CE740" i="2"/>
  <c r="CD740" i="2"/>
  <c r="CC740" i="2"/>
  <c r="CB740" i="2"/>
  <c r="BZ740" i="2"/>
  <c r="BY740" i="2"/>
  <c r="BX740" i="2"/>
  <c r="BW740" i="2"/>
  <c r="S740" i="2"/>
  <c r="G740" i="2"/>
  <c r="F740" i="2"/>
  <c r="E740" i="2"/>
  <c r="D740" i="2"/>
  <c r="C740" i="2"/>
  <c r="B740" i="2"/>
  <c r="A740" i="2"/>
  <c r="CG739" i="2"/>
  <c r="CF739" i="2"/>
  <c r="CE739" i="2"/>
  <c r="CD739" i="2"/>
  <c r="CC739" i="2"/>
  <c r="CB739" i="2"/>
  <c r="BZ739" i="2"/>
  <c r="BY739" i="2"/>
  <c r="BX739" i="2"/>
  <c r="BW739" i="2"/>
  <c r="O739" i="2"/>
  <c r="G739" i="2"/>
  <c r="F739" i="2"/>
  <c r="E739" i="2"/>
  <c r="D739" i="2"/>
  <c r="C739" i="2"/>
  <c r="B739" i="2"/>
  <c r="A739" i="2"/>
  <c r="CG738" i="2"/>
  <c r="CF738" i="2"/>
  <c r="CE738" i="2"/>
  <c r="CD738" i="2"/>
  <c r="CC738" i="2"/>
  <c r="CB738" i="2"/>
  <c r="BZ738" i="2"/>
  <c r="BY738" i="2"/>
  <c r="BX738" i="2"/>
  <c r="BW738" i="2"/>
  <c r="M738" i="2"/>
  <c r="G738" i="2"/>
  <c r="F738" i="2"/>
  <c r="E738" i="2"/>
  <c r="D738" i="2"/>
  <c r="C738" i="2"/>
  <c r="B738" i="2"/>
  <c r="A738" i="2"/>
  <c r="CG737" i="2"/>
  <c r="CF737" i="2"/>
  <c r="CE737" i="2"/>
  <c r="CD737" i="2"/>
  <c r="CC737" i="2"/>
  <c r="CB737" i="2"/>
  <c r="BZ737" i="2"/>
  <c r="BY737" i="2"/>
  <c r="BX737" i="2"/>
  <c r="BW737" i="2"/>
  <c r="U737" i="2"/>
  <c r="G737" i="2"/>
  <c r="F737" i="2"/>
  <c r="E737" i="2"/>
  <c r="D737" i="2"/>
  <c r="C737" i="2"/>
  <c r="B737" i="2"/>
  <c r="A737" i="2"/>
  <c r="CG736" i="2"/>
  <c r="CF736" i="2"/>
  <c r="CE736" i="2"/>
  <c r="CD736" i="2"/>
  <c r="CC736" i="2"/>
  <c r="CB736" i="2"/>
  <c r="BZ736" i="2"/>
  <c r="BY736" i="2"/>
  <c r="BX736" i="2"/>
  <c r="BW736" i="2"/>
  <c r="H736" i="2"/>
  <c r="G736" i="2"/>
  <c r="F736" i="2"/>
  <c r="E736" i="2"/>
  <c r="D736" i="2"/>
  <c r="C736" i="2"/>
  <c r="B736" i="2"/>
  <c r="A736" i="2"/>
  <c r="CG735" i="2"/>
  <c r="CF735" i="2"/>
  <c r="CE735" i="2"/>
  <c r="CD735" i="2"/>
  <c r="CC735" i="2"/>
  <c r="CB735" i="2"/>
  <c r="BZ735" i="2"/>
  <c r="BY735" i="2"/>
  <c r="BX735" i="2"/>
  <c r="BW735" i="2"/>
  <c r="O735" i="2"/>
  <c r="G735" i="2"/>
  <c r="F735" i="2"/>
  <c r="E735" i="2"/>
  <c r="D735" i="2"/>
  <c r="C735" i="2"/>
  <c r="B735" i="2"/>
  <c r="A735" i="2"/>
  <c r="CG734" i="2"/>
  <c r="CF734" i="2"/>
  <c r="CE734" i="2"/>
  <c r="CD734" i="2"/>
  <c r="CC734" i="2"/>
  <c r="CB734" i="2"/>
  <c r="BZ734" i="2"/>
  <c r="BY734" i="2"/>
  <c r="BX734" i="2"/>
  <c r="BW734" i="2"/>
  <c r="J734" i="2"/>
  <c r="G734" i="2"/>
  <c r="F734" i="2"/>
  <c r="D734" i="2"/>
  <c r="C734" i="2"/>
  <c r="B734" i="2"/>
  <c r="A734" i="2"/>
  <c r="CG733" i="2"/>
  <c r="CF733" i="2"/>
  <c r="CE733" i="2"/>
  <c r="CD733" i="2"/>
  <c r="CC733" i="2"/>
  <c r="CB733" i="2"/>
  <c r="BZ733" i="2"/>
  <c r="BY733" i="2"/>
  <c r="BX733" i="2"/>
  <c r="BW733" i="2"/>
  <c r="T733" i="2"/>
  <c r="G733" i="2"/>
  <c r="F733" i="2"/>
  <c r="E733" i="2"/>
  <c r="D733" i="2"/>
  <c r="C733" i="2"/>
  <c r="B733" i="2"/>
  <c r="A733" i="2"/>
  <c r="CG732" i="2"/>
  <c r="CF732" i="2"/>
  <c r="CE732" i="2"/>
  <c r="CD732" i="2"/>
  <c r="CC732" i="2"/>
  <c r="CB732" i="2"/>
  <c r="BZ732" i="2"/>
  <c r="BY732" i="2"/>
  <c r="BX732" i="2"/>
  <c r="BW732" i="2"/>
  <c r="G732" i="2"/>
  <c r="F732" i="2"/>
  <c r="E732" i="2"/>
  <c r="D732" i="2"/>
  <c r="C732" i="2"/>
  <c r="B732" i="2"/>
  <c r="A732" i="2"/>
  <c r="CG731" i="2"/>
  <c r="CF731" i="2"/>
  <c r="CE731" i="2"/>
  <c r="CD731" i="2"/>
  <c r="CC731" i="2"/>
  <c r="CB731" i="2"/>
  <c r="BZ731" i="2"/>
  <c r="BY731" i="2"/>
  <c r="BX731" i="2"/>
  <c r="BW731" i="2"/>
  <c r="O731" i="2"/>
  <c r="G731" i="2"/>
  <c r="F731" i="2"/>
  <c r="E731" i="2"/>
  <c r="D731" i="2"/>
  <c r="C731" i="2"/>
  <c r="B731" i="2"/>
  <c r="A731" i="2"/>
  <c r="CG730" i="2"/>
  <c r="CF730" i="2"/>
  <c r="CE730" i="2"/>
  <c r="CD730" i="2"/>
  <c r="CC730" i="2"/>
  <c r="CB730" i="2"/>
  <c r="BZ730" i="2"/>
  <c r="BY730" i="2"/>
  <c r="BX730" i="2"/>
  <c r="BW730" i="2"/>
  <c r="L730" i="2"/>
  <c r="G730" i="2"/>
  <c r="F730" i="2"/>
  <c r="E730" i="2"/>
  <c r="D730" i="2"/>
  <c r="C730" i="2"/>
  <c r="B730" i="2"/>
  <c r="A730" i="2"/>
  <c r="CG729" i="2"/>
  <c r="CF729" i="2"/>
  <c r="CE729" i="2"/>
  <c r="CD729" i="2"/>
  <c r="CC729" i="2"/>
  <c r="CB729" i="2"/>
  <c r="BZ729" i="2"/>
  <c r="BY729" i="2"/>
  <c r="BX729" i="2"/>
  <c r="BW729" i="2"/>
  <c r="O729" i="2"/>
  <c r="G729" i="2"/>
  <c r="F729" i="2"/>
  <c r="E729" i="2"/>
  <c r="D729" i="2"/>
  <c r="C729" i="2"/>
  <c r="B729" i="2"/>
  <c r="A729" i="2"/>
  <c r="CG728" i="2"/>
  <c r="CF728" i="2"/>
  <c r="CE728" i="2"/>
  <c r="CD728" i="2"/>
  <c r="CC728" i="2"/>
  <c r="BZ728" i="2"/>
  <c r="BY728" i="2"/>
  <c r="BX728" i="2"/>
  <c r="BW728" i="2"/>
  <c r="F728" i="2"/>
  <c r="E728" i="2"/>
  <c r="D728" i="2"/>
  <c r="C728" i="2"/>
  <c r="B728" i="2"/>
  <c r="A728" i="2"/>
  <c r="CG727" i="2"/>
  <c r="CF727" i="2"/>
  <c r="CE727" i="2"/>
  <c r="CD727" i="2"/>
  <c r="CC727" i="2"/>
  <c r="BZ727" i="2"/>
  <c r="BY727" i="2"/>
  <c r="BX727" i="2"/>
  <c r="BW727" i="2"/>
  <c r="O727" i="2"/>
  <c r="G727" i="2"/>
  <c r="F727" i="2"/>
  <c r="E727" i="2"/>
  <c r="D727" i="2"/>
  <c r="C727" i="2"/>
  <c r="B727" i="2"/>
  <c r="A727" i="2"/>
  <c r="CG726" i="2"/>
  <c r="CF726" i="2"/>
  <c r="CE726" i="2"/>
  <c r="CD726" i="2"/>
  <c r="CC726" i="2"/>
  <c r="CB726" i="2"/>
  <c r="BZ726" i="2"/>
  <c r="BY726" i="2"/>
  <c r="BX726" i="2"/>
  <c r="BW726" i="2"/>
  <c r="G726" i="2"/>
  <c r="F726" i="2"/>
  <c r="E726" i="2"/>
  <c r="D726" i="2"/>
  <c r="C726" i="2"/>
  <c r="B726" i="2"/>
  <c r="A726" i="2"/>
  <c r="CG725" i="2"/>
  <c r="CF725" i="2"/>
  <c r="CE725" i="2"/>
  <c r="CD725" i="2"/>
  <c r="CC725" i="2"/>
  <c r="BZ725" i="2"/>
  <c r="BY725" i="2"/>
  <c r="BX725" i="2"/>
  <c r="BW725" i="2"/>
  <c r="U725" i="2"/>
  <c r="G725" i="2"/>
  <c r="F725" i="2"/>
  <c r="E725" i="2"/>
  <c r="D725" i="2"/>
  <c r="C725" i="2"/>
  <c r="B725" i="2"/>
  <c r="A725" i="2"/>
  <c r="CG724" i="2"/>
  <c r="CF724" i="2"/>
  <c r="CE724" i="2"/>
  <c r="CD724" i="2"/>
  <c r="CC724" i="2"/>
  <c r="BZ724" i="2"/>
  <c r="BY724" i="2"/>
  <c r="BX724" i="2"/>
  <c r="BW724" i="2"/>
  <c r="H724" i="2"/>
  <c r="G724" i="2"/>
  <c r="F724" i="2"/>
  <c r="E724" i="2"/>
  <c r="D724" i="2"/>
  <c r="C724" i="2"/>
  <c r="B724" i="2"/>
  <c r="A724" i="2"/>
  <c r="CG723" i="2"/>
  <c r="CF723" i="2"/>
  <c r="CE723" i="2"/>
  <c r="CD723" i="2"/>
  <c r="CC723" i="2"/>
  <c r="BZ723" i="2"/>
  <c r="BY723" i="2"/>
  <c r="BX723" i="2"/>
  <c r="BW723" i="2"/>
  <c r="U723" i="2"/>
  <c r="G723" i="2"/>
  <c r="F723" i="2"/>
  <c r="E723" i="2"/>
  <c r="D723" i="2"/>
  <c r="C723" i="2"/>
  <c r="B723" i="2"/>
  <c r="A723" i="2"/>
  <c r="CG722" i="2"/>
  <c r="CF722" i="2"/>
  <c r="CE722" i="2"/>
  <c r="CD722" i="2"/>
  <c r="CC722" i="2"/>
  <c r="BZ722" i="2"/>
  <c r="BY722" i="2"/>
  <c r="BX722" i="2"/>
  <c r="BW722" i="2"/>
  <c r="T722" i="2"/>
  <c r="G722" i="2"/>
  <c r="F722" i="2"/>
  <c r="E722" i="2"/>
  <c r="D722" i="2"/>
  <c r="C722" i="2"/>
  <c r="B722" i="2"/>
  <c r="A722" i="2"/>
  <c r="CG721" i="2"/>
  <c r="CF721" i="2"/>
  <c r="CE721" i="2"/>
  <c r="CD721" i="2"/>
  <c r="CC721" i="2"/>
  <c r="BZ721" i="2"/>
  <c r="BY721" i="2"/>
  <c r="BX721" i="2"/>
  <c r="BW721" i="2"/>
  <c r="W721" i="2"/>
  <c r="G721" i="2"/>
  <c r="F721" i="2"/>
  <c r="D721" i="2"/>
  <c r="C721" i="2"/>
  <c r="B721" i="2"/>
  <c r="A721" i="2"/>
  <c r="CG720" i="2"/>
  <c r="CF720" i="2"/>
  <c r="CE720" i="2"/>
  <c r="CD720" i="2"/>
  <c r="CC720" i="2"/>
  <c r="BZ720" i="2"/>
  <c r="BY720" i="2"/>
  <c r="BX720" i="2"/>
  <c r="BW720" i="2"/>
  <c r="M720" i="2"/>
  <c r="G720" i="2"/>
  <c r="F720" i="2"/>
  <c r="E720" i="2"/>
  <c r="D720" i="2"/>
  <c r="C720" i="2"/>
  <c r="B720" i="2"/>
  <c r="A720" i="2"/>
  <c r="CG719" i="2"/>
  <c r="CF719" i="2"/>
  <c r="CE719" i="2"/>
  <c r="CD719" i="2"/>
  <c r="CC719" i="2"/>
  <c r="BZ719" i="2"/>
  <c r="BY719" i="2"/>
  <c r="BX719" i="2"/>
  <c r="BW719" i="2"/>
  <c r="H719" i="2"/>
  <c r="G719" i="2"/>
  <c r="F719" i="2"/>
  <c r="E719" i="2"/>
  <c r="D719" i="2"/>
  <c r="C719" i="2"/>
  <c r="B719" i="2"/>
  <c r="A719" i="2"/>
  <c r="CG718" i="2"/>
  <c r="CF718" i="2"/>
  <c r="CE718" i="2"/>
  <c r="CD718" i="2"/>
  <c r="CC718" i="2"/>
  <c r="BZ718" i="2"/>
  <c r="BY718" i="2"/>
  <c r="BX718" i="2"/>
  <c r="BW718" i="2"/>
  <c r="U718" i="2"/>
  <c r="G718" i="2"/>
  <c r="F718" i="2"/>
  <c r="E718" i="2"/>
  <c r="D718" i="2"/>
  <c r="C718" i="2"/>
  <c r="B718" i="2"/>
  <c r="A718" i="2"/>
  <c r="CG717" i="2"/>
  <c r="CF717" i="2"/>
  <c r="CE717" i="2"/>
  <c r="CD717" i="2"/>
  <c r="CC717" i="2"/>
  <c r="BZ717" i="2"/>
  <c r="BY717" i="2"/>
  <c r="BX717" i="2"/>
  <c r="BW717" i="2"/>
  <c r="H717" i="2"/>
  <c r="G717" i="2"/>
  <c r="F717" i="2"/>
  <c r="E717" i="2"/>
  <c r="D717" i="2"/>
  <c r="C717" i="2"/>
  <c r="B717" i="2"/>
  <c r="A717" i="2"/>
  <c r="CG716" i="2"/>
  <c r="CF716" i="2"/>
  <c r="CE716" i="2"/>
  <c r="CD716" i="2"/>
  <c r="CC716" i="2"/>
  <c r="CB716" i="2"/>
  <c r="BZ716" i="2"/>
  <c r="BY716" i="2"/>
  <c r="BX716" i="2"/>
  <c r="BW716" i="2"/>
  <c r="R716" i="2"/>
  <c r="G716" i="2"/>
  <c r="F716" i="2"/>
  <c r="E716" i="2"/>
  <c r="D716" i="2"/>
  <c r="C716" i="2"/>
  <c r="B716" i="2"/>
  <c r="A716" i="2"/>
  <c r="CG715" i="2"/>
  <c r="CF715" i="2"/>
  <c r="CE715" i="2"/>
  <c r="CD715" i="2"/>
  <c r="CC715" i="2"/>
  <c r="BZ715" i="2"/>
  <c r="BY715" i="2"/>
  <c r="BX715" i="2"/>
  <c r="BW715" i="2"/>
  <c r="V715" i="2"/>
  <c r="G715" i="2"/>
  <c r="F715" i="2"/>
  <c r="E715" i="2"/>
  <c r="D715" i="2"/>
  <c r="C715" i="2"/>
  <c r="B715" i="2"/>
  <c r="A715" i="2"/>
  <c r="CG714" i="2"/>
  <c r="CF714" i="2"/>
  <c r="CE714" i="2"/>
  <c r="CD714" i="2"/>
  <c r="CC714" i="2"/>
  <c r="BZ714" i="2"/>
  <c r="BY714" i="2"/>
  <c r="BX714" i="2"/>
  <c r="BW714" i="2"/>
  <c r="S714" i="2"/>
  <c r="G714" i="2"/>
  <c r="F714" i="2"/>
  <c r="E714" i="2"/>
  <c r="D714" i="2"/>
  <c r="C714" i="2"/>
  <c r="B714" i="2"/>
  <c r="A714" i="2"/>
  <c r="CG713" i="2"/>
  <c r="CF713" i="2"/>
  <c r="CE713" i="2"/>
  <c r="CD713" i="2"/>
  <c r="CC713" i="2"/>
  <c r="BZ713" i="2"/>
  <c r="BY713" i="2"/>
  <c r="BX713" i="2"/>
  <c r="BW713" i="2"/>
  <c r="H713" i="2"/>
  <c r="G713" i="2"/>
  <c r="F713" i="2"/>
  <c r="E713" i="2"/>
  <c r="D713" i="2"/>
  <c r="C713" i="2"/>
  <c r="B713" i="2"/>
  <c r="A713" i="2"/>
  <c r="CG712" i="2"/>
  <c r="CF712" i="2"/>
  <c r="CE712" i="2"/>
  <c r="CD712" i="2"/>
  <c r="CC712" i="2"/>
  <c r="CB712" i="2"/>
  <c r="BZ712" i="2"/>
  <c r="BY712" i="2"/>
  <c r="BX712" i="2"/>
  <c r="BW712" i="2"/>
  <c r="S712" i="2"/>
  <c r="G712" i="2"/>
  <c r="F712" i="2"/>
  <c r="E712" i="2"/>
  <c r="D712" i="2"/>
  <c r="C712" i="2"/>
  <c r="B712" i="2"/>
  <c r="A712" i="2"/>
  <c r="CG711" i="2"/>
  <c r="CF711" i="2"/>
  <c r="CE711" i="2"/>
  <c r="CD711" i="2"/>
  <c r="CC711" i="2"/>
  <c r="CB711" i="2"/>
  <c r="BZ711" i="2"/>
  <c r="BY711" i="2"/>
  <c r="BX711" i="2"/>
  <c r="BW711" i="2"/>
  <c r="P711" i="2"/>
  <c r="G711" i="2"/>
  <c r="F711" i="2"/>
  <c r="E711" i="2"/>
  <c r="D711" i="2"/>
  <c r="C711" i="2"/>
  <c r="B711" i="2"/>
  <c r="A711" i="2"/>
  <c r="CG710" i="2"/>
  <c r="CF710" i="2"/>
  <c r="CE710" i="2"/>
  <c r="CD710" i="2"/>
  <c r="CC710" i="2"/>
  <c r="BZ710" i="2"/>
  <c r="BY710" i="2"/>
  <c r="BX710" i="2"/>
  <c r="BW710" i="2"/>
  <c r="P710" i="2"/>
  <c r="G710" i="2"/>
  <c r="F710" i="2"/>
  <c r="E710" i="2"/>
  <c r="D710" i="2"/>
  <c r="C710" i="2"/>
  <c r="B710" i="2"/>
  <c r="A710" i="2"/>
  <c r="CG709" i="2"/>
  <c r="CF709" i="2"/>
  <c r="CE709" i="2"/>
  <c r="CD709" i="2"/>
  <c r="CC709" i="2"/>
  <c r="CB709" i="2"/>
  <c r="BZ709" i="2"/>
  <c r="BY709" i="2"/>
  <c r="BX709" i="2"/>
  <c r="BW709" i="2"/>
  <c r="H709" i="2"/>
  <c r="G709" i="2"/>
  <c r="F709" i="2"/>
  <c r="E709" i="2"/>
  <c r="D709" i="2"/>
  <c r="C709" i="2"/>
  <c r="B709" i="2"/>
  <c r="A709" i="2"/>
  <c r="CG708" i="2"/>
  <c r="CF708" i="2"/>
  <c r="CE708" i="2"/>
  <c r="CD708" i="2"/>
  <c r="CC708" i="2"/>
  <c r="BZ708" i="2"/>
  <c r="BY708" i="2"/>
  <c r="BX708" i="2"/>
  <c r="BW708" i="2"/>
  <c r="H708" i="2"/>
  <c r="G708" i="2"/>
  <c r="F708" i="2"/>
  <c r="E708" i="2"/>
  <c r="D708" i="2"/>
  <c r="C708" i="2"/>
  <c r="B708" i="2"/>
  <c r="A708" i="2"/>
  <c r="CG707" i="2"/>
  <c r="CF707" i="2"/>
  <c r="CE707" i="2"/>
  <c r="CD707" i="2"/>
  <c r="CC707" i="2"/>
  <c r="BZ707" i="2"/>
  <c r="BY707" i="2"/>
  <c r="BX707" i="2"/>
  <c r="BW707" i="2"/>
  <c r="P707" i="2"/>
  <c r="G707" i="2"/>
  <c r="F707" i="2"/>
  <c r="E707" i="2"/>
  <c r="D707" i="2"/>
  <c r="C707" i="2"/>
  <c r="B707" i="2"/>
  <c r="A707" i="2"/>
  <c r="CG706" i="2"/>
  <c r="CF706" i="2"/>
  <c r="CE706" i="2"/>
  <c r="CD706" i="2"/>
  <c r="CC706" i="2"/>
  <c r="CB706" i="2"/>
  <c r="BZ706" i="2"/>
  <c r="BY706" i="2"/>
  <c r="BX706" i="2"/>
  <c r="BW706" i="2"/>
  <c r="P706" i="2"/>
  <c r="G706" i="2"/>
  <c r="F706" i="2"/>
  <c r="E706" i="2"/>
  <c r="C706" i="2"/>
  <c r="B706" i="2"/>
  <c r="A706" i="2"/>
  <c r="CG705" i="2"/>
  <c r="CF705" i="2"/>
  <c r="CE705" i="2"/>
  <c r="CD705" i="2"/>
  <c r="CC705" i="2"/>
  <c r="BZ705" i="2"/>
  <c r="BY705" i="2"/>
  <c r="BX705" i="2"/>
  <c r="BW705" i="2"/>
  <c r="O705" i="2"/>
  <c r="G705" i="2"/>
  <c r="F705" i="2"/>
  <c r="E705" i="2"/>
  <c r="D705" i="2"/>
  <c r="C705" i="2"/>
  <c r="B705" i="2"/>
  <c r="A705" i="2"/>
  <c r="CG704" i="2"/>
  <c r="CF704" i="2"/>
  <c r="CE704" i="2"/>
  <c r="CD704" i="2"/>
  <c r="CC704" i="2"/>
  <c r="CB704" i="2"/>
  <c r="BZ704" i="2"/>
  <c r="BY704" i="2"/>
  <c r="BX704" i="2"/>
  <c r="BW704" i="2"/>
  <c r="H704" i="2"/>
  <c r="G704" i="2"/>
  <c r="F704" i="2"/>
  <c r="E704" i="2"/>
  <c r="D704" i="2"/>
  <c r="C704" i="2"/>
  <c r="B704" i="2"/>
  <c r="A704" i="2"/>
  <c r="CG703" i="2"/>
  <c r="CF703" i="2"/>
  <c r="CE703" i="2"/>
  <c r="CD703" i="2"/>
  <c r="CC703" i="2"/>
  <c r="CB703" i="2"/>
  <c r="BZ703" i="2"/>
  <c r="BY703" i="2"/>
  <c r="BX703" i="2"/>
  <c r="BW703" i="2"/>
  <c r="U703" i="2"/>
  <c r="G703" i="2"/>
  <c r="C703" i="2"/>
  <c r="B703" i="2"/>
  <c r="A703" i="2"/>
  <c r="CG702" i="2"/>
  <c r="CF702" i="2"/>
  <c r="CE702" i="2"/>
  <c r="CD702" i="2"/>
  <c r="CC702" i="2"/>
  <c r="CB702" i="2"/>
  <c r="BZ702" i="2"/>
  <c r="BY702" i="2"/>
  <c r="BX702" i="2"/>
  <c r="BW702" i="2"/>
  <c r="U702" i="2"/>
  <c r="G702" i="2"/>
  <c r="F702" i="2"/>
  <c r="E702" i="2"/>
  <c r="D702" i="2"/>
  <c r="C702" i="2"/>
  <c r="B702" i="2"/>
  <c r="A702" i="2"/>
  <c r="CG701" i="2"/>
  <c r="CF701" i="2"/>
  <c r="CE701" i="2"/>
  <c r="CD701" i="2"/>
  <c r="CC701" i="2"/>
  <c r="BZ701" i="2"/>
  <c r="BY701" i="2"/>
  <c r="BX701" i="2"/>
  <c r="BW701" i="2"/>
  <c r="H701" i="2"/>
  <c r="G701" i="2"/>
  <c r="F701" i="2"/>
  <c r="E701" i="2"/>
  <c r="D701" i="2"/>
  <c r="C701" i="2"/>
  <c r="B701" i="2"/>
  <c r="A701" i="2"/>
  <c r="CG700" i="2"/>
  <c r="CF700" i="2"/>
  <c r="CE700" i="2"/>
  <c r="CD700" i="2"/>
  <c r="CC700" i="2"/>
  <c r="BZ700" i="2"/>
  <c r="BY700" i="2"/>
  <c r="BX700" i="2"/>
  <c r="BW700" i="2"/>
  <c r="T700" i="2"/>
  <c r="G700" i="2"/>
  <c r="F700" i="2"/>
  <c r="E700" i="2"/>
  <c r="D700" i="2"/>
  <c r="C700" i="2"/>
  <c r="B700" i="2"/>
  <c r="A700" i="2"/>
  <c r="CG699" i="2"/>
  <c r="CF699" i="2"/>
  <c r="CE699" i="2"/>
  <c r="CD699" i="2"/>
  <c r="CC699" i="2"/>
  <c r="BZ699" i="2"/>
  <c r="BY699" i="2"/>
  <c r="BX699" i="2"/>
  <c r="BW699" i="2"/>
  <c r="P699" i="2"/>
  <c r="G699" i="2"/>
  <c r="F699" i="2"/>
  <c r="D699" i="2"/>
  <c r="C699" i="2"/>
  <c r="B699" i="2"/>
  <c r="A699" i="2"/>
  <c r="CG698" i="2"/>
  <c r="CF698" i="2"/>
  <c r="CE698" i="2"/>
  <c r="CD698" i="2"/>
  <c r="CC698" i="2"/>
  <c r="BZ698" i="2"/>
  <c r="BY698" i="2"/>
  <c r="BX698" i="2"/>
  <c r="BW698" i="2"/>
  <c r="P698" i="2"/>
  <c r="G698" i="2"/>
  <c r="E698" i="2"/>
  <c r="D698" i="2"/>
  <c r="C698" i="2"/>
  <c r="B698" i="2"/>
  <c r="A698" i="2"/>
  <c r="CG697" i="2"/>
  <c r="CF697" i="2"/>
  <c r="CE697" i="2"/>
  <c r="CD697" i="2"/>
  <c r="CC697" i="2"/>
  <c r="CB697" i="2"/>
  <c r="BZ697" i="2"/>
  <c r="BY697" i="2"/>
  <c r="BX697" i="2"/>
  <c r="BW697" i="2"/>
  <c r="L697" i="2"/>
  <c r="G697" i="2"/>
  <c r="F697" i="2"/>
  <c r="E697" i="2"/>
  <c r="D697" i="2"/>
  <c r="C697" i="2"/>
  <c r="B697" i="2"/>
  <c r="A697" i="2"/>
  <c r="CG696" i="2"/>
  <c r="CF696" i="2"/>
  <c r="CE696" i="2"/>
  <c r="CD696" i="2"/>
  <c r="CC696" i="2"/>
  <c r="BZ696" i="2"/>
  <c r="BY696" i="2"/>
  <c r="BX696" i="2"/>
  <c r="BW696" i="2"/>
  <c r="G696" i="2"/>
  <c r="F696" i="2"/>
  <c r="E696" i="2"/>
  <c r="D696" i="2"/>
  <c r="C696" i="2"/>
  <c r="B696" i="2"/>
  <c r="A696" i="2"/>
  <c r="CG695" i="2"/>
  <c r="CF695" i="2"/>
  <c r="CE695" i="2"/>
  <c r="CD695" i="2"/>
  <c r="CC695" i="2"/>
  <c r="BZ695" i="2"/>
  <c r="BY695" i="2"/>
  <c r="BX695" i="2"/>
  <c r="BW695" i="2"/>
  <c r="J695" i="2"/>
  <c r="G695" i="2"/>
  <c r="F695" i="2"/>
  <c r="E695" i="2"/>
  <c r="D695" i="2"/>
  <c r="C695" i="2"/>
  <c r="B695" i="2"/>
  <c r="A695" i="2"/>
  <c r="CG694" i="2"/>
  <c r="CF694" i="2"/>
  <c r="CE694" i="2"/>
  <c r="CD694" i="2"/>
  <c r="CC694" i="2"/>
  <c r="BZ694" i="2"/>
  <c r="BY694" i="2"/>
  <c r="BX694" i="2"/>
  <c r="BW694" i="2"/>
  <c r="S694" i="2"/>
  <c r="G694" i="2"/>
  <c r="F694" i="2"/>
  <c r="E694" i="2"/>
  <c r="D694" i="2"/>
  <c r="C694" i="2"/>
  <c r="B694" i="2"/>
  <c r="A694" i="2"/>
  <c r="CG693" i="2"/>
  <c r="CF693" i="2"/>
  <c r="CE693" i="2"/>
  <c r="CD693" i="2"/>
  <c r="CC693" i="2"/>
  <c r="BZ693" i="2"/>
  <c r="BY693" i="2"/>
  <c r="BX693" i="2"/>
  <c r="BW693" i="2"/>
  <c r="H693" i="2"/>
  <c r="G693" i="2"/>
  <c r="F693" i="2"/>
  <c r="E693" i="2"/>
  <c r="D693" i="2"/>
  <c r="C693" i="2"/>
  <c r="B693" i="2"/>
  <c r="A693" i="2"/>
  <c r="CG692" i="2"/>
  <c r="CF692" i="2"/>
  <c r="CE692" i="2"/>
  <c r="CD692" i="2"/>
  <c r="CC692" i="2"/>
  <c r="BZ692" i="2"/>
  <c r="BY692" i="2"/>
  <c r="BX692" i="2"/>
  <c r="BW692" i="2"/>
  <c r="P692" i="2"/>
  <c r="G692" i="2"/>
  <c r="F692" i="2"/>
  <c r="D692" i="2"/>
  <c r="C692" i="2"/>
  <c r="B692" i="2"/>
  <c r="A692" i="2"/>
  <c r="CG691" i="2"/>
  <c r="CF691" i="2"/>
  <c r="CE691" i="2"/>
  <c r="CD691" i="2"/>
  <c r="CC691" i="2"/>
  <c r="CB691" i="2"/>
  <c r="BZ691" i="2"/>
  <c r="BY691" i="2"/>
  <c r="BX691" i="2"/>
  <c r="BW691" i="2"/>
  <c r="U691" i="2"/>
  <c r="G691" i="2"/>
  <c r="F691" i="2"/>
  <c r="E691" i="2"/>
  <c r="D691" i="2"/>
  <c r="C691" i="2"/>
  <c r="B691" i="2"/>
  <c r="A691" i="2"/>
  <c r="CG690" i="2"/>
  <c r="CF690" i="2"/>
  <c r="CE690" i="2"/>
  <c r="CD690" i="2"/>
  <c r="CC690" i="2"/>
  <c r="BZ690" i="2"/>
  <c r="BY690" i="2"/>
  <c r="BX690" i="2"/>
  <c r="BW690" i="2"/>
  <c r="V690" i="2"/>
  <c r="G690" i="2"/>
  <c r="F690" i="2"/>
  <c r="E690" i="2"/>
  <c r="D690" i="2"/>
  <c r="C690" i="2"/>
  <c r="B690" i="2"/>
  <c r="A690" i="2"/>
  <c r="CG689" i="2"/>
  <c r="CF689" i="2"/>
  <c r="CE689" i="2"/>
  <c r="CD689" i="2"/>
  <c r="CC689" i="2"/>
  <c r="CB689" i="2"/>
  <c r="BZ689" i="2"/>
  <c r="BY689" i="2"/>
  <c r="BX689" i="2"/>
  <c r="BW689" i="2"/>
  <c r="G689" i="2"/>
  <c r="F689" i="2"/>
  <c r="E689" i="2"/>
  <c r="D689" i="2"/>
  <c r="C689" i="2"/>
  <c r="B689" i="2"/>
  <c r="A689" i="2"/>
  <c r="CG688" i="2"/>
  <c r="CF688" i="2"/>
  <c r="CE688" i="2"/>
  <c r="CD688" i="2"/>
  <c r="CC688" i="2"/>
  <c r="CB688" i="2"/>
  <c r="BZ688" i="2"/>
  <c r="BY688" i="2"/>
  <c r="BX688" i="2"/>
  <c r="BW688" i="2"/>
  <c r="G688" i="2"/>
  <c r="F688" i="2"/>
  <c r="E688" i="2"/>
  <c r="D688" i="2"/>
  <c r="C688" i="2"/>
  <c r="B688" i="2"/>
  <c r="A688" i="2"/>
  <c r="CG687" i="2"/>
  <c r="CF687" i="2"/>
  <c r="CE687" i="2"/>
  <c r="CD687" i="2"/>
  <c r="CC687" i="2"/>
  <c r="CB687" i="2"/>
  <c r="BZ687" i="2"/>
  <c r="BY687" i="2"/>
  <c r="BX687" i="2"/>
  <c r="BW687" i="2"/>
  <c r="M687" i="2"/>
  <c r="G687" i="2"/>
  <c r="F687" i="2"/>
  <c r="E687" i="2"/>
  <c r="D687" i="2"/>
  <c r="C687" i="2"/>
  <c r="B687" i="2"/>
  <c r="A687" i="2"/>
  <c r="CG686" i="2"/>
  <c r="CF686" i="2"/>
  <c r="CE686" i="2"/>
  <c r="CD686" i="2"/>
  <c r="CC686" i="2"/>
  <c r="CB686" i="2"/>
  <c r="BZ686" i="2"/>
  <c r="BY686" i="2"/>
  <c r="BX686" i="2"/>
  <c r="BW686" i="2"/>
  <c r="G686" i="2"/>
  <c r="F686" i="2"/>
  <c r="E686" i="2"/>
  <c r="D686" i="2"/>
  <c r="C686" i="2"/>
  <c r="B686" i="2"/>
  <c r="A686" i="2"/>
  <c r="CG685" i="2"/>
  <c r="CF685" i="2"/>
  <c r="CE685" i="2"/>
  <c r="CD685" i="2"/>
  <c r="CC685" i="2"/>
  <c r="CB685" i="2"/>
  <c r="BZ685" i="2"/>
  <c r="BY685" i="2"/>
  <c r="BX685" i="2"/>
  <c r="BW685" i="2"/>
  <c r="G685" i="2"/>
  <c r="F685" i="2"/>
  <c r="E685" i="2"/>
  <c r="D685" i="2"/>
  <c r="C685" i="2"/>
  <c r="B685" i="2"/>
  <c r="A685" i="2"/>
  <c r="CG684" i="2"/>
  <c r="CF684" i="2"/>
  <c r="CE684" i="2"/>
  <c r="CD684" i="2"/>
  <c r="CC684" i="2"/>
  <c r="CB684" i="2"/>
  <c r="BZ684" i="2"/>
  <c r="BY684" i="2"/>
  <c r="BX684" i="2"/>
  <c r="BW684" i="2"/>
  <c r="G684" i="2"/>
  <c r="F684" i="2"/>
  <c r="E684" i="2"/>
  <c r="D684" i="2"/>
  <c r="C684" i="2"/>
  <c r="B684" i="2"/>
  <c r="A684" i="2"/>
  <c r="CG683" i="2"/>
  <c r="CF683" i="2"/>
  <c r="CE683" i="2"/>
  <c r="CD683" i="2"/>
  <c r="CC683" i="2"/>
  <c r="CB683" i="2"/>
  <c r="BZ683" i="2"/>
  <c r="BY683" i="2"/>
  <c r="BX683" i="2"/>
  <c r="BW683" i="2"/>
  <c r="G683" i="2"/>
  <c r="F683" i="2"/>
  <c r="E683" i="2"/>
  <c r="D683" i="2"/>
  <c r="C683" i="2"/>
  <c r="B683" i="2"/>
  <c r="A683" i="2"/>
  <c r="CG682" i="2"/>
  <c r="CF682" i="2"/>
  <c r="CE682" i="2"/>
  <c r="CD682" i="2"/>
  <c r="CC682" i="2"/>
  <c r="CB682" i="2"/>
  <c r="BZ682" i="2"/>
  <c r="BY682" i="2"/>
  <c r="BX682" i="2"/>
  <c r="BW682" i="2"/>
  <c r="G682" i="2"/>
  <c r="F682" i="2"/>
  <c r="E682" i="2"/>
  <c r="D682" i="2"/>
  <c r="C682" i="2"/>
  <c r="B682" i="2"/>
  <c r="A682" i="2"/>
  <c r="CG681" i="2"/>
  <c r="CF681" i="2"/>
  <c r="CE681" i="2"/>
  <c r="CD681" i="2"/>
  <c r="CC681" i="2"/>
  <c r="CB681" i="2"/>
  <c r="BZ681" i="2"/>
  <c r="BY681" i="2"/>
  <c r="BX681" i="2"/>
  <c r="BW681" i="2"/>
  <c r="G681" i="2"/>
  <c r="F681" i="2"/>
  <c r="E681" i="2"/>
  <c r="D681" i="2"/>
  <c r="C681" i="2"/>
  <c r="B681" i="2"/>
  <c r="A681" i="2"/>
  <c r="CG680" i="2"/>
  <c r="CF680" i="2"/>
  <c r="CE680" i="2"/>
  <c r="CD680" i="2"/>
  <c r="CC680" i="2"/>
  <c r="BZ680" i="2"/>
  <c r="BY680" i="2"/>
  <c r="BX680" i="2"/>
  <c r="BW680" i="2"/>
  <c r="H680" i="2"/>
  <c r="G680" i="2"/>
  <c r="F680" i="2"/>
  <c r="E680" i="2"/>
  <c r="D680" i="2"/>
  <c r="C680" i="2"/>
  <c r="B680" i="2"/>
  <c r="A680" i="2"/>
  <c r="CG679" i="2"/>
  <c r="CF679" i="2"/>
  <c r="CE679" i="2"/>
  <c r="CD679" i="2"/>
  <c r="CC679" i="2"/>
  <c r="BZ679" i="2"/>
  <c r="BY679" i="2"/>
  <c r="BX679" i="2"/>
  <c r="BW679" i="2"/>
  <c r="H679" i="2"/>
  <c r="G679" i="2"/>
  <c r="F679" i="2"/>
  <c r="E679" i="2"/>
  <c r="D679" i="2"/>
  <c r="C679" i="2"/>
  <c r="B679" i="2"/>
  <c r="A679" i="2"/>
  <c r="CG678" i="2"/>
  <c r="CF678" i="2"/>
  <c r="CE678" i="2"/>
  <c r="CD678" i="2"/>
  <c r="CC678" i="2"/>
  <c r="BZ678" i="2"/>
  <c r="BY678" i="2"/>
  <c r="BX678" i="2"/>
  <c r="BW678" i="2"/>
  <c r="G678" i="2"/>
  <c r="F678" i="2"/>
  <c r="E678" i="2"/>
  <c r="D678" i="2"/>
  <c r="C678" i="2"/>
  <c r="B678" i="2"/>
  <c r="A678" i="2"/>
  <c r="CG677" i="2"/>
  <c r="CF677" i="2"/>
  <c r="CE677" i="2"/>
  <c r="CD677" i="2"/>
  <c r="CC677" i="2"/>
  <c r="CB677" i="2"/>
  <c r="BZ677" i="2"/>
  <c r="BY677" i="2"/>
  <c r="BX677" i="2"/>
  <c r="BW677" i="2"/>
  <c r="L677" i="2"/>
  <c r="G677" i="2"/>
  <c r="F677" i="2"/>
  <c r="E677" i="2"/>
  <c r="D677" i="2"/>
  <c r="C677" i="2"/>
  <c r="B677" i="2"/>
  <c r="A677" i="2"/>
  <c r="CG676" i="2"/>
  <c r="CF676" i="2"/>
  <c r="CE676" i="2"/>
  <c r="CD676" i="2"/>
  <c r="CC676" i="2"/>
  <c r="CB676" i="2"/>
  <c r="BZ676" i="2"/>
  <c r="BY676" i="2"/>
  <c r="BX676" i="2"/>
  <c r="BW676" i="2"/>
  <c r="N676" i="2"/>
  <c r="G676" i="2"/>
  <c r="F676" i="2"/>
  <c r="D676" i="2"/>
  <c r="C676" i="2"/>
  <c r="B676" i="2"/>
  <c r="A676" i="2"/>
  <c r="CG675" i="2"/>
  <c r="CF675" i="2"/>
  <c r="CE675" i="2"/>
  <c r="CD675" i="2"/>
  <c r="CC675" i="2"/>
  <c r="BZ675" i="2"/>
  <c r="BY675" i="2"/>
  <c r="BX675" i="2"/>
  <c r="BW675" i="2"/>
  <c r="P675" i="2"/>
  <c r="G675" i="2"/>
  <c r="F675" i="2"/>
  <c r="E675" i="2"/>
  <c r="D675" i="2"/>
  <c r="C675" i="2"/>
  <c r="B675" i="2"/>
  <c r="A675" i="2"/>
  <c r="CG674" i="2"/>
  <c r="CF674" i="2"/>
  <c r="CE674" i="2"/>
  <c r="CD674" i="2"/>
  <c r="CC674" i="2"/>
  <c r="CB674" i="2"/>
  <c r="BZ674" i="2"/>
  <c r="BY674" i="2"/>
  <c r="BX674" i="2"/>
  <c r="BW674" i="2"/>
  <c r="H674" i="2"/>
  <c r="G674" i="2"/>
  <c r="F674" i="2"/>
  <c r="E674" i="2"/>
  <c r="D674" i="2"/>
  <c r="C674" i="2"/>
  <c r="B674" i="2"/>
  <c r="A674" i="2"/>
  <c r="CG673" i="2"/>
  <c r="CF673" i="2"/>
  <c r="CE673" i="2"/>
  <c r="CD673" i="2"/>
  <c r="CC673" i="2"/>
  <c r="BZ673" i="2"/>
  <c r="BY673" i="2"/>
  <c r="BX673" i="2"/>
  <c r="BW673" i="2"/>
  <c r="U673" i="2"/>
  <c r="G673" i="2"/>
  <c r="F673" i="2"/>
  <c r="E673" i="2"/>
  <c r="D673" i="2"/>
  <c r="C673" i="2"/>
  <c r="B673" i="2"/>
  <c r="A673" i="2"/>
  <c r="CG672" i="2"/>
  <c r="CF672" i="2"/>
  <c r="CE672" i="2"/>
  <c r="CD672" i="2"/>
  <c r="CC672" i="2"/>
  <c r="BZ672" i="2"/>
  <c r="BY672" i="2"/>
  <c r="BX672" i="2"/>
  <c r="BW672" i="2"/>
  <c r="L672" i="2"/>
  <c r="G672" i="2"/>
  <c r="F672" i="2"/>
  <c r="E672" i="2"/>
  <c r="D672" i="2"/>
  <c r="C672" i="2"/>
  <c r="B672" i="2"/>
  <c r="A672" i="2"/>
  <c r="CG671" i="2"/>
  <c r="CF671" i="2"/>
  <c r="CE671" i="2"/>
  <c r="CD671" i="2"/>
  <c r="CC671" i="2"/>
  <c r="BZ671" i="2"/>
  <c r="BY671" i="2"/>
  <c r="BX671" i="2"/>
  <c r="BW671" i="2"/>
  <c r="H671" i="2"/>
  <c r="G671" i="2"/>
  <c r="F671" i="2"/>
  <c r="E671" i="2"/>
  <c r="D671" i="2"/>
  <c r="C671" i="2"/>
  <c r="B671" i="2"/>
  <c r="A671" i="2"/>
  <c r="CG670" i="2"/>
  <c r="CF670" i="2"/>
  <c r="CE670" i="2"/>
  <c r="CD670" i="2"/>
  <c r="CC670" i="2"/>
  <c r="BZ670" i="2"/>
  <c r="BY670" i="2"/>
  <c r="BX670" i="2"/>
  <c r="BW670" i="2"/>
  <c r="L670" i="2"/>
  <c r="G670" i="2"/>
  <c r="F670" i="2"/>
  <c r="E670" i="2"/>
  <c r="D670" i="2"/>
  <c r="C670" i="2"/>
  <c r="B670" i="2"/>
  <c r="A670" i="2"/>
  <c r="CG669" i="2"/>
  <c r="CF669" i="2"/>
  <c r="CE669" i="2"/>
  <c r="CD669" i="2"/>
  <c r="CC669" i="2"/>
  <c r="BZ669" i="2"/>
  <c r="BY669" i="2"/>
  <c r="BX669" i="2"/>
  <c r="BW669" i="2"/>
  <c r="H669" i="2"/>
  <c r="G669" i="2"/>
  <c r="F669" i="2"/>
  <c r="D669" i="2"/>
  <c r="C669" i="2"/>
  <c r="B669" i="2"/>
  <c r="A669" i="2"/>
  <c r="CG668" i="2"/>
  <c r="CF668" i="2"/>
  <c r="CE668" i="2"/>
  <c r="CD668" i="2"/>
  <c r="CC668" i="2"/>
  <c r="BZ668" i="2"/>
  <c r="BY668" i="2"/>
  <c r="BX668" i="2"/>
  <c r="BW668" i="2"/>
  <c r="O668" i="2"/>
  <c r="G668" i="2"/>
  <c r="F668" i="2"/>
  <c r="E668" i="2"/>
  <c r="D668" i="2"/>
  <c r="C668" i="2"/>
  <c r="B668" i="2"/>
  <c r="A668" i="2"/>
  <c r="CG667" i="2"/>
  <c r="CF667" i="2"/>
  <c r="CE667" i="2"/>
  <c r="CD667" i="2"/>
  <c r="CC667" i="2"/>
  <c r="BZ667" i="2"/>
  <c r="BY667" i="2"/>
  <c r="BX667" i="2"/>
  <c r="BW667" i="2"/>
  <c r="P667" i="2"/>
  <c r="G667" i="2"/>
  <c r="F667" i="2"/>
  <c r="E667" i="2"/>
  <c r="D667" i="2"/>
  <c r="C667" i="2"/>
  <c r="B667" i="2"/>
  <c r="A667" i="2"/>
  <c r="CG666" i="2"/>
  <c r="CF666" i="2"/>
  <c r="CE666" i="2"/>
  <c r="CD666" i="2"/>
  <c r="CC666" i="2"/>
  <c r="BZ666" i="2"/>
  <c r="BY666" i="2"/>
  <c r="BX666" i="2"/>
  <c r="BW666" i="2"/>
  <c r="H666" i="2"/>
  <c r="G666" i="2"/>
  <c r="F666" i="2"/>
  <c r="E666" i="2"/>
  <c r="D666" i="2"/>
  <c r="C666" i="2"/>
  <c r="B666" i="2"/>
  <c r="A666" i="2"/>
  <c r="CG665" i="2"/>
  <c r="CF665" i="2"/>
  <c r="CE665" i="2"/>
  <c r="CD665" i="2"/>
  <c r="CC665" i="2"/>
  <c r="BZ665" i="2"/>
  <c r="BY665" i="2"/>
  <c r="BX665" i="2"/>
  <c r="BW665" i="2"/>
  <c r="M665" i="2"/>
  <c r="G665" i="2"/>
  <c r="F665" i="2"/>
  <c r="E665" i="2"/>
  <c r="D665" i="2"/>
  <c r="C665" i="2"/>
  <c r="B665" i="2"/>
  <c r="A665" i="2"/>
  <c r="CG664" i="2"/>
  <c r="CF664" i="2"/>
  <c r="CE664" i="2"/>
  <c r="CD664" i="2"/>
  <c r="CC664" i="2"/>
  <c r="BZ664" i="2"/>
  <c r="BY664" i="2"/>
  <c r="BX664" i="2"/>
  <c r="BW664" i="2"/>
  <c r="P664" i="2"/>
  <c r="G664" i="2"/>
  <c r="F664" i="2"/>
  <c r="E664" i="2"/>
  <c r="D664" i="2"/>
  <c r="C664" i="2"/>
  <c r="B664" i="2"/>
  <c r="A664" i="2"/>
  <c r="CG663" i="2"/>
  <c r="CF663" i="2"/>
  <c r="CE663" i="2"/>
  <c r="CD663" i="2"/>
  <c r="CC663" i="2"/>
  <c r="BZ663" i="2"/>
  <c r="BY663" i="2"/>
  <c r="BX663" i="2"/>
  <c r="BW663" i="2"/>
  <c r="G663" i="2"/>
  <c r="F663" i="2"/>
  <c r="E663" i="2"/>
  <c r="C663" i="2"/>
  <c r="B663" i="2"/>
  <c r="A663" i="2"/>
  <c r="CG662" i="2"/>
  <c r="CF662" i="2"/>
  <c r="CE662" i="2"/>
  <c r="CD662" i="2"/>
  <c r="CC662" i="2"/>
  <c r="BZ662" i="2"/>
  <c r="BY662" i="2"/>
  <c r="BX662" i="2"/>
  <c r="BW662" i="2"/>
  <c r="P662" i="2"/>
  <c r="G662" i="2"/>
  <c r="F662" i="2"/>
  <c r="E662" i="2"/>
  <c r="D662" i="2"/>
  <c r="C662" i="2"/>
  <c r="B662" i="2"/>
  <c r="A662" i="2"/>
  <c r="CG661" i="2"/>
  <c r="CF661" i="2"/>
  <c r="CE661" i="2"/>
  <c r="CD661" i="2"/>
  <c r="CC661" i="2"/>
  <c r="BZ661" i="2"/>
  <c r="BY661" i="2"/>
  <c r="BX661" i="2"/>
  <c r="BW661" i="2"/>
  <c r="M661" i="2"/>
  <c r="G661" i="2"/>
  <c r="F661" i="2"/>
  <c r="E661" i="2"/>
  <c r="D661" i="2"/>
  <c r="C661" i="2"/>
  <c r="B661" i="2"/>
  <c r="A661" i="2"/>
  <c r="CG660" i="2"/>
  <c r="CF660" i="2"/>
  <c r="CE660" i="2"/>
  <c r="CD660" i="2"/>
  <c r="CC660" i="2"/>
  <c r="BZ660" i="2"/>
  <c r="BY660" i="2"/>
  <c r="BX660" i="2"/>
  <c r="BW660" i="2"/>
  <c r="BH660" i="2"/>
  <c r="W660" i="2"/>
  <c r="G660" i="2"/>
  <c r="F660" i="2"/>
  <c r="D660" i="2"/>
  <c r="C660" i="2"/>
  <c r="B660" i="2"/>
  <c r="A660" i="2"/>
  <c r="CG659" i="2"/>
  <c r="CF659" i="2"/>
  <c r="CE659" i="2"/>
  <c r="CD659" i="2"/>
  <c r="CC659" i="2"/>
  <c r="BZ659" i="2"/>
  <c r="BY659" i="2"/>
  <c r="BX659" i="2"/>
  <c r="BW659" i="2"/>
  <c r="H659" i="2"/>
  <c r="G659" i="2"/>
  <c r="F659" i="2"/>
  <c r="E659" i="2"/>
  <c r="D659" i="2"/>
  <c r="C659" i="2"/>
  <c r="B659" i="2"/>
  <c r="A659" i="2"/>
  <c r="CG658" i="2"/>
  <c r="CF658" i="2"/>
  <c r="CE658" i="2"/>
  <c r="CD658" i="2"/>
  <c r="CC658" i="2"/>
  <c r="BZ658" i="2"/>
  <c r="BY658" i="2"/>
  <c r="BX658" i="2"/>
  <c r="BW658" i="2"/>
  <c r="R658" i="2"/>
  <c r="G658" i="2"/>
  <c r="F658" i="2"/>
  <c r="E658" i="2"/>
  <c r="D658" i="2"/>
  <c r="C658" i="2"/>
  <c r="B658" i="2"/>
  <c r="A658" i="2"/>
  <c r="CG657" i="2"/>
  <c r="CF657" i="2"/>
  <c r="CE657" i="2"/>
  <c r="CD657" i="2"/>
  <c r="CC657" i="2"/>
  <c r="BZ657" i="2"/>
  <c r="BY657" i="2"/>
  <c r="BX657" i="2"/>
  <c r="BW657" i="2"/>
  <c r="U657" i="2"/>
  <c r="G657" i="2"/>
  <c r="F657" i="2"/>
  <c r="E657" i="2"/>
  <c r="D657" i="2"/>
  <c r="C657" i="2"/>
  <c r="B657" i="2"/>
  <c r="A657" i="2"/>
  <c r="CG656" i="2"/>
  <c r="CF656" i="2"/>
  <c r="CE656" i="2"/>
  <c r="CD656" i="2"/>
  <c r="CC656" i="2"/>
  <c r="BZ656" i="2"/>
  <c r="BY656" i="2"/>
  <c r="BX656" i="2"/>
  <c r="BW656" i="2"/>
  <c r="BG656" i="2"/>
  <c r="W656" i="2"/>
  <c r="G656" i="2"/>
  <c r="F656" i="2"/>
  <c r="E656" i="2"/>
  <c r="D656" i="2"/>
  <c r="C656" i="2"/>
  <c r="B656" i="2"/>
  <c r="A656" i="2"/>
  <c r="CG655" i="2"/>
  <c r="CF655" i="2"/>
  <c r="CE655" i="2"/>
  <c r="CD655" i="2"/>
  <c r="CC655" i="2"/>
  <c r="BZ655" i="2"/>
  <c r="BY655" i="2"/>
  <c r="BX655" i="2"/>
  <c r="BW655" i="2"/>
  <c r="M655" i="2"/>
  <c r="G655" i="2"/>
  <c r="F655" i="2"/>
  <c r="E655" i="2"/>
  <c r="D655" i="2"/>
  <c r="C655" i="2"/>
  <c r="B655" i="2"/>
  <c r="A655" i="2"/>
  <c r="CG654" i="2"/>
  <c r="CF654" i="2"/>
  <c r="CE654" i="2"/>
  <c r="CD654" i="2"/>
  <c r="CC654" i="2"/>
  <c r="BZ654" i="2"/>
  <c r="BY654" i="2"/>
  <c r="BX654" i="2"/>
  <c r="BW654" i="2"/>
  <c r="S654" i="2"/>
  <c r="G654" i="2"/>
  <c r="F654" i="2"/>
  <c r="E654" i="2"/>
  <c r="D654" i="2"/>
  <c r="C654" i="2"/>
  <c r="B654" i="2"/>
  <c r="A654" i="2"/>
  <c r="CG653" i="2"/>
  <c r="CF653" i="2"/>
  <c r="CE653" i="2"/>
  <c r="CD653" i="2"/>
  <c r="CC653" i="2"/>
  <c r="BZ653" i="2"/>
  <c r="BY653" i="2"/>
  <c r="BX653" i="2"/>
  <c r="BW653" i="2"/>
  <c r="V653" i="2"/>
  <c r="G653" i="2"/>
  <c r="F653" i="2"/>
  <c r="E653" i="2"/>
  <c r="D653" i="2"/>
  <c r="C653" i="2"/>
  <c r="B653" i="2"/>
  <c r="A653" i="2"/>
  <c r="CG652" i="2"/>
  <c r="CF652" i="2"/>
  <c r="CE652" i="2"/>
  <c r="CD652" i="2"/>
  <c r="CC652" i="2"/>
  <c r="BZ652" i="2"/>
  <c r="BY652" i="2"/>
  <c r="BX652" i="2"/>
  <c r="BW652" i="2"/>
  <c r="V652" i="2"/>
  <c r="G652" i="2"/>
  <c r="F652" i="2"/>
  <c r="D652" i="2"/>
  <c r="C652" i="2"/>
  <c r="B652" i="2"/>
  <c r="A652" i="2"/>
  <c r="CG651" i="2"/>
  <c r="CF651" i="2"/>
  <c r="CE651" i="2"/>
  <c r="CD651" i="2"/>
  <c r="CC651" i="2"/>
  <c r="BZ651" i="2"/>
  <c r="BY651" i="2"/>
  <c r="BX651" i="2"/>
  <c r="BW651" i="2"/>
  <c r="P651" i="2"/>
  <c r="G651" i="2"/>
  <c r="F651" i="2"/>
  <c r="E651" i="2"/>
  <c r="D651" i="2"/>
  <c r="C651" i="2"/>
  <c r="B651" i="2"/>
  <c r="A651" i="2"/>
  <c r="CG650" i="2"/>
  <c r="CF650" i="2"/>
  <c r="CE650" i="2"/>
  <c r="CD650" i="2"/>
  <c r="CC650" i="2"/>
  <c r="BZ650" i="2"/>
  <c r="BY650" i="2"/>
  <c r="BX650" i="2"/>
  <c r="BW650" i="2"/>
  <c r="U650" i="2"/>
  <c r="G650" i="2"/>
  <c r="F650" i="2"/>
  <c r="E650" i="2"/>
  <c r="D650" i="2"/>
  <c r="C650" i="2"/>
  <c r="B650" i="2"/>
  <c r="A650" i="2"/>
  <c r="CG649" i="2"/>
  <c r="CF649" i="2"/>
  <c r="CE649" i="2"/>
  <c r="CD649" i="2"/>
  <c r="CC649" i="2"/>
  <c r="BZ649" i="2"/>
  <c r="BY649" i="2"/>
  <c r="BX649" i="2"/>
  <c r="BW649" i="2"/>
  <c r="P649" i="2"/>
  <c r="G649" i="2"/>
  <c r="F649" i="2"/>
  <c r="E649" i="2"/>
  <c r="D649" i="2"/>
  <c r="C649" i="2"/>
  <c r="B649" i="2"/>
  <c r="A649" i="2"/>
  <c r="CG648" i="2"/>
  <c r="CF648" i="2"/>
  <c r="CE648" i="2"/>
  <c r="CD648" i="2"/>
  <c r="CC648" i="2"/>
  <c r="BZ648" i="2"/>
  <c r="BY648" i="2"/>
  <c r="BX648" i="2"/>
  <c r="BW648" i="2"/>
  <c r="V648" i="2"/>
  <c r="G648" i="2"/>
  <c r="F648" i="2"/>
  <c r="E648" i="2"/>
  <c r="D648" i="2"/>
  <c r="C648" i="2"/>
  <c r="B648" i="2"/>
  <c r="A648" i="2"/>
  <c r="CG647" i="2"/>
  <c r="CF647" i="2"/>
  <c r="CE647" i="2"/>
  <c r="CD647" i="2"/>
  <c r="CC647" i="2"/>
  <c r="BZ647" i="2"/>
  <c r="BY647" i="2"/>
  <c r="BX647" i="2"/>
  <c r="BW647" i="2"/>
  <c r="P647" i="2"/>
  <c r="G647" i="2"/>
  <c r="F647" i="2"/>
  <c r="E647" i="2"/>
  <c r="D647" i="2"/>
  <c r="C647" i="2"/>
  <c r="B647" i="2"/>
  <c r="A647" i="2"/>
  <c r="CG646" i="2"/>
  <c r="CF646" i="2"/>
  <c r="CE646" i="2"/>
  <c r="CD646" i="2"/>
  <c r="CC646" i="2"/>
  <c r="BZ646" i="2"/>
  <c r="BY646" i="2"/>
  <c r="BX646" i="2"/>
  <c r="BW646" i="2"/>
  <c r="U646" i="2"/>
  <c r="G646" i="2"/>
  <c r="F646" i="2"/>
  <c r="E646" i="2"/>
  <c r="D646" i="2"/>
  <c r="C646" i="2"/>
  <c r="B646" i="2"/>
  <c r="A646" i="2"/>
  <c r="CG645" i="2"/>
  <c r="CF645" i="2"/>
  <c r="CE645" i="2"/>
  <c r="CD645" i="2"/>
  <c r="CC645" i="2"/>
  <c r="BZ645" i="2"/>
  <c r="BY645" i="2"/>
  <c r="BX645" i="2"/>
  <c r="BW645" i="2"/>
  <c r="G645" i="2"/>
  <c r="F645" i="2"/>
  <c r="E645" i="2"/>
  <c r="D645" i="2"/>
  <c r="C645" i="2"/>
  <c r="B645" i="2"/>
  <c r="A645" i="2"/>
  <c r="CG644" i="2"/>
  <c r="CF644" i="2"/>
  <c r="CE644" i="2"/>
  <c r="CD644" i="2"/>
  <c r="CC644" i="2"/>
  <c r="BZ644" i="2"/>
  <c r="BY644" i="2"/>
  <c r="BX644" i="2"/>
  <c r="BW644" i="2"/>
  <c r="L644" i="2"/>
  <c r="G644" i="2"/>
  <c r="F644" i="2"/>
  <c r="D644" i="2"/>
  <c r="C644" i="2"/>
  <c r="B644" i="2"/>
  <c r="A644" i="2"/>
  <c r="CI643" i="2"/>
  <c r="CH643" i="2"/>
  <c r="CG643" i="2"/>
  <c r="CF643" i="2"/>
  <c r="CE643" i="2"/>
  <c r="CD643" i="2"/>
  <c r="CC643" i="2"/>
  <c r="BZ643" i="2"/>
  <c r="BY643" i="2"/>
  <c r="BX643" i="2"/>
  <c r="BW643" i="2"/>
  <c r="L643" i="2"/>
  <c r="G643" i="2"/>
  <c r="F643" i="2"/>
  <c r="E643" i="2"/>
  <c r="D643" i="2"/>
  <c r="C643" i="2"/>
  <c r="B643" i="2"/>
  <c r="A643" i="2"/>
  <c r="CI642" i="2"/>
  <c r="CH642" i="2"/>
  <c r="CG642" i="2"/>
  <c r="CF642" i="2"/>
  <c r="CE642" i="2"/>
  <c r="CD642" i="2"/>
  <c r="CC642" i="2"/>
  <c r="BZ642" i="2"/>
  <c r="BY642" i="2"/>
  <c r="BX642" i="2"/>
  <c r="BW642" i="2"/>
  <c r="H642" i="2"/>
  <c r="G642" i="2"/>
  <c r="F642" i="2"/>
  <c r="E642" i="2"/>
  <c r="D642" i="2"/>
  <c r="C642" i="2"/>
  <c r="B642" i="2"/>
  <c r="A642" i="2"/>
  <c r="CI641" i="2"/>
  <c r="CH641" i="2"/>
  <c r="CG641" i="2"/>
  <c r="CF641" i="2"/>
  <c r="CE641" i="2"/>
  <c r="CD641" i="2"/>
  <c r="CC641" i="2"/>
  <c r="BZ641" i="2"/>
  <c r="BY641" i="2"/>
  <c r="BX641" i="2"/>
  <c r="BW641" i="2"/>
  <c r="H641" i="2"/>
  <c r="F641" i="2"/>
  <c r="E641" i="2"/>
  <c r="D641" i="2"/>
  <c r="C641" i="2"/>
  <c r="B641" i="2"/>
  <c r="A641" i="2"/>
  <c r="CI640" i="2"/>
  <c r="CH640" i="2"/>
  <c r="CG640" i="2"/>
  <c r="CF640" i="2"/>
  <c r="CE640" i="2"/>
  <c r="CD640" i="2"/>
  <c r="CC640" i="2"/>
  <c r="BZ640" i="2"/>
  <c r="BY640" i="2"/>
  <c r="BX640" i="2"/>
  <c r="BW640" i="2"/>
  <c r="O640" i="2"/>
  <c r="G640" i="2"/>
  <c r="F640" i="2"/>
  <c r="D640" i="2"/>
  <c r="C640" i="2"/>
  <c r="B640" i="2"/>
  <c r="A640" i="2"/>
  <c r="CI639" i="2"/>
  <c r="CH639" i="2"/>
  <c r="CG639" i="2"/>
  <c r="CF639" i="2"/>
  <c r="CE639" i="2"/>
  <c r="CD639" i="2"/>
  <c r="CC639" i="2"/>
  <c r="BZ639" i="2"/>
  <c r="BY639" i="2"/>
  <c r="BX639" i="2"/>
  <c r="BW639" i="2"/>
  <c r="Q639" i="2"/>
  <c r="G639" i="2"/>
  <c r="F639" i="2"/>
  <c r="E639" i="2"/>
  <c r="D639" i="2"/>
  <c r="C639" i="2"/>
  <c r="B639" i="2"/>
  <c r="A639" i="2"/>
  <c r="CI638" i="2"/>
  <c r="CH638" i="2"/>
  <c r="CG638" i="2"/>
  <c r="CF638" i="2"/>
  <c r="CE638" i="2"/>
  <c r="CD638" i="2"/>
  <c r="CC638" i="2"/>
  <c r="BZ638" i="2"/>
  <c r="BY638" i="2"/>
  <c r="BX638" i="2"/>
  <c r="BW638" i="2"/>
  <c r="P638" i="2"/>
  <c r="G638" i="2"/>
  <c r="F638" i="2"/>
  <c r="E638" i="2"/>
  <c r="D638" i="2"/>
  <c r="C638" i="2"/>
  <c r="B638" i="2"/>
  <c r="A638" i="2"/>
  <c r="CI637" i="2"/>
  <c r="CH637" i="2"/>
  <c r="CG637" i="2"/>
  <c r="CF637" i="2"/>
  <c r="CE637" i="2"/>
  <c r="CD637" i="2"/>
  <c r="CC637" i="2"/>
  <c r="BZ637" i="2"/>
  <c r="BY637" i="2"/>
  <c r="BX637" i="2"/>
  <c r="BW637" i="2"/>
  <c r="U637" i="2"/>
  <c r="G637" i="2"/>
  <c r="F637" i="2"/>
  <c r="E637" i="2"/>
  <c r="D637" i="2"/>
  <c r="C637" i="2"/>
  <c r="B637" i="2"/>
  <c r="A637" i="2"/>
  <c r="CI636" i="2"/>
  <c r="CH636" i="2"/>
  <c r="CG636" i="2"/>
  <c r="CF636" i="2"/>
  <c r="CE636" i="2"/>
  <c r="CD636" i="2"/>
  <c r="CC636" i="2"/>
  <c r="BZ636" i="2"/>
  <c r="BY636" i="2"/>
  <c r="BX636" i="2"/>
  <c r="BW636" i="2"/>
  <c r="P636" i="2"/>
  <c r="G636" i="2"/>
  <c r="F636" i="2"/>
  <c r="E636" i="2"/>
  <c r="D636" i="2"/>
  <c r="C636" i="2"/>
  <c r="B636" i="2"/>
  <c r="A636" i="2"/>
  <c r="CI635" i="2"/>
  <c r="CH635" i="2"/>
  <c r="CG635" i="2"/>
  <c r="CF635" i="2"/>
  <c r="CE635" i="2"/>
  <c r="CD635" i="2"/>
  <c r="CC635" i="2"/>
  <c r="BZ635" i="2"/>
  <c r="BY635" i="2"/>
  <c r="BX635" i="2"/>
  <c r="BW635" i="2"/>
  <c r="P635" i="2"/>
  <c r="G635" i="2"/>
  <c r="F635" i="2"/>
  <c r="E635" i="2"/>
  <c r="D635" i="2"/>
  <c r="C635" i="2"/>
  <c r="B635" i="2"/>
  <c r="A635" i="2"/>
  <c r="CI634" i="2"/>
  <c r="CH634" i="2"/>
  <c r="CG634" i="2"/>
  <c r="CF634" i="2"/>
  <c r="CE634" i="2"/>
  <c r="CD634" i="2"/>
  <c r="CC634" i="2"/>
  <c r="BZ634" i="2"/>
  <c r="BY634" i="2"/>
  <c r="BX634" i="2"/>
  <c r="BW634" i="2"/>
  <c r="P634" i="2"/>
  <c r="G634" i="2"/>
  <c r="F634" i="2"/>
  <c r="E634" i="2"/>
  <c r="D634" i="2"/>
  <c r="C634" i="2"/>
  <c r="B634" i="2"/>
  <c r="A634" i="2"/>
  <c r="CI633" i="2"/>
  <c r="CH633" i="2"/>
  <c r="CG633" i="2"/>
  <c r="CF633" i="2"/>
  <c r="CE633" i="2"/>
  <c r="CD633" i="2"/>
  <c r="CC633" i="2"/>
  <c r="BZ633" i="2"/>
  <c r="BY633" i="2"/>
  <c r="BX633" i="2"/>
  <c r="BW633" i="2"/>
  <c r="L633" i="2"/>
  <c r="G633" i="2"/>
  <c r="F633" i="2"/>
  <c r="E633" i="2"/>
  <c r="D633" i="2"/>
  <c r="C633" i="2"/>
  <c r="B633" i="2"/>
  <c r="A633" i="2"/>
  <c r="CI632" i="2"/>
  <c r="CH632" i="2"/>
  <c r="CG632" i="2"/>
  <c r="CF632" i="2"/>
  <c r="CE632" i="2"/>
  <c r="CD632" i="2"/>
  <c r="CC632" i="2"/>
  <c r="BZ632" i="2"/>
  <c r="BY632" i="2"/>
  <c r="BX632" i="2"/>
  <c r="BW632" i="2"/>
  <c r="S632" i="2"/>
  <c r="G632" i="2"/>
  <c r="F632" i="2"/>
  <c r="E632" i="2"/>
  <c r="D632" i="2"/>
  <c r="C632" i="2"/>
  <c r="B632" i="2"/>
  <c r="A632" i="2"/>
  <c r="CI631" i="2"/>
  <c r="CH631" i="2"/>
  <c r="CG631" i="2"/>
  <c r="CF631" i="2"/>
  <c r="CE631" i="2"/>
  <c r="CD631" i="2"/>
  <c r="CC631" i="2"/>
  <c r="BZ631" i="2"/>
  <c r="BY631" i="2"/>
  <c r="BX631" i="2"/>
  <c r="BW631" i="2"/>
  <c r="P631" i="2"/>
  <c r="G631" i="2"/>
  <c r="F631" i="2"/>
  <c r="E631" i="2"/>
  <c r="D631" i="2"/>
  <c r="C631" i="2"/>
  <c r="B631" i="2"/>
  <c r="A631" i="2"/>
  <c r="CI630" i="2"/>
  <c r="CH630" i="2"/>
  <c r="CG630" i="2"/>
  <c r="CF630" i="2"/>
  <c r="CE630" i="2"/>
  <c r="CD630" i="2"/>
  <c r="CC630" i="2"/>
  <c r="BZ630" i="2"/>
  <c r="BY630" i="2"/>
  <c r="BX630" i="2"/>
  <c r="BW630" i="2"/>
  <c r="W630" i="2"/>
  <c r="G630" i="2"/>
  <c r="F630" i="2"/>
  <c r="D630" i="2"/>
  <c r="C630" i="2"/>
  <c r="B630" i="2"/>
  <c r="A630" i="2"/>
  <c r="CI629" i="2"/>
  <c r="CH629" i="2"/>
  <c r="CG629" i="2"/>
  <c r="CF629" i="2"/>
  <c r="CE629" i="2"/>
  <c r="CD629" i="2"/>
  <c r="CC629" i="2"/>
  <c r="BZ629" i="2"/>
  <c r="BY629" i="2"/>
  <c r="BX629" i="2"/>
  <c r="BW629" i="2"/>
  <c r="H629" i="2"/>
  <c r="G629" i="2"/>
  <c r="F629" i="2"/>
  <c r="E629" i="2"/>
  <c r="D629" i="2"/>
  <c r="C629" i="2"/>
  <c r="B629" i="2"/>
  <c r="A629" i="2"/>
  <c r="CI628" i="2"/>
  <c r="CH628" i="2"/>
  <c r="CG628" i="2"/>
  <c r="CF628" i="2"/>
  <c r="CE628" i="2"/>
  <c r="CD628" i="2"/>
  <c r="CC628" i="2"/>
  <c r="BZ628" i="2"/>
  <c r="BY628" i="2"/>
  <c r="BX628" i="2"/>
  <c r="BW628" i="2"/>
  <c r="H628" i="2"/>
  <c r="G628" i="2"/>
  <c r="F628" i="2"/>
  <c r="E628" i="2"/>
  <c r="D628" i="2"/>
  <c r="C628" i="2"/>
  <c r="B628" i="2"/>
  <c r="A628" i="2"/>
  <c r="CI627" i="2"/>
  <c r="CH627" i="2"/>
  <c r="CG627" i="2"/>
  <c r="CF627" i="2"/>
  <c r="CE627" i="2"/>
  <c r="CD627" i="2"/>
  <c r="CC627" i="2"/>
  <c r="BZ627" i="2"/>
  <c r="BY627" i="2"/>
  <c r="BX627" i="2"/>
  <c r="BW627" i="2"/>
  <c r="J627" i="2"/>
  <c r="G627" i="2"/>
  <c r="F627" i="2"/>
  <c r="E627" i="2"/>
  <c r="D627" i="2"/>
  <c r="C627" i="2"/>
  <c r="B627" i="2"/>
  <c r="A627" i="2"/>
  <c r="CI626" i="2"/>
  <c r="CH626" i="2"/>
  <c r="CG626" i="2"/>
  <c r="CF626" i="2"/>
  <c r="CE626" i="2"/>
  <c r="CD626" i="2"/>
  <c r="CC626" i="2"/>
  <c r="BZ626" i="2"/>
  <c r="BY626" i="2"/>
  <c r="BX626" i="2"/>
  <c r="BW626" i="2"/>
  <c r="V626" i="2"/>
  <c r="G626" i="2"/>
  <c r="F626" i="2"/>
  <c r="E626" i="2"/>
  <c r="D626" i="2"/>
  <c r="C626" i="2"/>
  <c r="B626" i="2"/>
  <c r="A626" i="2"/>
  <c r="CI625" i="2"/>
  <c r="CH625" i="2"/>
  <c r="CG625" i="2"/>
  <c r="CF625" i="2"/>
  <c r="CE625" i="2"/>
  <c r="CD625" i="2"/>
  <c r="CC625" i="2"/>
  <c r="BZ625" i="2"/>
  <c r="BY625" i="2"/>
  <c r="BX625" i="2"/>
  <c r="BW625" i="2"/>
  <c r="P625" i="2"/>
  <c r="G625" i="2"/>
  <c r="F625" i="2"/>
  <c r="E625" i="2"/>
  <c r="D625" i="2"/>
  <c r="C625" i="2"/>
  <c r="B625" i="2"/>
  <c r="A625" i="2"/>
  <c r="CI624" i="2"/>
  <c r="CH624" i="2"/>
  <c r="CG624" i="2"/>
  <c r="CF624" i="2"/>
  <c r="CE624" i="2"/>
  <c r="CD624" i="2"/>
  <c r="CC624" i="2"/>
  <c r="BZ624" i="2"/>
  <c r="BY624" i="2"/>
  <c r="BX624" i="2"/>
  <c r="BW624" i="2"/>
  <c r="H624" i="2"/>
  <c r="G624" i="2"/>
  <c r="F624" i="2"/>
  <c r="D624" i="2"/>
  <c r="C624" i="2"/>
  <c r="B624" i="2"/>
  <c r="A624" i="2"/>
  <c r="CI623" i="2"/>
  <c r="CH623" i="2"/>
  <c r="CG623" i="2"/>
  <c r="CF623" i="2"/>
  <c r="CE623" i="2"/>
  <c r="CD623" i="2"/>
  <c r="CC623" i="2"/>
  <c r="BZ623" i="2"/>
  <c r="BY623" i="2"/>
  <c r="BX623" i="2"/>
  <c r="BW623" i="2"/>
  <c r="H623" i="2"/>
  <c r="G623" i="2"/>
  <c r="F623" i="2"/>
  <c r="E623" i="2"/>
  <c r="D623" i="2"/>
  <c r="C623" i="2"/>
  <c r="B623" i="2"/>
  <c r="A623" i="2"/>
  <c r="CI622" i="2"/>
  <c r="CH622" i="2"/>
  <c r="CG622" i="2"/>
  <c r="CF622" i="2"/>
  <c r="CE622" i="2"/>
  <c r="CD622" i="2"/>
  <c r="CC622" i="2"/>
  <c r="BZ622" i="2"/>
  <c r="BY622" i="2"/>
  <c r="BX622" i="2"/>
  <c r="BW622" i="2"/>
  <c r="P622" i="2"/>
  <c r="G622" i="2"/>
  <c r="F622" i="2"/>
  <c r="E622" i="2"/>
  <c r="D622" i="2"/>
  <c r="C622" i="2"/>
  <c r="B622" i="2"/>
  <c r="A622" i="2"/>
  <c r="CI621" i="2"/>
  <c r="CH621" i="2"/>
  <c r="CG621" i="2"/>
  <c r="CF621" i="2"/>
  <c r="CE621" i="2"/>
  <c r="CD621" i="2"/>
  <c r="CC621" i="2"/>
  <c r="BZ621" i="2"/>
  <c r="BY621" i="2"/>
  <c r="BX621" i="2"/>
  <c r="BW621" i="2"/>
  <c r="T621" i="2"/>
  <c r="G621" i="2"/>
  <c r="F621" i="2"/>
  <c r="E621" i="2"/>
  <c r="D621" i="2"/>
  <c r="C621" i="2"/>
  <c r="B621" i="2"/>
  <c r="A621" i="2"/>
  <c r="CI620" i="2"/>
  <c r="CH620" i="2"/>
  <c r="CG620" i="2"/>
  <c r="CF620" i="2"/>
  <c r="CE620" i="2"/>
  <c r="CD620" i="2"/>
  <c r="CC620" i="2"/>
  <c r="BZ620" i="2"/>
  <c r="BY620" i="2"/>
  <c r="BX620" i="2"/>
  <c r="BW620" i="2"/>
  <c r="R620" i="2"/>
  <c r="G620" i="2"/>
  <c r="F620" i="2"/>
  <c r="E620" i="2"/>
  <c r="D620" i="2"/>
  <c r="C620" i="2"/>
  <c r="B620" i="2"/>
  <c r="A620" i="2"/>
  <c r="CI619" i="2"/>
  <c r="CH619" i="2"/>
  <c r="CG619" i="2"/>
  <c r="CF619" i="2"/>
  <c r="CE619" i="2"/>
  <c r="CD619" i="2"/>
  <c r="CC619" i="2"/>
  <c r="BZ619" i="2"/>
  <c r="BY619" i="2"/>
  <c r="BX619" i="2"/>
  <c r="BW619" i="2"/>
  <c r="H619" i="2"/>
  <c r="G619" i="2"/>
  <c r="F619" i="2"/>
  <c r="E619" i="2"/>
  <c r="D619" i="2"/>
  <c r="C619" i="2"/>
  <c r="B619" i="2"/>
  <c r="A619" i="2"/>
  <c r="CI618" i="2"/>
  <c r="CH618" i="2"/>
  <c r="CG618" i="2"/>
  <c r="CF618" i="2"/>
  <c r="CE618" i="2"/>
  <c r="CD618" i="2"/>
  <c r="CC618" i="2"/>
  <c r="BZ618" i="2"/>
  <c r="BY618" i="2"/>
  <c r="BX618" i="2"/>
  <c r="BW618" i="2"/>
  <c r="P618" i="2"/>
  <c r="G618" i="2"/>
  <c r="F618" i="2"/>
  <c r="E618" i="2"/>
  <c r="D618" i="2"/>
  <c r="C618" i="2"/>
  <c r="B618" i="2"/>
  <c r="A618" i="2"/>
  <c r="CI617" i="2"/>
  <c r="CH617" i="2"/>
  <c r="CG617" i="2"/>
  <c r="CF617" i="2"/>
  <c r="CE617" i="2"/>
  <c r="CD617" i="2"/>
  <c r="CC617" i="2"/>
  <c r="BZ617" i="2"/>
  <c r="BY617" i="2"/>
  <c r="BX617" i="2"/>
  <c r="BW617" i="2"/>
  <c r="BJ617" i="2"/>
  <c r="W617" i="2"/>
  <c r="G617" i="2"/>
  <c r="F617" i="2"/>
  <c r="E617" i="2"/>
  <c r="D617" i="2"/>
  <c r="C617" i="2"/>
  <c r="B617" i="2"/>
  <c r="A617" i="2"/>
  <c r="CI616" i="2"/>
  <c r="CH616" i="2"/>
  <c r="CG616" i="2"/>
  <c r="CF616" i="2"/>
  <c r="CE616" i="2"/>
  <c r="CD616" i="2"/>
  <c r="CC616" i="2"/>
  <c r="BZ616" i="2"/>
  <c r="BY616" i="2"/>
  <c r="BX616" i="2"/>
  <c r="BW616" i="2"/>
  <c r="U616" i="2"/>
  <c r="G616" i="2"/>
  <c r="F616" i="2"/>
  <c r="E616" i="2"/>
  <c r="D616" i="2"/>
  <c r="C616" i="2"/>
  <c r="B616" i="2"/>
  <c r="A616" i="2"/>
  <c r="CI615" i="2"/>
  <c r="CH615" i="2"/>
  <c r="CG615" i="2"/>
  <c r="CF615" i="2"/>
  <c r="CE615" i="2"/>
  <c r="CD615" i="2"/>
  <c r="CC615" i="2"/>
  <c r="BZ615" i="2"/>
  <c r="BY615" i="2"/>
  <c r="BX615" i="2"/>
  <c r="BW615" i="2"/>
  <c r="P615" i="2"/>
  <c r="G615" i="2"/>
  <c r="F615" i="2"/>
  <c r="E615" i="2"/>
  <c r="D615" i="2"/>
  <c r="C615" i="2"/>
  <c r="B615" i="2"/>
  <c r="A615" i="2"/>
  <c r="CI614" i="2"/>
  <c r="CH614" i="2"/>
  <c r="CG614" i="2"/>
  <c r="CF614" i="2"/>
  <c r="CE614" i="2"/>
  <c r="CD614" i="2"/>
  <c r="CC614" i="2"/>
  <c r="BZ614" i="2"/>
  <c r="BY614" i="2"/>
  <c r="BX614" i="2"/>
  <c r="BW614" i="2"/>
  <c r="M614" i="2"/>
  <c r="G614" i="2"/>
  <c r="F614" i="2"/>
  <c r="E614" i="2"/>
  <c r="D614" i="2"/>
  <c r="C614" i="2"/>
  <c r="B614" i="2"/>
  <c r="A614" i="2"/>
  <c r="CI613" i="2"/>
  <c r="CH613" i="2"/>
  <c r="CG613" i="2"/>
  <c r="CF613" i="2"/>
  <c r="CE613" i="2"/>
  <c r="CD613" i="2"/>
  <c r="CC613" i="2"/>
  <c r="BZ613" i="2"/>
  <c r="BY613" i="2"/>
  <c r="BX613" i="2"/>
  <c r="BW613" i="2"/>
  <c r="P613" i="2"/>
  <c r="G613" i="2"/>
  <c r="F613" i="2"/>
  <c r="E613" i="2"/>
  <c r="D613" i="2"/>
  <c r="C613" i="2"/>
  <c r="B613" i="2"/>
  <c r="A613" i="2"/>
  <c r="CI612" i="2"/>
  <c r="CH612" i="2"/>
  <c r="CG612" i="2"/>
  <c r="CF612" i="2"/>
  <c r="CE612" i="2"/>
  <c r="CD612" i="2"/>
  <c r="CC612" i="2"/>
  <c r="BZ612" i="2"/>
  <c r="BY612" i="2"/>
  <c r="BX612" i="2"/>
  <c r="BW612" i="2"/>
  <c r="V612" i="2"/>
  <c r="G612" i="2"/>
  <c r="F612" i="2"/>
  <c r="E612" i="2"/>
  <c r="D612" i="2"/>
  <c r="C612" i="2"/>
  <c r="B612" i="2"/>
  <c r="A612" i="2"/>
  <c r="CI611" i="2"/>
  <c r="CH611" i="2"/>
  <c r="CG611" i="2"/>
  <c r="CF611" i="2"/>
  <c r="CE611" i="2"/>
  <c r="CD611" i="2"/>
  <c r="CC611" i="2"/>
  <c r="BZ611" i="2"/>
  <c r="BY611" i="2"/>
  <c r="BX611" i="2"/>
  <c r="BW611" i="2"/>
  <c r="U611" i="2"/>
  <c r="G611" i="2"/>
  <c r="F611" i="2"/>
  <c r="E611" i="2"/>
  <c r="D611" i="2"/>
  <c r="C611" i="2"/>
  <c r="B611" i="2"/>
  <c r="A611" i="2"/>
  <c r="CI610" i="2"/>
  <c r="CH610" i="2"/>
  <c r="CG610" i="2"/>
  <c r="CF610" i="2"/>
  <c r="CE610" i="2"/>
  <c r="CD610" i="2"/>
  <c r="CC610" i="2"/>
  <c r="BZ610" i="2"/>
  <c r="BY610" i="2"/>
  <c r="BX610" i="2"/>
  <c r="BW610" i="2"/>
  <c r="R610" i="2"/>
  <c r="G610" i="2"/>
  <c r="F610" i="2"/>
  <c r="E610" i="2"/>
  <c r="D610" i="2"/>
  <c r="C610" i="2"/>
  <c r="B610" i="2"/>
  <c r="A610" i="2"/>
  <c r="CI609" i="2"/>
  <c r="CH609" i="2"/>
  <c r="CG609" i="2"/>
  <c r="CF609" i="2"/>
  <c r="CE609" i="2"/>
  <c r="CD609" i="2"/>
  <c r="CC609" i="2"/>
  <c r="BZ609" i="2"/>
  <c r="BY609" i="2"/>
  <c r="BX609" i="2"/>
  <c r="BW609" i="2"/>
  <c r="P609" i="2"/>
  <c r="G609" i="2"/>
  <c r="F609" i="2"/>
  <c r="D609" i="2"/>
  <c r="C609" i="2"/>
  <c r="B609" i="2"/>
  <c r="A609" i="2"/>
  <c r="CI608" i="2"/>
  <c r="CH608" i="2"/>
  <c r="CG608" i="2"/>
  <c r="CF608" i="2"/>
  <c r="CE608" i="2"/>
  <c r="CD608" i="2"/>
  <c r="CC608" i="2"/>
  <c r="BZ608" i="2"/>
  <c r="BY608" i="2"/>
  <c r="BX608" i="2"/>
  <c r="BW608" i="2"/>
  <c r="P608" i="2"/>
  <c r="G608" i="2"/>
  <c r="F608" i="2"/>
  <c r="E608" i="2"/>
  <c r="D608" i="2"/>
  <c r="C608" i="2"/>
  <c r="B608" i="2"/>
  <c r="A608" i="2"/>
  <c r="CI607" i="2"/>
  <c r="CH607" i="2"/>
  <c r="CG607" i="2"/>
  <c r="CF607" i="2"/>
  <c r="CE607" i="2"/>
  <c r="CD607" i="2"/>
  <c r="CC607" i="2"/>
  <c r="BZ607" i="2"/>
  <c r="BY607" i="2"/>
  <c r="BX607" i="2"/>
  <c r="BW607" i="2"/>
  <c r="G607" i="2"/>
  <c r="F607" i="2"/>
  <c r="E607" i="2"/>
  <c r="D607" i="2"/>
  <c r="C607" i="2"/>
  <c r="B607" i="2"/>
  <c r="A607" i="2"/>
  <c r="CG606" i="2"/>
  <c r="CF606" i="2"/>
  <c r="CE606" i="2"/>
  <c r="CD606" i="2"/>
  <c r="CC606" i="2"/>
  <c r="BZ606" i="2"/>
  <c r="BY606" i="2"/>
  <c r="BX606" i="2"/>
  <c r="BW606" i="2"/>
  <c r="U606" i="2"/>
  <c r="G606" i="2"/>
  <c r="F606" i="2"/>
  <c r="E606" i="2"/>
  <c r="D606" i="2"/>
  <c r="C606" i="2"/>
  <c r="B606" i="2"/>
  <c r="A606" i="2"/>
  <c r="CG605" i="2"/>
  <c r="CF605" i="2"/>
  <c r="CE605" i="2"/>
  <c r="CD605" i="2"/>
  <c r="CC605" i="2"/>
  <c r="BZ605" i="2"/>
  <c r="BY605" i="2"/>
  <c r="BX605" i="2"/>
  <c r="BW605" i="2"/>
  <c r="P605" i="2"/>
  <c r="G605" i="2"/>
  <c r="F605" i="2"/>
  <c r="E605" i="2"/>
  <c r="D605" i="2"/>
  <c r="C605" i="2"/>
  <c r="B605" i="2"/>
  <c r="A605" i="2"/>
  <c r="CG604" i="2"/>
  <c r="CF604" i="2"/>
  <c r="CE604" i="2"/>
  <c r="CD604" i="2"/>
  <c r="CC604" i="2"/>
  <c r="BZ604" i="2"/>
  <c r="BY604" i="2"/>
  <c r="BX604" i="2"/>
  <c r="BW604" i="2"/>
  <c r="S604" i="2"/>
  <c r="G604" i="2"/>
  <c r="F604" i="2"/>
  <c r="E604" i="2"/>
  <c r="D604" i="2"/>
  <c r="C604" i="2"/>
  <c r="B604" i="2"/>
  <c r="A604" i="2"/>
  <c r="CG603" i="2"/>
  <c r="CF603" i="2"/>
  <c r="CE603" i="2"/>
  <c r="CD603" i="2"/>
  <c r="CC603" i="2"/>
  <c r="BZ603" i="2"/>
  <c r="BY603" i="2"/>
  <c r="BX603" i="2"/>
  <c r="BW603" i="2"/>
  <c r="P603" i="2"/>
  <c r="G603" i="2"/>
  <c r="F603" i="2"/>
  <c r="E603" i="2"/>
  <c r="D603" i="2"/>
  <c r="C603" i="2"/>
  <c r="B603" i="2"/>
  <c r="A603" i="2"/>
  <c r="CG602" i="2"/>
  <c r="CF602" i="2"/>
  <c r="CE602" i="2"/>
  <c r="CD602" i="2"/>
  <c r="CC602" i="2"/>
  <c r="BZ602" i="2"/>
  <c r="BY602" i="2"/>
  <c r="BX602" i="2"/>
  <c r="BW602" i="2"/>
  <c r="P602" i="2"/>
  <c r="G602" i="2"/>
  <c r="F602" i="2"/>
  <c r="E602" i="2"/>
  <c r="D602" i="2"/>
  <c r="C602" i="2"/>
  <c r="B602" i="2"/>
  <c r="A602" i="2"/>
  <c r="CI601" i="2"/>
  <c r="CH601" i="2"/>
  <c r="CG601" i="2"/>
  <c r="CF601" i="2"/>
  <c r="CE601" i="2"/>
  <c r="CD601" i="2"/>
  <c r="CC601" i="2"/>
  <c r="BZ601" i="2"/>
  <c r="BY601" i="2"/>
  <c r="BX601" i="2"/>
  <c r="BW601" i="2"/>
  <c r="P601" i="2"/>
  <c r="G601" i="2"/>
  <c r="F601" i="2"/>
  <c r="E601" i="2"/>
  <c r="D601" i="2"/>
  <c r="C601" i="2"/>
  <c r="B601" i="2"/>
  <c r="A601" i="2"/>
  <c r="CI600" i="2"/>
  <c r="CH600" i="2"/>
  <c r="CG600" i="2"/>
  <c r="CF600" i="2"/>
  <c r="CE600" i="2"/>
  <c r="CD600" i="2"/>
  <c r="CC600" i="2"/>
  <c r="BZ600" i="2"/>
  <c r="BY600" i="2"/>
  <c r="BX600" i="2"/>
  <c r="BW600" i="2"/>
  <c r="BJ600" i="2"/>
  <c r="W600" i="2"/>
  <c r="G600" i="2"/>
  <c r="F600" i="2"/>
  <c r="E600" i="2"/>
  <c r="D600" i="2"/>
  <c r="C600" i="2"/>
  <c r="B600" i="2"/>
  <c r="A600" i="2"/>
  <c r="CI599" i="2"/>
  <c r="CH599" i="2"/>
  <c r="CG599" i="2"/>
  <c r="CF599" i="2"/>
  <c r="CE599" i="2"/>
  <c r="CD599" i="2"/>
  <c r="CC599" i="2"/>
  <c r="BZ599" i="2"/>
  <c r="BY599" i="2"/>
  <c r="BX599" i="2"/>
  <c r="BW599" i="2"/>
  <c r="M599" i="2"/>
  <c r="G599" i="2"/>
  <c r="F599" i="2"/>
  <c r="E599" i="2"/>
  <c r="D599" i="2"/>
  <c r="C599" i="2"/>
  <c r="B599" i="2"/>
  <c r="A599" i="2"/>
  <c r="CI598" i="2"/>
  <c r="CH598" i="2"/>
  <c r="CG598" i="2"/>
  <c r="CF598" i="2"/>
  <c r="CE598" i="2"/>
  <c r="CD598" i="2"/>
  <c r="CC598" i="2"/>
  <c r="BZ598" i="2"/>
  <c r="BY598" i="2"/>
  <c r="BX598" i="2"/>
  <c r="BW598" i="2"/>
  <c r="P598" i="2"/>
  <c r="G598" i="2"/>
  <c r="F598" i="2"/>
  <c r="E598" i="2"/>
  <c r="D598" i="2"/>
  <c r="C598" i="2"/>
  <c r="B598" i="2"/>
  <c r="A598" i="2"/>
  <c r="CI597" i="2"/>
  <c r="CH597" i="2"/>
  <c r="CG597" i="2"/>
  <c r="CF597" i="2"/>
  <c r="CE597" i="2"/>
  <c r="CD597" i="2"/>
  <c r="CC597" i="2"/>
  <c r="BZ597" i="2"/>
  <c r="BY597" i="2"/>
  <c r="BX597" i="2"/>
  <c r="BW597" i="2"/>
  <c r="L597" i="2"/>
  <c r="G597" i="2"/>
  <c r="F597" i="2"/>
  <c r="E597" i="2"/>
  <c r="C597" i="2"/>
  <c r="B597" i="2"/>
  <c r="A597" i="2"/>
  <c r="CI596" i="2"/>
  <c r="CH596" i="2"/>
  <c r="CG596" i="2"/>
  <c r="CF596" i="2"/>
  <c r="CE596" i="2"/>
  <c r="CD596" i="2"/>
  <c r="CC596" i="2"/>
  <c r="BZ596" i="2"/>
  <c r="BY596" i="2"/>
  <c r="BX596" i="2"/>
  <c r="BW596" i="2"/>
  <c r="L596" i="2"/>
  <c r="G596" i="2"/>
  <c r="F596" i="2"/>
  <c r="E596" i="2"/>
  <c r="D596" i="2"/>
  <c r="C596" i="2"/>
  <c r="B596" i="2"/>
  <c r="A596" i="2"/>
  <c r="CI595" i="2"/>
  <c r="CH595" i="2"/>
  <c r="CG595" i="2"/>
  <c r="CF595" i="2"/>
  <c r="CE595" i="2"/>
  <c r="CD595" i="2"/>
  <c r="CC595" i="2"/>
  <c r="BZ595" i="2"/>
  <c r="BY595" i="2"/>
  <c r="BX595" i="2"/>
  <c r="BW595" i="2"/>
  <c r="J595" i="2"/>
  <c r="G595" i="2"/>
  <c r="F595" i="2"/>
  <c r="D595" i="2"/>
  <c r="C595" i="2"/>
  <c r="B595" i="2"/>
  <c r="A595" i="2"/>
  <c r="CI594" i="2"/>
  <c r="CH594" i="2"/>
  <c r="CG594" i="2"/>
  <c r="CF594" i="2"/>
  <c r="CE594" i="2"/>
  <c r="CD594" i="2"/>
  <c r="CC594" i="2"/>
  <c r="BZ594" i="2"/>
  <c r="BY594" i="2"/>
  <c r="BX594" i="2"/>
  <c r="BW594" i="2"/>
  <c r="H594" i="2"/>
  <c r="G594" i="2"/>
  <c r="F594" i="2"/>
  <c r="E594" i="2"/>
  <c r="D594" i="2"/>
  <c r="C594" i="2"/>
  <c r="B594" i="2"/>
  <c r="A594" i="2"/>
  <c r="CI593" i="2"/>
  <c r="CH593" i="2"/>
  <c r="CG593" i="2"/>
  <c r="CF593" i="2"/>
  <c r="CE593" i="2"/>
  <c r="CD593" i="2"/>
  <c r="CC593" i="2"/>
  <c r="BZ593" i="2"/>
  <c r="BY593" i="2"/>
  <c r="BX593" i="2"/>
  <c r="BW593" i="2"/>
  <c r="U593" i="2"/>
  <c r="G593" i="2"/>
  <c r="F593" i="2"/>
  <c r="E593" i="2"/>
  <c r="D593" i="2"/>
  <c r="C593" i="2"/>
  <c r="B593" i="2"/>
  <c r="A593" i="2"/>
  <c r="CI592" i="2"/>
  <c r="CH592" i="2"/>
  <c r="CG592" i="2"/>
  <c r="CF592" i="2"/>
  <c r="CE592" i="2"/>
  <c r="CD592" i="2"/>
  <c r="CC592" i="2"/>
  <c r="BZ592" i="2"/>
  <c r="BY592" i="2"/>
  <c r="BX592" i="2"/>
  <c r="BW592" i="2"/>
  <c r="V592" i="2"/>
  <c r="G592" i="2"/>
  <c r="F592" i="2"/>
  <c r="E592" i="2"/>
  <c r="D592" i="2"/>
  <c r="C592" i="2"/>
  <c r="B592" i="2"/>
  <c r="A592" i="2"/>
  <c r="CI591" i="2"/>
  <c r="CH591" i="2"/>
  <c r="CG591" i="2"/>
  <c r="CF591" i="2"/>
  <c r="CE591" i="2"/>
  <c r="CD591" i="2"/>
  <c r="CC591" i="2"/>
  <c r="BZ591" i="2"/>
  <c r="BY591" i="2"/>
  <c r="BX591" i="2"/>
  <c r="BW591" i="2"/>
  <c r="G591" i="2"/>
  <c r="F591" i="2"/>
  <c r="E591" i="2"/>
  <c r="D591" i="2"/>
  <c r="C591" i="2"/>
  <c r="B591" i="2"/>
  <c r="A591" i="2"/>
  <c r="CI590" i="2"/>
  <c r="CH590" i="2"/>
  <c r="CG590" i="2"/>
  <c r="CF590" i="2"/>
  <c r="CE590" i="2"/>
  <c r="CD590" i="2"/>
  <c r="CC590" i="2"/>
  <c r="BZ590" i="2"/>
  <c r="BY590" i="2"/>
  <c r="BX590" i="2"/>
  <c r="BW590" i="2"/>
  <c r="H590" i="2"/>
  <c r="G590" i="2"/>
  <c r="F590" i="2"/>
  <c r="E590" i="2"/>
  <c r="D590" i="2"/>
  <c r="C590" i="2"/>
  <c r="B590" i="2"/>
  <c r="A590" i="2"/>
  <c r="CI589" i="2"/>
  <c r="CH589" i="2"/>
  <c r="CG589" i="2"/>
  <c r="CF589" i="2"/>
  <c r="CE589" i="2"/>
  <c r="CD589" i="2"/>
  <c r="CC589" i="2"/>
  <c r="BZ589" i="2"/>
  <c r="BY589" i="2"/>
  <c r="BX589" i="2"/>
  <c r="BW589" i="2"/>
  <c r="P589" i="2"/>
  <c r="G589" i="2"/>
  <c r="F589" i="2"/>
  <c r="E589" i="2"/>
  <c r="D589" i="2"/>
  <c r="C589" i="2"/>
  <c r="B589" i="2"/>
  <c r="A589" i="2"/>
  <c r="CI588" i="2"/>
  <c r="CH588" i="2"/>
  <c r="CG588" i="2"/>
  <c r="CF588" i="2"/>
  <c r="CE588" i="2"/>
  <c r="CD588" i="2"/>
  <c r="CC588" i="2"/>
  <c r="BZ588" i="2"/>
  <c r="BY588" i="2"/>
  <c r="BX588" i="2"/>
  <c r="BW588" i="2"/>
  <c r="P588" i="2"/>
  <c r="G588" i="2"/>
  <c r="F588" i="2"/>
  <c r="E588" i="2"/>
  <c r="D588" i="2"/>
  <c r="C588" i="2"/>
  <c r="B588" i="2"/>
  <c r="A588" i="2"/>
  <c r="CI587" i="2"/>
  <c r="CH587" i="2"/>
  <c r="CG587" i="2"/>
  <c r="CF587" i="2"/>
  <c r="CE587" i="2"/>
  <c r="CD587" i="2"/>
  <c r="CC587" i="2"/>
  <c r="BZ587" i="2"/>
  <c r="BY587" i="2"/>
  <c r="BX587" i="2"/>
  <c r="BW587" i="2"/>
  <c r="P587" i="2"/>
  <c r="G587" i="2"/>
  <c r="F587" i="2"/>
  <c r="E587" i="2"/>
  <c r="D587" i="2"/>
  <c r="C587" i="2"/>
  <c r="B587" i="2"/>
  <c r="A587" i="2"/>
  <c r="CI586" i="2"/>
  <c r="CH586" i="2"/>
  <c r="CG586" i="2"/>
  <c r="CF586" i="2"/>
  <c r="CE586" i="2"/>
  <c r="CD586" i="2"/>
  <c r="CC586" i="2"/>
  <c r="BZ586" i="2"/>
  <c r="BY586" i="2"/>
  <c r="BX586" i="2"/>
  <c r="BW586" i="2"/>
  <c r="H586" i="2"/>
  <c r="G586" i="2"/>
  <c r="F586" i="2"/>
  <c r="E586" i="2"/>
  <c r="D586" i="2"/>
  <c r="C586" i="2"/>
  <c r="B586" i="2"/>
  <c r="A586" i="2"/>
  <c r="CI585" i="2"/>
  <c r="CH585" i="2"/>
  <c r="CG585" i="2"/>
  <c r="CF585" i="2"/>
  <c r="CE585" i="2"/>
  <c r="CD585" i="2"/>
  <c r="CC585" i="2"/>
  <c r="BZ585" i="2"/>
  <c r="BY585" i="2"/>
  <c r="BX585" i="2"/>
  <c r="BW585" i="2"/>
  <c r="S585" i="2"/>
  <c r="G585" i="2"/>
  <c r="F585" i="2"/>
  <c r="E585" i="2"/>
  <c r="D585" i="2"/>
  <c r="C585" i="2"/>
  <c r="B585" i="2"/>
  <c r="A585" i="2"/>
  <c r="CI584" i="2"/>
  <c r="CH584" i="2"/>
  <c r="CG584" i="2"/>
  <c r="CF584" i="2"/>
  <c r="CE584" i="2"/>
  <c r="CD584" i="2"/>
  <c r="CC584" i="2"/>
  <c r="BZ584" i="2"/>
  <c r="BY584" i="2"/>
  <c r="BX584" i="2"/>
  <c r="BW584" i="2"/>
  <c r="P584" i="2"/>
  <c r="G584" i="2"/>
  <c r="F584" i="2"/>
  <c r="E584" i="2"/>
  <c r="D584" i="2"/>
  <c r="C584" i="2"/>
  <c r="B584" i="2"/>
  <c r="A584" i="2"/>
  <c r="CI583" i="2"/>
  <c r="CH583" i="2"/>
  <c r="CG583" i="2"/>
  <c r="CF583" i="2"/>
  <c r="CE583" i="2"/>
  <c r="CD583" i="2"/>
  <c r="CC583" i="2"/>
  <c r="BZ583" i="2"/>
  <c r="BY583" i="2"/>
  <c r="BX583" i="2"/>
  <c r="BW583" i="2"/>
  <c r="P583" i="2"/>
  <c r="G583" i="2"/>
  <c r="F583" i="2"/>
  <c r="E583" i="2"/>
  <c r="D583" i="2"/>
  <c r="C583" i="2"/>
  <c r="B583" i="2"/>
  <c r="A583" i="2"/>
  <c r="CI582" i="2"/>
  <c r="CH582" i="2"/>
  <c r="CG582" i="2"/>
  <c r="CF582" i="2"/>
  <c r="CE582" i="2"/>
  <c r="CD582" i="2"/>
  <c r="CC582" i="2"/>
  <c r="BZ582" i="2"/>
  <c r="BY582" i="2"/>
  <c r="BX582" i="2"/>
  <c r="BW582" i="2"/>
  <c r="R582" i="2"/>
  <c r="G582" i="2"/>
  <c r="F582" i="2"/>
  <c r="E582" i="2"/>
  <c r="D582" i="2"/>
  <c r="C582" i="2"/>
  <c r="B582" i="2"/>
  <c r="A582" i="2"/>
  <c r="CI581" i="2"/>
  <c r="CH581" i="2"/>
  <c r="CG581" i="2"/>
  <c r="CF581" i="2"/>
  <c r="CE581" i="2"/>
  <c r="CD581" i="2"/>
  <c r="CC581" i="2"/>
  <c r="BZ581" i="2"/>
  <c r="BY581" i="2"/>
  <c r="BX581" i="2"/>
  <c r="BW581" i="2"/>
  <c r="U581" i="2"/>
  <c r="G581" i="2"/>
  <c r="F581" i="2"/>
  <c r="E581" i="2"/>
  <c r="D581" i="2"/>
  <c r="C581" i="2"/>
  <c r="B581" i="2"/>
  <c r="A581" i="2"/>
  <c r="CI580" i="2"/>
  <c r="CH580" i="2"/>
  <c r="CG580" i="2"/>
  <c r="CF580" i="2"/>
  <c r="CE580" i="2"/>
  <c r="CD580" i="2"/>
  <c r="CC580" i="2"/>
  <c r="BZ580" i="2"/>
  <c r="BY580" i="2"/>
  <c r="BX580" i="2"/>
  <c r="BW580" i="2"/>
  <c r="L580" i="2"/>
  <c r="G580" i="2"/>
  <c r="F580" i="2"/>
  <c r="E580" i="2"/>
  <c r="D580" i="2"/>
  <c r="C580" i="2"/>
  <c r="B580" i="2"/>
  <c r="A580" i="2"/>
  <c r="CI579" i="2"/>
  <c r="CH579" i="2"/>
  <c r="CG579" i="2"/>
  <c r="CF579" i="2"/>
  <c r="CE579" i="2"/>
  <c r="CD579" i="2"/>
  <c r="CC579" i="2"/>
  <c r="BZ579" i="2"/>
  <c r="BY579" i="2"/>
  <c r="BX579" i="2"/>
  <c r="BW579" i="2"/>
  <c r="S579" i="2"/>
  <c r="G579" i="2"/>
  <c r="F579" i="2"/>
  <c r="E579" i="2"/>
  <c r="D579" i="2"/>
  <c r="C579" i="2"/>
  <c r="B579" i="2"/>
  <c r="A579" i="2"/>
  <c r="CI578" i="2"/>
  <c r="CH578" i="2"/>
  <c r="CG578" i="2"/>
  <c r="CF578" i="2"/>
  <c r="CE578" i="2"/>
  <c r="CD578" i="2"/>
  <c r="CC578" i="2"/>
  <c r="BZ578" i="2"/>
  <c r="BY578" i="2"/>
  <c r="BX578" i="2"/>
  <c r="BW578" i="2"/>
  <c r="P578" i="2"/>
  <c r="G578" i="2"/>
  <c r="F578" i="2"/>
  <c r="E578" i="2"/>
  <c r="D578" i="2"/>
  <c r="C578" i="2"/>
  <c r="B578" i="2"/>
  <c r="A578" i="2"/>
  <c r="CI577" i="2"/>
  <c r="CH577" i="2"/>
  <c r="CG577" i="2"/>
  <c r="CF577" i="2"/>
  <c r="CE577" i="2"/>
  <c r="CD577" i="2"/>
  <c r="CC577" i="2"/>
  <c r="BZ577" i="2"/>
  <c r="BY577" i="2"/>
  <c r="BX577" i="2"/>
  <c r="BW577" i="2"/>
  <c r="L577" i="2"/>
  <c r="G577" i="2"/>
  <c r="F577" i="2"/>
  <c r="E577" i="2"/>
  <c r="D577" i="2"/>
  <c r="C577" i="2"/>
  <c r="B577" i="2"/>
  <c r="A577" i="2"/>
  <c r="CI576" i="2"/>
  <c r="CH576" i="2"/>
  <c r="CG576" i="2"/>
  <c r="CF576" i="2"/>
  <c r="CE576" i="2"/>
  <c r="CD576" i="2"/>
  <c r="CC576" i="2"/>
  <c r="BZ576" i="2"/>
  <c r="BY576" i="2"/>
  <c r="BX576" i="2"/>
  <c r="BW576" i="2"/>
  <c r="L576" i="2"/>
  <c r="G576" i="2"/>
  <c r="F576" i="2"/>
  <c r="E576" i="2"/>
  <c r="D576" i="2"/>
  <c r="C576" i="2"/>
  <c r="B576" i="2"/>
  <c r="A576" i="2"/>
  <c r="CI575" i="2"/>
  <c r="CH575" i="2"/>
  <c r="CG575" i="2"/>
  <c r="CF575" i="2"/>
  <c r="CE575" i="2"/>
  <c r="CD575" i="2"/>
  <c r="CC575" i="2"/>
  <c r="BZ575" i="2"/>
  <c r="BY575" i="2"/>
  <c r="BX575" i="2"/>
  <c r="BW575" i="2"/>
  <c r="T575" i="2"/>
  <c r="G575" i="2"/>
  <c r="F575" i="2"/>
  <c r="E575" i="2"/>
  <c r="D575" i="2"/>
  <c r="C575" i="2"/>
  <c r="B575" i="2"/>
  <c r="A575" i="2"/>
  <c r="CI574" i="2"/>
  <c r="CH574" i="2"/>
  <c r="CG574" i="2"/>
  <c r="CF574" i="2"/>
  <c r="CE574" i="2"/>
  <c r="CD574" i="2"/>
  <c r="CC574" i="2"/>
  <c r="BZ574" i="2"/>
  <c r="BY574" i="2"/>
  <c r="BX574" i="2"/>
  <c r="BW574" i="2"/>
  <c r="G574" i="2"/>
  <c r="F574" i="2"/>
  <c r="E574" i="2"/>
  <c r="D574" i="2"/>
  <c r="C574" i="2"/>
  <c r="B574" i="2"/>
  <c r="A574" i="2"/>
  <c r="CI573" i="2"/>
  <c r="CH573" i="2"/>
  <c r="CG573" i="2"/>
  <c r="CF573" i="2"/>
  <c r="CE573" i="2"/>
  <c r="CD573" i="2"/>
  <c r="CC573" i="2"/>
  <c r="BZ573" i="2"/>
  <c r="BY573" i="2"/>
  <c r="BX573" i="2"/>
  <c r="BW573" i="2"/>
  <c r="T573" i="2"/>
  <c r="G573" i="2"/>
  <c r="F573" i="2"/>
  <c r="E573" i="2"/>
  <c r="D573" i="2"/>
  <c r="C573" i="2"/>
  <c r="B573" i="2"/>
  <c r="A573" i="2"/>
  <c r="CI572" i="2"/>
  <c r="CH572" i="2"/>
  <c r="CG572" i="2"/>
  <c r="CF572" i="2"/>
  <c r="CE572" i="2"/>
  <c r="CD572" i="2"/>
  <c r="CC572" i="2"/>
  <c r="BZ572" i="2"/>
  <c r="BY572" i="2"/>
  <c r="BX572" i="2"/>
  <c r="BW572" i="2"/>
  <c r="P572" i="2"/>
  <c r="G572" i="2"/>
  <c r="F572" i="2"/>
  <c r="E572" i="2"/>
  <c r="D572" i="2"/>
  <c r="C572" i="2"/>
  <c r="B572" i="2"/>
  <c r="A572" i="2"/>
  <c r="CI571" i="2"/>
  <c r="CH571" i="2"/>
  <c r="CG571" i="2"/>
  <c r="CF571" i="2"/>
  <c r="CE571" i="2"/>
  <c r="CD571" i="2"/>
  <c r="CC571" i="2"/>
  <c r="BZ571" i="2"/>
  <c r="BY571" i="2"/>
  <c r="BX571" i="2"/>
  <c r="BW571" i="2"/>
  <c r="U571" i="2"/>
  <c r="G571" i="2"/>
  <c r="F571" i="2"/>
  <c r="E571" i="2"/>
  <c r="D571" i="2"/>
  <c r="C571" i="2"/>
  <c r="B571" i="2"/>
  <c r="A571" i="2"/>
  <c r="CI570" i="2"/>
  <c r="CH570" i="2"/>
  <c r="CG570" i="2"/>
  <c r="CF570" i="2"/>
  <c r="CE570" i="2"/>
  <c r="CD570" i="2"/>
  <c r="CC570" i="2"/>
  <c r="BZ570" i="2"/>
  <c r="BY570" i="2"/>
  <c r="BX570" i="2"/>
  <c r="BW570" i="2"/>
  <c r="O570" i="2"/>
  <c r="G570" i="2"/>
  <c r="F570" i="2"/>
  <c r="E570" i="2"/>
  <c r="D570" i="2"/>
  <c r="C570" i="2"/>
  <c r="B570" i="2"/>
  <c r="A570" i="2"/>
  <c r="CI569" i="2"/>
  <c r="CH569" i="2"/>
  <c r="CG569" i="2"/>
  <c r="CF569" i="2"/>
  <c r="CE569" i="2"/>
  <c r="CD569" i="2"/>
  <c r="CC569" i="2"/>
  <c r="BZ569" i="2"/>
  <c r="BY569" i="2"/>
  <c r="BX569" i="2"/>
  <c r="BW569" i="2"/>
  <c r="U569" i="2"/>
  <c r="G569" i="2"/>
  <c r="F569" i="2"/>
  <c r="E569" i="2"/>
  <c r="D569" i="2"/>
  <c r="C569" i="2"/>
  <c r="B569" i="2"/>
  <c r="A569" i="2"/>
  <c r="CI568" i="2"/>
  <c r="CH568" i="2"/>
  <c r="CG568" i="2"/>
  <c r="CF568" i="2"/>
  <c r="CE568" i="2"/>
  <c r="CD568" i="2"/>
  <c r="CC568" i="2"/>
  <c r="BZ568" i="2"/>
  <c r="BY568" i="2"/>
  <c r="BX568" i="2"/>
  <c r="BW568" i="2"/>
  <c r="T568" i="2"/>
  <c r="G568" i="2"/>
  <c r="F568" i="2"/>
  <c r="E568" i="2"/>
  <c r="D568" i="2"/>
  <c r="C568" i="2"/>
  <c r="B568" i="2"/>
  <c r="A568" i="2"/>
  <c r="CI567" i="2"/>
  <c r="CH567" i="2"/>
  <c r="CG567" i="2"/>
  <c r="CF567" i="2"/>
  <c r="CE567" i="2"/>
  <c r="CD567" i="2"/>
  <c r="CC567" i="2"/>
  <c r="BZ567" i="2"/>
  <c r="BY567" i="2"/>
  <c r="BX567" i="2"/>
  <c r="BW567" i="2"/>
  <c r="T567" i="2"/>
  <c r="G567" i="2"/>
  <c r="F567" i="2"/>
  <c r="E567" i="2"/>
  <c r="D567" i="2"/>
  <c r="C567" i="2"/>
  <c r="B567" i="2"/>
  <c r="A567" i="2"/>
  <c r="CI566" i="2"/>
  <c r="CH566" i="2"/>
  <c r="CG566" i="2"/>
  <c r="CF566" i="2"/>
  <c r="CE566" i="2"/>
  <c r="CD566" i="2"/>
  <c r="CC566" i="2"/>
  <c r="BZ566" i="2"/>
  <c r="BY566" i="2"/>
  <c r="BX566" i="2"/>
  <c r="BW566" i="2"/>
  <c r="S566" i="2"/>
  <c r="G566" i="2"/>
  <c r="F566" i="2"/>
  <c r="E566" i="2"/>
  <c r="D566" i="2"/>
  <c r="C566" i="2"/>
  <c r="B566" i="2"/>
  <c r="A566" i="2"/>
  <c r="CI565" i="2"/>
  <c r="CH565" i="2"/>
  <c r="CG565" i="2"/>
  <c r="CF565" i="2"/>
  <c r="CE565" i="2"/>
  <c r="CD565" i="2"/>
  <c r="CC565" i="2"/>
  <c r="BZ565" i="2"/>
  <c r="BY565" i="2"/>
  <c r="BX565" i="2"/>
  <c r="BW565" i="2"/>
  <c r="S565" i="2"/>
  <c r="G565" i="2"/>
  <c r="F565" i="2"/>
  <c r="E565" i="2"/>
  <c r="D565" i="2"/>
  <c r="C565" i="2"/>
  <c r="B565" i="2"/>
  <c r="A565" i="2"/>
  <c r="CI564" i="2"/>
  <c r="CH564" i="2"/>
  <c r="CG564" i="2"/>
  <c r="CF564" i="2"/>
  <c r="CE564" i="2"/>
  <c r="CD564" i="2"/>
  <c r="CC564" i="2"/>
  <c r="BZ564" i="2"/>
  <c r="BY564" i="2"/>
  <c r="BX564" i="2"/>
  <c r="BW564" i="2"/>
  <c r="P564" i="2"/>
  <c r="G564" i="2"/>
  <c r="F564" i="2"/>
  <c r="E564" i="2"/>
  <c r="D564" i="2"/>
  <c r="C564" i="2"/>
  <c r="B564" i="2"/>
  <c r="A564" i="2"/>
  <c r="CI563" i="2"/>
  <c r="CH563" i="2"/>
  <c r="CG563" i="2"/>
  <c r="CF563" i="2"/>
  <c r="CE563" i="2"/>
  <c r="CD563" i="2"/>
  <c r="CC563" i="2"/>
  <c r="BZ563" i="2"/>
  <c r="BY563" i="2"/>
  <c r="BX563" i="2"/>
  <c r="BW563" i="2"/>
  <c r="S563" i="2"/>
  <c r="G563" i="2"/>
  <c r="F563" i="2"/>
  <c r="E563" i="2"/>
  <c r="D563" i="2"/>
  <c r="C563" i="2"/>
  <c r="B563" i="2"/>
  <c r="A563" i="2"/>
  <c r="CI562" i="2"/>
  <c r="CH562" i="2"/>
  <c r="CG562" i="2"/>
  <c r="CF562" i="2"/>
  <c r="CE562" i="2"/>
  <c r="CD562" i="2"/>
  <c r="CC562" i="2"/>
  <c r="BZ562" i="2"/>
  <c r="BY562" i="2"/>
  <c r="BX562" i="2"/>
  <c r="BW562" i="2"/>
  <c r="P562" i="2"/>
  <c r="G562" i="2"/>
  <c r="F562" i="2"/>
  <c r="E562" i="2"/>
  <c r="D562" i="2"/>
  <c r="C562" i="2"/>
  <c r="B562" i="2"/>
  <c r="A562" i="2"/>
  <c r="CI561" i="2"/>
  <c r="CH561" i="2"/>
  <c r="CG561" i="2"/>
  <c r="CF561" i="2"/>
  <c r="CE561" i="2"/>
  <c r="CD561" i="2"/>
  <c r="CC561" i="2"/>
  <c r="BZ561" i="2"/>
  <c r="BY561" i="2"/>
  <c r="BX561" i="2"/>
  <c r="BW561" i="2"/>
  <c r="P561" i="2"/>
  <c r="G561" i="2"/>
  <c r="F561" i="2"/>
  <c r="E561" i="2"/>
  <c r="D561" i="2"/>
  <c r="C561" i="2"/>
  <c r="B561" i="2"/>
  <c r="A561" i="2"/>
  <c r="CI560" i="2"/>
  <c r="CH560" i="2"/>
  <c r="CG560" i="2"/>
  <c r="CF560" i="2"/>
  <c r="CE560" i="2"/>
  <c r="CD560" i="2"/>
  <c r="CC560" i="2"/>
  <c r="BZ560" i="2"/>
  <c r="BY560" i="2"/>
  <c r="BX560" i="2"/>
  <c r="BW560" i="2"/>
  <c r="H560" i="2"/>
  <c r="G560" i="2"/>
  <c r="F560" i="2"/>
  <c r="E560" i="2"/>
  <c r="D560" i="2"/>
  <c r="C560" i="2"/>
  <c r="B560" i="2"/>
  <c r="A560" i="2"/>
  <c r="CI559" i="2"/>
  <c r="CH559" i="2"/>
  <c r="CG559" i="2"/>
  <c r="CF559" i="2"/>
  <c r="CE559" i="2"/>
  <c r="CD559" i="2"/>
  <c r="CC559" i="2"/>
  <c r="BZ559" i="2"/>
  <c r="BY559" i="2"/>
  <c r="BX559" i="2"/>
  <c r="BW559" i="2"/>
  <c r="S559" i="2"/>
  <c r="G559" i="2"/>
  <c r="F559" i="2"/>
  <c r="E559" i="2"/>
  <c r="D559" i="2"/>
  <c r="C559" i="2"/>
  <c r="B559" i="2"/>
  <c r="A559" i="2"/>
  <c r="CI558" i="2"/>
  <c r="CH558" i="2"/>
  <c r="CG558" i="2"/>
  <c r="CF558" i="2"/>
  <c r="CE558" i="2"/>
  <c r="CD558" i="2"/>
  <c r="CC558" i="2"/>
  <c r="BZ558" i="2"/>
  <c r="BY558" i="2"/>
  <c r="BX558" i="2"/>
  <c r="BW558" i="2"/>
  <c r="G558" i="2"/>
  <c r="F558" i="2"/>
  <c r="E558" i="2"/>
  <c r="D558" i="2"/>
  <c r="C558" i="2"/>
  <c r="B558" i="2"/>
  <c r="A558" i="2"/>
  <c r="CI557" i="2"/>
  <c r="CH557" i="2"/>
  <c r="CG557" i="2"/>
  <c r="CF557" i="2"/>
  <c r="CE557" i="2"/>
  <c r="CD557" i="2"/>
  <c r="CC557" i="2"/>
  <c r="BZ557" i="2"/>
  <c r="BY557" i="2"/>
  <c r="BX557" i="2"/>
  <c r="BW557" i="2"/>
  <c r="H557" i="2"/>
  <c r="G557" i="2"/>
  <c r="F557" i="2"/>
  <c r="E557" i="2"/>
  <c r="D557" i="2"/>
  <c r="C557" i="2"/>
  <c r="B557" i="2"/>
  <c r="A557" i="2"/>
  <c r="CI556" i="2"/>
  <c r="CH556" i="2"/>
  <c r="CG556" i="2"/>
  <c r="CF556" i="2"/>
  <c r="CE556" i="2"/>
  <c r="CD556" i="2"/>
  <c r="CC556" i="2"/>
  <c r="BZ556" i="2"/>
  <c r="BY556" i="2"/>
  <c r="BX556" i="2"/>
  <c r="BW556" i="2"/>
  <c r="U556" i="2"/>
  <c r="G556" i="2"/>
  <c r="F556" i="2"/>
  <c r="E556" i="2"/>
  <c r="D556" i="2"/>
  <c r="C556" i="2"/>
  <c r="B556" i="2"/>
  <c r="A556" i="2"/>
  <c r="CI555" i="2"/>
  <c r="CH555" i="2"/>
  <c r="CG555" i="2"/>
  <c r="CF555" i="2"/>
  <c r="CE555" i="2"/>
  <c r="CD555" i="2"/>
  <c r="CC555" i="2"/>
  <c r="BZ555" i="2"/>
  <c r="BY555" i="2"/>
  <c r="BX555" i="2"/>
  <c r="BW555" i="2"/>
  <c r="S555" i="2"/>
  <c r="G555" i="2"/>
  <c r="F555" i="2"/>
  <c r="E555" i="2"/>
  <c r="D555" i="2"/>
  <c r="C555" i="2"/>
  <c r="B555" i="2"/>
  <c r="A555" i="2"/>
  <c r="CI554" i="2"/>
  <c r="CH554" i="2"/>
  <c r="CG554" i="2"/>
  <c r="CF554" i="2"/>
  <c r="CE554" i="2"/>
  <c r="CD554" i="2"/>
  <c r="CC554" i="2"/>
  <c r="BZ554" i="2"/>
  <c r="BY554" i="2"/>
  <c r="BX554" i="2"/>
  <c r="BW554" i="2"/>
  <c r="H554" i="2"/>
  <c r="F554" i="2"/>
  <c r="E554" i="2"/>
  <c r="D554" i="2"/>
  <c r="C554" i="2"/>
  <c r="B554" i="2"/>
  <c r="A554" i="2"/>
  <c r="CI553" i="2"/>
  <c r="CH553" i="2"/>
  <c r="CG553" i="2"/>
  <c r="CF553" i="2"/>
  <c r="CE553" i="2"/>
  <c r="CD553" i="2"/>
  <c r="CC553" i="2"/>
  <c r="BZ553" i="2"/>
  <c r="BY553" i="2"/>
  <c r="BX553" i="2"/>
  <c r="BW553" i="2"/>
  <c r="S553" i="2"/>
  <c r="G553" i="2"/>
  <c r="F553" i="2"/>
  <c r="E553" i="2"/>
  <c r="D553" i="2"/>
  <c r="C553" i="2"/>
  <c r="B553" i="2"/>
  <c r="A553" i="2"/>
  <c r="CI552" i="2"/>
  <c r="CH552" i="2"/>
  <c r="CG552" i="2"/>
  <c r="CF552" i="2"/>
  <c r="CE552" i="2"/>
  <c r="CD552" i="2"/>
  <c r="CC552" i="2"/>
  <c r="BZ552" i="2"/>
  <c r="BY552" i="2"/>
  <c r="BX552" i="2"/>
  <c r="BW552" i="2"/>
  <c r="BI552" i="2"/>
  <c r="W552" i="2"/>
  <c r="G552" i="2"/>
  <c r="F552" i="2"/>
  <c r="E552" i="2"/>
  <c r="D552" i="2"/>
  <c r="C552" i="2"/>
  <c r="B552" i="2"/>
  <c r="A552" i="2"/>
  <c r="CI551" i="2"/>
  <c r="CH551" i="2"/>
  <c r="CG551" i="2"/>
  <c r="CF551" i="2"/>
  <c r="CE551" i="2"/>
  <c r="CD551" i="2"/>
  <c r="CC551" i="2"/>
  <c r="BZ551" i="2"/>
  <c r="BY551" i="2"/>
  <c r="BX551" i="2"/>
  <c r="BW551" i="2"/>
  <c r="G551" i="2"/>
  <c r="F551" i="2"/>
  <c r="E551" i="2"/>
  <c r="D551" i="2"/>
  <c r="C551" i="2"/>
  <c r="B551" i="2"/>
  <c r="A551" i="2"/>
  <c r="CI550" i="2"/>
  <c r="CH550" i="2"/>
  <c r="CG550" i="2"/>
  <c r="CF550" i="2"/>
  <c r="CE550" i="2"/>
  <c r="CD550" i="2"/>
  <c r="CC550" i="2"/>
  <c r="BZ550" i="2"/>
  <c r="BY550" i="2"/>
  <c r="BX550" i="2"/>
  <c r="BW550" i="2"/>
  <c r="Q550" i="2"/>
  <c r="G550" i="2"/>
  <c r="F550" i="2"/>
  <c r="E550" i="2"/>
  <c r="D550" i="2"/>
  <c r="C550" i="2"/>
  <c r="B550" i="2"/>
  <c r="A550" i="2"/>
  <c r="CI549" i="2"/>
  <c r="CH549" i="2"/>
  <c r="CG549" i="2"/>
  <c r="CF549" i="2"/>
  <c r="CE549" i="2"/>
  <c r="CD549" i="2"/>
  <c r="CC549" i="2"/>
  <c r="BZ549" i="2"/>
  <c r="BY549" i="2"/>
  <c r="BX549" i="2"/>
  <c r="BW549" i="2"/>
  <c r="P549" i="2"/>
  <c r="G549" i="2"/>
  <c r="F549" i="2"/>
  <c r="E549" i="2"/>
  <c r="D549" i="2"/>
  <c r="C549" i="2"/>
  <c r="B549" i="2"/>
  <c r="A549" i="2"/>
  <c r="CI548" i="2"/>
  <c r="CH548" i="2"/>
  <c r="CG548" i="2"/>
  <c r="CF548" i="2"/>
  <c r="CE548" i="2"/>
  <c r="CD548" i="2"/>
  <c r="CC548" i="2"/>
  <c r="BZ548" i="2"/>
  <c r="BY548" i="2"/>
  <c r="BX548" i="2"/>
  <c r="BW548" i="2"/>
  <c r="R548" i="2"/>
  <c r="G548" i="2"/>
  <c r="F548" i="2"/>
  <c r="E548" i="2"/>
  <c r="D548" i="2"/>
  <c r="C548" i="2"/>
  <c r="B548" i="2"/>
  <c r="A548" i="2"/>
  <c r="CI547" i="2"/>
  <c r="CH547" i="2"/>
  <c r="CG547" i="2"/>
  <c r="CF547" i="2"/>
  <c r="CE547" i="2"/>
  <c r="CD547" i="2"/>
  <c r="CC547" i="2"/>
  <c r="BZ547" i="2"/>
  <c r="BY547" i="2"/>
  <c r="BX547" i="2"/>
  <c r="BW547" i="2"/>
  <c r="P547" i="2"/>
  <c r="G547" i="2"/>
  <c r="F547" i="2"/>
  <c r="E547" i="2"/>
  <c r="D547" i="2"/>
  <c r="C547" i="2"/>
  <c r="B547" i="2"/>
  <c r="A547" i="2"/>
  <c r="CI546" i="2"/>
  <c r="CH546" i="2"/>
  <c r="CG546" i="2"/>
  <c r="CF546" i="2"/>
  <c r="CE546" i="2"/>
  <c r="CD546" i="2"/>
  <c r="CC546" i="2"/>
  <c r="BZ546" i="2"/>
  <c r="BY546" i="2"/>
  <c r="BX546" i="2"/>
  <c r="BW546" i="2"/>
  <c r="P546" i="2"/>
  <c r="G546" i="2"/>
  <c r="F546" i="2"/>
  <c r="E546" i="2"/>
  <c r="D546" i="2"/>
  <c r="C546" i="2"/>
  <c r="B546" i="2"/>
  <c r="A546" i="2"/>
  <c r="CI545" i="2"/>
  <c r="CH545" i="2"/>
  <c r="CG545" i="2"/>
  <c r="CF545" i="2"/>
  <c r="CE545" i="2"/>
  <c r="CD545" i="2"/>
  <c r="CC545" i="2"/>
  <c r="BZ545" i="2"/>
  <c r="BY545" i="2"/>
  <c r="BX545" i="2"/>
  <c r="BW545" i="2"/>
  <c r="U545" i="2"/>
  <c r="G545" i="2"/>
  <c r="F545" i="2"/>
  <c r="E545" i="2"/>
  <c r="D545" i="2"/>
  <c r="C545" i="2"/>
  <c r="B545" i="2"/>
  <c r="A545" i="2"/>
  <c r="CI544" i="2"/>
  <c r="CH544" i="2"/>
  <c r="CG544" i="2"/>
  <c r="CF544" i="2"/>
  <c r="CE544" i="2"/>
  <c r="CD544" i="2"/>
  <c r="CC544" i="2"/>
  <c r="BZ544" i="2"/>
  <c r="BY544" i="2"/>
  <c r="BX544" i="2"/>
  <c r="BW544" i="2"/>
  <c r="G544" i="2"/>
  <c r="F544" i="2"/>
  <c r="E544" i="2"/>
  <c r="D544" i="2"/>
  <c r="C544" i="2"/>
  <c r="B544" i="2"/>
  <c r="A544" i="2"/>
  <c r="CI543" i="2"/>
  <c r="CH543" i="2"/>
  <c r="CG543" i="2"/>
  <c r="CF543" i="2"/>
  <c r="CE543" i="2"/>
  <c r="CD543" i="2"/>
  <c r="CC543" i="2"/>
  <c r="BZ543" i="2"/>
  <c r="BY543" i="2"/>
  <c r="BX543" i="2"/>
  <c r="BW543" i="2"/>
  <c r="S543" i="2"/>
  <c r="G543" i="2"/>
  <c r="F543" i="2"/>
  <c r="E543" i="2"/>
  <c r="D543" i="2"/>
  <c r="C543" i="2"/>
  <c r="B543" i="2"/>
  <c r="A543" i="2"/>
  <c r="CI542" i="2"/>
  <c r="CH542" i="2"/>
  <c r="CG542" i="2"/>
  <c r="CF542" i="2"/>
  <c r="CE542" i="2"/>
  <c r="CD542" i="2"/>
  <c r="CC542" i="2"/>
  <c r="BZ542" i="2"/>
  <c r="BY542" i="2"/>
  <c r="BX542" i="2"/>
  <c r="BW542" i="2"/>
  <c r="S542" i="2"/>
  <c r="G542" i="2"/>
  <c r="F542" i="2"/>
  <c r="E542" i="2"/>
  <c r="D542" i="2"/>
  <c r="C542" i="2"/>
  <c r="B542" i="2"/>
  <c r="A542" i="2"/>
  <c r="CI541" i="2"/>
  <c r="CH541" i="2"/>
  <c r="CG541" i="2"/>
  <c r="CF541" i="2"/>
  <c r="CE541" i="2"/>
  <c r="CD541" i="2"/>
  <c r="CC541" i="2"/>
  <c r="BZ541" i="2"/>
  <c r="BY541" i="2"/>
  <c r="BX541" i="2"/>
  <c r="BW541" i="2"/>
  <c r="P541" i="2"/>
  <c r="G541" i="2"/>
  <c r="F541" i="2"/>
  <c r="E541" i="2"/>
  <c r="D541" i="2"/>
  <c r="C541" i="2"/>
  <c r="B541" i="2"/>
  <c r="A541" i="2"/>
  <c r="CI540" i="2"/>
  <c r="CH540" i="2"/>
  <c r="CG540" i="2"/>
  <c r="CF540" i="2"/>
  <c r="CE540" i="2"/>
  <c r="CD540" i="2"/>
  <c r="CC540" i="2"/>
  <c r="BZ540" i="2"/>
  <c r="BY540" i="2"/>
  <c r="BX540" i="2"/>
  <c r="BW540" i="2"/>
  <c r="U540" i="2"/>
  <c r="G540" i="2"/>
  <c r="F540" i="2"/>
  <c r="E540" i="2"/>
  <c r="D540" i="2"/>
  <c r="C540" i="2"/>
  <c r="B540" i="2"/>
  <c r="A540" i="2"/>
  <c r="CI539" i="2"/>
  <c r="CH539" i="2"/>
  <c r="CG539" i="2"/>
  <c r="CF539" i="2"/>
  <c r="CE539" i="2"/>
  <c r="CD539" i="2"/>
  <c r="CC539" i="2"/>
  <c r="BZ539" i="2"/>
  <c r="BY539" i="2"/>
  <c r="BX539" i="2"/>
  <c r="BW539" i="2"/>
  <c r="H539" i="2"/>
  <c r="G539" i="2"/>
  <c r="F539" i="2"/>
  <c r="E539" i="2"/>
  <c r="D539" i="2"/>
  <c r="C539" i="2"/>
  <c r="B539" i="2"/>
  <c r="A539" i="2"/>
  <c r="CI538" i="2"/>
  <c r="CH538" i="2"/>
  <c r="CG538" i="2"/>
  <c r="CF538" i="2"/>
  <c r="CE538" i="2"/>
  <c r="CD538" i="2"/>
  <c r="CC538" i="2"/>
  <c r="BZ538" i="2"/>
  <c r="BY538" i="2"/>
  <c r="BX538" i="2"/>
  <c r="BW538" i="2"/>
  <c r="G538" i="2"/>
  <c r="F538" i="2"/>
  <c r="E538" i="2"/>
  <c r="D538" i="2"/>
  <c r="C538" i="2"/>
  <c r="B538" i="2"/>
  <c r="A538" i="2"/>
  <c r="CI537" i="2"/>
  <c r="CH537" i="2"/>
  <c r="CG537" i="2"/>
  <c r="CF537" i="2"/>
  <c r="CE537" i="2"/>
  <c r="CD537" i="2"/>
  <c r="CC537" i="2"/>
  <c r="BZ537" i="2"/>
  <c r="BY537" i="2"/>
  <c r="BX537" i="2"/>
  <c r="BW537" i="2"/>
  <c r="S537" i="2"/>
  <c r="G537" i="2"/>
  <c r="F537" i="2"/>
  <c r="E537" i="2"/>
  <c r="D537" i="2"/>
  <c r="C537" i="2"/>
  <c r="B537" i="2"/>
  <c r="A537" i="2"/>
  <c r="CI536" i="2"/>
  <c r="CH536" i="2"/>
  <c r="CG536" i="2"/>
  <c r="CF536" i="2"/>
  <c r="CE536" i="2"/>
  <c r="CD536" i="2"/>
  <c r="CC536" i="2"/>
  <c r="BZ536" i="2"/>
  <c r="BY536" i="2"/>
  <c r="BX536" i="2"/>
  <c r="BW536" i="2"/>
  <c r="U536" i="2"/>
  <c r="G536" i="2"/>
  <c r="F536" i="2"/>
  <c r="E536" i="2"/>
  <c r="D536" i="2"/>
  <c r="C536" i="2"/>
  <c r="B536" i="2"/>
  <c r="A536" i="2"/>
  <c r="CI535" i="2"/>
  <c r="CH535" i="2"/>
  <c r="CG535" i="2"/>
  <c r="CF535" i="2"/>
  <c r="CE535" i="2"/>
  <c r="CD535" i="2"/>
  <c r="CC535" i="2"/>
  <c r="BZ535" i="2"/>
  <c r="BY535" i="2"/>
  <c r="BX535" i="2"/>
  <c r="BW535" i="2"/>
  <c r="P535" i="2"/>
  <c r="G535" i="2"/>
  <c r="F535" i="2"/>
  <c r="E535" i="2"/>
  <c r="D535" i="2"/>
  <c r="C535" i="2"/>
  <c r="B535" i="2"/>
  <c r="A535" i="2"/>
  <c r="CI534" i="2"/>
  <c r="CH534" i="2"/>
  <c r="CG534" i="2"/>
  <c r="CF534" i="2"/>
  <c r="CE534" i="2"/>
  <c r="CD534" i="2"/>
  <c r="CC534" i="2"/>
  <c r="BZ534" i="2"/>
  <c r="BY534" i="2"/>
  <c r="BX534" i="2"/>
  <c r="BW534" i="2"/>
  <c r="S534" i="2"/>
  <c r="G534" i="2"/>
  <c r="F534" i="2"/>
  <c r="E534" i="2"/>
  <c r="D534" i="2"/>
  <c r="C534" i="2"/>
  <c r="B534" i="2"/>
  <c r="A534" i="2"/>
  <c r="CI533" i="2"/>
  <c r="CH533" i="2"/>
  <c r="CG533" i="2"/>
  <c r="CF533" i="2"/>
  <c r="CE533" i="2"/>
  <c r="CD533" i="2"/>
  <c r="CC533" i="2"/>
  <c r="BZ533" i="2"/>
  <c r="BY533" i="2"/>
  <c r="BX533" i="2"/>
  <c r="BW533" i="2"/>
  <c r="H533" i="2"/>
  <c r="F533" i="2"/>
  <c r="E533" i="2"/>
  <c r="D533" i="2"/>
  <c r="C533" i="2"/>
  <c r="B533" i="2"/>
  <c r="A533" i="2"/>
  <c r="CI532" i="2"/>
  <c r="CH532" i="2"/>
  <c r="CG532" i="2"/>
  <c r="CF532" i="2"/>
  <c r="CE532" i="2"/>
  <c r="CD532" i="2"/>
  <c r="CC532" i="2"/>
  <c r="BZ532" i="2"/>
  <c r="BY532" i="2"/>
  <c r="BX532" i="2"/>
  <c r="BW532" i="2"/>
  <c r="P532" i="2"/>
  <c r="G532" i="2"/>
  <c r="F532" i="2"/>
  <c r="E532" i="2"/>
  <c r="D532" i="2"/>
  <c r="C532" i="2"/>
  <c r="B532" i="2"/>
  <c r="A532" i="2"/>
  <c r="CI531" i="2"/>
  <c r="CH531" i="2"/>
  <c r="CG531" i="2"/>
  <c r="CF531" i="2"/>
  <c r="CE531" i="2"/>
  <c r="CD531" i="2"/>
  <c r="CC531" i="2"/>
  <c r="BZ531" i="2"/>
  <c r="BY531" i="2"/>
  <c r="BX531" i="2"/>
  <c r="BW531" i="2"/>
  <c r="P531" i="2"/>
  <c r="G531" i="2"/>
  <c r="F531" i="2"/>
  <c r="E531" i="2"/>
  <c r="D531" i="2"/>
  <c r="C531" i="2"/>
  <c r="B531" i="2"/>
  <c r="A531" i="2"/>
  <c r="CI530" i="2"/>
  <c r="CH530" i="2"/>
  <c r="CG530" i="2"/>
  <c r="CF530" i="2"/>
  <c r="CE530" i="2"/>
  <c r="CD530" i="2"/>
  <c r="CC530" i="2"/>
  <c r="BZ530" i="2"/>
  <c r="BY530" i="2"/>
  <c r="BX530" i="2"/>
  <c r="BW530" i="2"/>
  <c r="S530" i="2"/>
  <c r="G530" i="2"/>
  <c r="F530" i="2"/>
  <c r="E530" i="2"/>
  <c r="D530" i="2"/>
  <c r="C530" i="2"/>
  <c r="B530" i="2"/>
  <c r="A530" i="2"/>
  <c r="CI529" i="2"/>
  <c r="CH529" i="2"/>
  <c r="CG529" i="2"/>
  <c r="CF529" i="2"/>
  <c r="CE529" i="2"/>
  <c r="CD529" i="2"/>
  <c r="CC529" i="2"/>
  <c r="BZ529" i="2"/>
  <c r="BY529" i="2"/>
  <c r="BX529" i="2"/>
  <c r="BW529" i="2"/>
  <c r="P529" i="2"/>
  <c r="G529" i="2"/>
  <c r="F529" i="2"/>
  <c r="E529" i="2"/>
  <c r="D529" i="2"/>
  <c r="C529" i="2"/>
  <c r="B529" i="2"/>
  <c r="A529" i="2"/>
  <c r="CI528" i="2"/>
  <c r="CH528" i="2"/>
  <c r="CG528" i="2"/>
  <c r="CF528" i="2"/>
  <c r="CE528" i="2"/>
  <c r="CD528" i="2"/>
  <c r="CC528" i="2"/>
  <c r="BZ528" i="2"/>
  <c r="BY528" i="2"/>
  <c r="BX528" i="2"/>
  <c r="BW528" i="2"/>
  <c r="U528" i="2"/>
  <c r="G528" i="2"/>
  <c r="F528" i="2"/>
  <c r="E528" i="2"/>
  <c r="D528" i="2"/>
  <c r="C528" i="2"/>
  <c r="B528" i="2"/>
  <c r="A528" i="2"/>
  <c r="CI527" i="2"/>
  <c r="CH527" i="2"/>
  <c r="CG527" i="2"/>
  <c r="CF527" i="2"/>
  <c r="CE527" i="2"/>
  <c r="CD527" i="2"/>
  <c r="CC527" i="2"/>
  <c r="BZ527" i="2"/>
  <c r="BY527" i="2"/>
  <c r="BX527" i="2"/>
  <c r="BW527" i="2"/>
  <c r="S527" i="2"/>
  <c r="G527" i="2"/>
  <c r="F527" i="2"/>
  <c r="E527" i="2"/>
  <c r="D527" i="2"/>
  <c r="C527" i="2"/>
  <c r="B527" i="2"/>
  <c r="A527" i="2"/>
  <c r="CI526" i="2"/>
  <c r="CH526" i="2"/>
  <c r="CG526" i="2"/>
  <c r="CF526" i="2"/>
  <c r="CE526" i="2"/>
  <c r="CD526" i="2"/>
  <c r="CC526" i="2"/>
  <c r="BZ526" i="2"/>
  <c r="BY526" i="2"/>
  <c r="BX526" i="2"/>
  <c r="BW526" i="2"/>
  <c r="S526" i="2"/>
  <c r="G526" i="2"/>
  <c r="F526" i="2"/>
  <c r="E526" i="2"/>
  <c r="D526" i="2"/>
  <c r="C526" i="2"/>
  <c r="B526" i="2"/>
  <c r="A526" i="2"/>
  <c r="CI525" i="2"/>
  <c r="CH525" i="2"/>
  <c r="CG525" i="2"/>
  <c r="CF525" i="2"/>
  <c r="CE525" i="2"/>
  <c r="CD525" i="2"/>
  <c r="CC525" i="2"/>
  <c r="BZ525" i="2"/>
  <c r="BY525" i="2"/>
  <c r="BX525" i="2"/>
  <c r="BW525" i="2"/>
  <c r="L525" i="2"/>
  <c r="G525" i="2"/>
  <c r="F525" i="2"/>
  <c r="E525" i="2"/>
  <c r="D525" i="2"/>
  <c r="C525" i="2"/>
  <c r="B525" i="2"/>
  <c r="A525" i="2"/>
  <c r="CI524" i="2"/>
  <c r="CH524" i="2"/>
  <c r="CG524" i="2"/>
  <c r="CF524" i="2"/>
  <c r="CE524" i="2"/>
  <c r="CD524" i="2"/>
  <c r="CC524" i="2"/>
  <c r="BZ524" i="2"/>
  <c r="BY524" i="2"/>
  <c r="BX524" i="2"/>
  <c r="BW524" i="2"/>
  <c r="P524" i="2"/>
  <c r="G524" i="2"/>
  <c r="F524" i="2"/>
  <c r="E524" i="2"/>
  <c r="D524" i="2"/>
  <c r="C524" i="2"/>
  <c r="B524" i="2"/>
  <c r="A524" i="2"/>
  <c r="CI523" i="2"/>
  <c r="CH523" i="2"/>
  <c r="CG523" i="2"/>
  <c r="CF523" i="2"/>
  <c r="CE523" i="2"/>
  <c r="CD523" i="2"/>
  <c r="CC523" i="2"/>
  <c r="BZ523" i="2"/>
  <c r="BY523" i="2"/>
  <c r="BX523" i="2"/>
  <c r="BW523" i="2"/>
  <c r="R523" i="2"/>
  <c r="G523" i="2"/>
  <c r="F523" i="2"/>
  <c r="E523" i="2"/>
  <c r="D523" i="2"/>
  <c r="C523" i="2"/>
  <c r="B523" i="2"/>
  <c r="A523" i="2"/>
  <c r="CI522" i="2"/>
  <c r="CH522" i="2"/>
  <c r="CG522" i="2"/>
  <c r="CF522" i="2"/>
  <c r="CE522" i="2"/>
  <c r="CD522" i="2"/>
  <c r="CC522" i="2"/>
  <c r="BZ522" i="2"/>
  <c r="BY522" i="2"/>
  <c r="BX522" i="2"/>
  <c r="BW522" i="2"/>
  <c r="H522" i="2"/>
  <c r="G522" i="2"/>
  <c r="F522" i="2"/>
  <c r="E522" i="2"/>
  <c r="D522" i="2"/>
  <c r="C522" i="2"/>
  <c r="B522" i="2"/>
  <c r="A522" i="2"/>
  <c r="CI521" i="2"/>
  <c r="CH521" i="2"/>
  <c r="CG521" i="2"/>
  <c r="CF521" i="2"/>
  <c r="CE521" i="2"/>
  <c r="CD521" i="2"/>
  <c r="CC521" i="2"/>
  <c r="BZ521" i="2"/>
  <c r="BY521" i="2"/>
  <c r="BX521" i="2"/>
  <c r="BW521" i="2"/>
  <c r="P521" i="2"/>
  <c r="G521" i="2"/>
  <c r="F521" i="2"/>
  <c r="E521" i="2"/>
  <c r="D521" i="2"/>
  <c r="C521" i="2"/>
  <c r="B521" i="2"/>
  <c r="A521" i="2"/>
  <c r="CI520" i="2"/>
  <c r="CH520" i="2"/>
  <c r="CG520" i="2"/>
  <c r="CF520" i="2"/>
  <c r="CE520" i="2"/>
  <c r="CD520" i="2"/>
  <c r="CC520" i="2"/>
  <c r="BZ520" i="2"/>
  <c r="BY520" i="2"/>
  <c r="BX520" i="2"/>
  <c r="BW520" i="2"/>
  <c r="R520" i="2"/>
  <c r="G520" i="2"/>
  <c r="F520" i="2"/>
  <c r="E520" i="2"/>
  <c r="D520" i="2"/>
  <c r="C520" i="2"/>
  <c r="B520" i="2"/>
  <c r="A520" i="2"/>
  <c r="CI519" i="2"/>
  <c r="CH519" i="2"/>
  <c r="CG519" i="2"/>
  <c r="CF519" i="2"/>
  <c r="CE519" i="2"/>
  <c r="CD519" i="2"/>
  <c r="CC519" i="2"/>
  <c r="BZ519" i="2"/>
  <c r="BY519" i="2"/>
  <c r="BX519" i="2"/>
  <c r="BW519" i="2"/>
  <c r="S519" i="2"/>
  <c r="G519" i="2"/>
  <c r="E519" i="2"/>
  <c r="D519" i="2"/>
  <c r="C519" i="2"/>
  <c r="B519" i="2"/>
  <c r="A519" i="2"/>
  <c r="CI518" i="2"/>
  <c r="CH518" i="2"/>
  <c r="CG518" i="2"/>
  <c r="CF518" i="2"/>
  <c r="CE518" i="2"/>
  <c r="CD518" i="2"/>
  <c r="CC518" i="2"/>
  <c r="BZ518" i="2"/>
  <c r="BY518" i="2"/>
  <c r="BX518" i="2"/>
  <c r="BW518" i="2"/>
  <c r="P518" i="2"/>
  <c r="G518" i="2"/>
  <c r="F518" i="2"/>
  <c r="E518" i="2"/>
  <c r="D518" i="2"/>
  <c r="C518" i="2"/>
  <c r="B518" i="2"/>
  <c r="A518" i="2"/>
  <c r="CI517" i="2"/>
  <c r="CH517" i="2"/>
  <c r="CG517" i="2"/>
  <c r="CF517" i="2"/>
  <c r="CE517" i="2"/>
  <c r="CD517" i="2"/>
  <c r="CC517" i="2"/>
  <c r="BZ517" i="2"/>
  <c r="BY517" i="2"/>
  <c r="BX517" i="2"/>
  <c r="BW517" i="2"/>
  <c r="H517" i="2"/>
  <c r="F517" i="2"/>
  <c r="E517" i="2"/>
  <c r="D517" i="2"/>
  <c r="C517" i="2"/>
  <c r="B517" i="2"/>
  <c r="A517" i="2"/>
  <c r="CI516" i="2"/>
  <c r="CH516" i="2"/>
  <c r="CG516" i="2"/>
  <c r="CF516" i="2"/>
  <c r="CE516" i="2"/>
  <c r="CD516" i="2"/>
  <c r="CC516" i="2"/>
  <c r="BZ516" i="2"/>
  <c r="BY516" i="2"/>
  <c r="BX516" i="2"/>
  <c r="BW516" i="2"/>
  <c r="R516" i="2"/>
  <c r="G516" i="2"/>
  <c r="F516" i="2"/>
  <c r="E516" i="2"/>
  <c r="D516" i="2"/>
  <c r="C516" i="2"/>
  <c r="B516" i="2"/>
  <c r="A516" i="2"/>
  <c r="CI515" i="2"/>
  <c r="CH515" i="2"/>
  <c r="CG515" i="2"/>
  <c r="CF515" i="2"/>
  <c r="CE515" i="2"/>
  <c r="CD515" i="2"/>
  <c r="CC515" i="2"/>
  <c r="BZ515" i="2"/>
  <c r="BY515" i="2"/>
  <c r="BX515" i="2"/>
  <c r="BW515" i="2"/>
  <c r="P515" i="2"/>
  <c r="G515" i="2"/>
  <c r="F515" i="2"/>
  <c r="E515" i="2"/>
  <c r="D515" i="2"/>
  <c r="C515" i="2"/>
  <c r="B515" i="2"/>
  <c r="A515" i="2"/>
  <c r="CI514" i="2"/>
  <c r="CH514" i="2"/>
  <c r="CG514" i="2"/>
  <c r="CF514" i="2"/>
  <c r="CE514" i="2"/>
  <c r="CD514" i="2"/>
  <c r="CC514" i="2"/>
  <c r="BZ514" i="2"/>
  <c r="BY514" i="2"/>
  <c r="BX514" i="2"/>
  <c r="BW514" i="2"/>
  <c r="P514" i="2"/>
  <c r="G514" i="2"/>
  <c r="F514" i="2"/>
  <c r="E514" i="2"/>
  <c r="D514" i="2"/>
  <c r="C514" i="2"/>
  <c r="B514" i="2"/>
  <c r="A514" i="2"/>
  <c r="CI513" i="2"/>
  <c r="CH513" i="2"/>
  <c r="CG513" i="2"/>
  <c r="CF513" i="2"/>
  <c r="CE513" i="2"/>
  <c r="CD513" i="2"/>
  <c r="CC513" i="2"/>
  <c r="BZ513" i="2"/>
  <c r="BY513" i="2"/>
  <c r="BX513" i="2"/>
  <c r="BW513" i="2"/>
  <c r="P513" i="2"/>
  <c r="G513" i="2"/>
  <c r="F513" i="2"/>
  <c r="E513" i="2"/>
  <c r="D513" i="2"/>
  <c r="C513" i="2"/>
  <c r="B513" i="2"/>
  <c r="A513" i="2"/>
  <c r="CI512" i="2"/>
  <c r="CH512" i="2"/>
  <c r="CG512" i="2"/>
  <c r="CF512" i="2"/>
  <c r="CE512" i="2"/>
  <c r="CD512" i="2"/>
  <c r="CC512" i="2"/>
  <c r="BZ512" i="2"/>
  <c r="BY512" i="2"/>
  <c r="BX512" i="2"/>
  <c r="BW512" i="2"/>
  <c r="G512" i="2"/>
  <c r="F512" i="2"/>
  <c r="E512" i="2"/>
  <c r="D512" i="2"/>
  <c r="C512" i="2"/>
  <c r="B512" i="2"/>
  <c r="A512" i="2"/>
  <c r="CI511" i="2"/>
  <c r="CH511" i="2"/>
  <c r="CG511" i="2"/>
  <c r="CF511" i="2"/>
  <c r="CE511" i="2"/>
  <c r="CD511" i="2"/>
  <c r="CC511" i="2"/>
  <c r="BZ511" i="2"/>
  <c r="BY511" i="2"/>
  <c r="BX511" i="2"/>
  <c r="BW511" i="2"/>
  <c r="P511" i="2"/>
  <c r="G511" i="2"/>
  <c r="F511" i="2"/>
  <c r="E511" i="2"/>
  <c r="D511" i="2"/>
  <c r="C511" i="2"/>
  <c r="B511" i="2"/>
  <c r="A511" i="2"/>
  <c r="CI510" i="2"/>
  <c r="CH510" i="2"/>
  <c r="CG510" i="2"/>
  <c r="CF510" i="2"/>
  <c r="CE510" i="2"/>
  <c r="CD510" i="2"/>
  <c r="CC510" i="2"/>
  <c r="BZ510" i="2"/>
  <c r="BY510" i="2"/>
  <c r="BX510" i="2"/>
  <c r="BW510" i="2"/>
  <c r="M510" i="2"/>
  <c r="G510" i="2"/>
  <c r="E510" i="2"/>
  <c r="D510" i="2"/>
  <c r="C510" i="2"/>
  <c r="B510" i="2"/>
  <c r="A510" i="2"/>
  <c r="CI509" i="2"/>
  <c r="CH509" i="2"/>
  <c r="CG509" i="2"/>
  <c r="CF509" i="2"/>
  <c r="CE509" i="2"/>
  <c r="CD509" i="2"/>
  <c r="CC509" i="2"/>
  <c r="BZ509" i="2"/>
  <c r="BY509" i="2"/>
  <c r="BX509" i="2"/>
  <c r="BW509" i="2"/>
  <c r="U509" i="2"/>
  <c r="G509" i="2"/>
  <c r="F509" i="2"/>
  <c r="E509" i="2"/>
  <c r="D509" i="2"/>
  <c r="C509" i="2"/>
  <c r="B509" i="2"/>
  <c r="A509" i="2"/>
  <c r="CI508" i="2"/>
  <c r="CH508" i="2"/>
  <c r="CG508" i="2"/>
  <c r="CF508" i="2"/>
  <c r="CE508" i="2"/>
  <c r="CD508" i="2"/>
  <c r="CC508" i="2"/>
  <c r="BZ508" i="2"/>
  <c r="BY508" i="2"/>
  <c r="BX508" i="2"/>
  <c r="BW508" i="2"/>
  <c r="P508" i="2"/>
  <c r="G508" i="2"/>
  <c r="F508" i="2"/>
  <c r="E508" i="2"/>
  <c r="D508" i="2"/>
  <c r="C508" i="2"/>
  <c r="B508" i="2"/>
  <c r="A508" i="2"/>
  <c r="CI507" i="2"/>
  <c r="CH507" i="2"/>
  <c r="CG507" i="2"/>
  <c r="CF507" i="2"/>
  <c r="CE507" i="2"/>
  <c r="CD507" i="2"/>
  <c r="CC507" i="2"/>
  <c r="BZ507" i="2"/>
  <c r="BY507" i="2"/>
  <c r="BX507" i="2"/>
  <c r="BW507" i="2"/>
  <c r="S507" i="2"/>
  <c r="G507" i="2"/>
  <c r="F507" i="2"/>
  <c r="E507" i="2"/>
  <c r="D507" i="2"/>
  <c r="C507" i="2"/>
  <c r="B507" i="2"/>
  <c r="A507" i="2"/>
  <c r="CI506" i="2"/>
  <c r="CH506" i="2"/>
  <c r="CG506" i="2"/>
  <c r="CF506" i="2"/>
  <c r="CE506" i="2"/>
  <c r="CD506" i="2"/>
  <c r="CC506" i="2"/>
  <c r="BZ506" i="2"/>
  <c r="BY506" i="2"/>
  <c r="BX506" i="2"/>
  <c r="BW506" i="2"/>
  <c r="M506" i="2"/>
  <c r="G506" i="2"/>
  <c r="F506" i="2"/>
  <c r="E506" i="2"/>
  <c r="D506" i="2"/>
  <c r="C506" i="2"/>
  <c r="B506" i="2"/>
  <c r="A506" i="2"/>
  <c r="CI505" i="2"/>
  <c r="CH505" i="2"/>
  <c r="CG505" i="2"/>
  <c r="CF505" i="2"/>
  <c r="CE505" i="2"/>
  <c r="CD505" i="2"/>
  <c r="CC505" i="2"/>
  <c r="BZ505" i="2"/>
  <c r="BY505" i="2"/>
  <c r="BX505" i="2"/>
  <c r="BW505" i="2"/>
  <c r="P505" i="2"/>
  <c r="G505" i="2"/>
  <c r="F505" i="2"/>
  <c r="E505" i="2"/>
  <c r="D505" i="2"/>
  <c r="C505" i="2"/>
  <c r="B505" i="2"/>
  <c r="A505" i="2"/>
  <c r="CI504" i="2"/>
  <c r="CH504" i="2"/>
  <c r="CG504" i="2"/>
  <c r="CF504" i="2"/>
  <c r="CE504" i="2"/>
  <c r="CD504" i="2"/>
  <c r="CC504" i="2"/>
  <c r="BZ504" i="2"/>
  <c r="BY504" i="2"/>
  <c r="BX504" i="2"/>
  <c r="BW504" i="2"/>
  <c r="G504" i="2"/>
  <c r="F504" i="2"/>
  <c r="E504" i="2"/>
  <c r="D504" i="2"/>
  <c r="C504" i="2"/>
  <c r="B504" i="2"/>
  <c r="A504" i="2"/>
  <c r="CI503" i="2"/>
  <c r="CH503" i="2"/>
  <c r="CG503" i="2"/>
  <c r="CF503" i="2"/>
  <c r="CE503" i="2"/>
  <c r="CD503" i="2"/>
  <c r="CC503" i="2"/>
  <c r="BZ503" i="2"/>
  <c r="BY503" i="2"/>
  <c r="BX503" i="2"/>
  <c r="BW503" i="2"/>
  <c r="H503" i="2"/>
  <c r="F503" i="2"/>
  <c r="E503" i="2"/>
  <c r="D503" i="2"/>
  <c r="C503" i="2"/>
  <c r="B503" i="2"/>
  <c r="A503" i="2"/>
  <c r="CI502" i="2"/>
  <c r="CH502" i="2"/>
  <c r="CG502" i="2"/>
  <c r="CF502" i="2"/>
  <c r="CE502" i="2"/>
  <c r="CD502" i="2"/>
  <c r="CC502" i="2"/>
  <c r="BZ502" i="2"/>
  <c r="BY502" i="2"/>
  <c r="BX502" i="2"/>
  <c r="BW502" i="2"/>
  <c r="R502" i="2"/>
  <c r="G502" i="2"/>
  <c r="F502" i="2"/>
  <c r="E502" i="2"/>
  <c r="D502" i="2"/>
  <c r="C502" i="2"/>
  <c r="B502" i="2"/>
  <c r="A502" i="2"/>
  <c r="CI501" i="2"/>
  <c r="CH501" i="2"/>
  <c r="CG501" i="2"/>
  <c r="CF501" i="2"/>
  <c r="CE501" i="2"/>
  <c r="CD501" i="2"/>
  <c r="CC501" i="2"/>
  <c r="BZ501" i="2"/>
  <c r="BY501" i="2"/>
  <c r="BX501" i="2"/>
  <c r="BW501" i="2"/>
  <c r="O501" i="2"/>
  <c r="G501" i="2"/>
  <c r="F501" i="2"/>
  <c r="E501" i="2"/>
  <c r="D501" i="2"/>
  <c r="C501" i="2"/>
  <c r="B501" i="2"/>
  <c r="A501" i="2"/>
  <c r="CI500" i="2"/>
  <c r="CH500" i="2"/>
  <c r="CG500" i="2"/>
  <c r="CF500" i="2"/>
  <c r="CE500" i="2"/>
  <c r="CD500" i="2"/>
  <c r="CC500" i="2"/>
  <c r="BZ500" i="2"/>
  <c r="BY500" i="2"/>
  <c r="BX500" i="2"/>
  <c r="BW500" i="2"/>
  <c r="P500" i="2"/>
  <c r="G500" i="2"/>
  <c r="F500" i="2"/>
  <c r="E500" i="2"/>
  <c r="D500" i="2"/>
  <c r="C500" i="2"/>
  <c r="B500" i="2"/>
  <c r="A500" i="2"/>
  <c r="CI499" i="2"/>
  <c r="CH499" i="2"/>
  <c r="CG499" i="2"/>
  <c r="CF499" i="2"/>
  <c r="CE499" i="2"/>
  <c r="CD499" i="2"/>
  <c r="CC499" i="2"/>
  <c r="BZ499" i="2"/>
  <c r="BY499" i="2"/>
  <c r="BX499" i="2"/>
  <c r="BW499" i="2"/>
  <c r="S499" i="2"/>
  <c r="G499" i="2"/>
  <c r="F499" i="2"/>
  <c r="E499" i="2"/>
  <c r="D499" i="2"/>
  <c r="C499" i="2"/>
  <c r="B499" i="2"/>
  <c r="A499" i="2"/>
  <c r="CI498" i="2"/>
  <c r="CH498" i="2"/>
  <c r="CG498" i="2"/>
  <c r="CF498" i="2"/>
  <c r="CE498" i="2"/>
  <c r="CD498" i="2"/>
  <c r="CC498" i="2"/>
  <c r="BZ498" i="2"/>
  <c r="BY498" i="2"/>
  <c r="BX498" i="2"/>
  <c r="BW498" i="2"/>
  <c r="T498" i="2"/>
  <c r="G498" i="2"/>
  <c r="F498" i="2"/>
  <c r="E498" i="2"/>
  <c r="D498" i="2"/>
  <c r="C498" i="2"/>
  <c r="B498" i="2"/>
  <c r="A498" i="2"/>
  <c r="CI497" i="2"/>
  <c r="CH497" i="2"/>
  <c r="CG497" i="2"/>
  <c r="CF497" i="2"/>
  <c r="CE497" i="2"/>
  <c r="CD497" i="2"/>
  <c r="CC497" i="2"/>
  <c r="BZ497" i="2"/>
  <c r="BY497" i="2"/>
  <c r="BX497" i="2"/>
  <c r="BW497" i="2"/>
  <c r="P497" i="2"/>
  <c r="G497" i="2"/>
  <c r="F497" i="2"/>
  <c r="E497" i="2"/>
  <c r="D497" i="2"/>
  <c r="C497" i="2"/>
  <c r="B497" i="2"/>
  <c r="A497" i="2"/>
  <c r="CI496" i="2"/>
  <c r="CH496" i="2"/>
  <c r="CG496" i="2"/>
  <c r="CF496" i="2"/>
  <c r="CE496" i="2"/>
  <c r="CD496" i="2"/>
  <c r="CC496" i="2"/>
  <c r="BZ496" i="2"/>
  <c r="BY496" i="2"/>
  <c r="BX496" i="2"/>
  <c r="BW496" i="2"/>
  <c r="S496" i="2"/>
  <c r="G496" i="2"/>
  <c r="F496" i="2"/>
  <c r="E496" i="2"/>
  <c r="D496" i="2"/>
  <c r="C496" i="2"/>
  <c r="B496" i="2"/>
  <c r="A496" i="2"/>
  <c r="CI495" i="2"/>
  <c r="CH495" i="2"/>
  <c r="CG495" i="2"/>
  <c r="CF495" i="2"/>
  <c r="CE495" i="2"/>
  <c r="CD495" i="2"/>
  <c r="CC495" i="2"/>
  <c r="BZ495" i="2"/>
  <c r="BY495" i="2"/>
  <c r="BX495" i="2"/>
  <c r="BW495" i="2"/>
  <c r="P495" i="2"/>
  <c r="G495" i="2"/>
  <c r="F495" i="2"/>
  <c r="E495" i="2"/>
  <c r="D495" i="2"/>
  <c r="C495" i="2"/>
  <c r="B495" i="2"/>
  <c r="A495" i="2"/>
  <c r="CI494" i="2"/>
  <c r="CH494" i="2"/>
  <c r="CG494" i="2"/>
  <c r="CF494" i="2"/>
  <c r="CE494" i="2"/>
  <c r="CD494" i="2"/>
  <c r="CC494" i="2"/>
  <c r="BZ494" i="2"/>
  <c r="BY494" i="2"/>
  <c r="BX494" i="2"/>
  <c r="BW494" i="2"/>
  <c r="P494" i="2"/>
  <c r="G494" i="2"/>
  <c r="F494" i="2"/>
  <c r="E494" i="2"/>
  <c r="D494" i="2"/>
  <c r="C494" i="2"/>
  <c r="B494" i="2"/>
  <c r="A494" i="2"/>
  <c r="CI493" i="2"/>
  <c r="CH493" i="2"/>
  <c r="CG493" i="2"/>
  <c r="CF493" i="2"/>
  <c r="CE493" i="2"/>
  <c r="CD493" i="2"/>
  <c r="CC493" i="2"/>
  <c r="BZ493" i="2"/>
  <c r="BY493" i="2"/>
  <c r="BX493" i="2"/>
  <c r="BW493" i="2"/>
  <c r="P493" i="2"/>
  <c r="G493" i="2"/>
  <c r="F493" i="2"/>
  <c r="E493" i="2"/>
  <c r="D493" i="2"/>
  <c r="C493" i="2"/>
  <c r="B493" i="2"/>
  <c r="A493" i="2"/>
  <c r="CI492" i="2"/>
  <c r="CH492" i="2"/>
  <c r="CG492" i="2"/>
  <c r="CF492" i="2"/>
  <c r="CE492" i="2"/>
  <c r="CD492" i="2"/>
  <c r="CC492" i="2"/>
  <c r="BZ492" i="2"/>
  <c r="BY492" i="2"/>
  <c r="BX492" i="2"/>
  <c r="BW492" i="2"/>
  <c r="T492" i="2"/>
  <c r="G492" i="2"/>
  <c r="F492" i="2"/>
  <c r="E492" i="2"/>
  <c r="D492" i="2"/>
  <c r="C492" i="2"/>
  <c r="B492" i="2"/>
  <c r="A492" i="2"/>
  <c r="CI491" i="2"/>
  <c r="CH491" i="2"/>
  <c r="CG491" i="2"/>
  <c r="CF491" i="2"/>
  <c r="CE491" i="2"/>
  <c r="CD491" i="2"/>
  <c r="CC491" i="2"/>
  <c r="BZ491" i="2"/>
  <c r="BY491" i="2"/>
  <c r="BX491" i="2"/>
  <c r="BW491" i="2"/>
  <c r="F491" i="2"/>
  <c r="E491" i="2"/>
  <c r="D491" i="2"/>
  <c r="B491" i="2"/>
  <c r="A491" i="2"/>
  <c r="CI490" i="2"/>
  <c r="CH490" i="2"/>
  <c r="CG490" i="2"/>
  <c r="CF490" i="2"/>
  <c r="CE490" i="2"/>
  <c r="CD490" i="2"/>
  <c r="CC490" i="2"/>
  <c r="BZ490" i="2"/>
  <c r="BY490" i="2"/>
  <c r="BX490" i="2"/>
  <c r="BW490" i="2"/>
  <c r="R490" i="2"/>
  <c r="G490" i="2"/>
  <c r="F490" i="2"/>
  <c r="E490" i="2"/>
  <c r="D490" i="2"/>
  <c r="C490" i="2"/>
  <c r="B490" i="2"/>
  <c r="A490" i="2"/>
  <c r="CI489" i="2"/>
  <c r="CH489" i="2"/>
  <c r="CG489" i="2"/>
  <c r="CF489" i="2"/>
  <c r="CE489" i="2"/>
  <c r="CD489" i="2"/>
  <c r="CC489" i="2"/>
  <c r="BZ489" i="2"/>
  <c r="BY489" i="2"/>
  <c r="BX489" i="2"/>
  <c r="BW489" i="2"/>
  <c r="Q489" i="2"/>
  <c r="G489" i="2"/>
  <c r="F489" i="2"/>
  <c r="E489" i="2"/>
  <c r="D489" i="2"/>
  <c r="C489" i="2"/>
  <c r="B489" i="2"/>
  <c r="A489" i="2"/>
  <c r="CI488" i="2"/>
  <c r="CH488" i="2"/>
  <c r="CG488" i="2"/>
  <c r="CF488" i="2"/>
  <c r="CE488" i="2"/>
  <c r="CD488" i="2"/>
  <c r="CC488" i="2"/>
  <c r="BZ488" i="2"/>
  <c r="BY488" i="2"/>
  <c r="BX488" i="2"/>
  <c r="BW488" i="2"/>
  <c r="P488" i="2"/>
  <c r="G488" i="2"/>
  <c r="F488" i="2"/>
  <c r="E488" i="2"/>
  <c r="D488" i="2"/>
  <c r="C488" i="2"/>
  <c r="B488" i="2"/>
  <c r="A488" i="2"/>
  <c r="CI487" i="2"/>
  <c r="CH487" i="2"/>
  <c r="CG487" i="2"/>
  <c r="CF487" i="2"/>
  <c r="CE487" i="2"/>
  <c r="CD487" i="2"/>
  <c r="CC487" i="2"/>
  <c r="BZ487" i="2"/>
  <c r="BY487" i="2"/>
  <c r="BX487" i="2"/>
  <c r="BW487" i="2"/>
  <c r="R487" i="2"/>
  <c r="G487" i="2"/>
  <c r="F487" i="2"/>
  <c r="E487" i="2"/>
  <c r="D487" i="2"/>
  <c r="C487" i="2"/>
  <c r="B487" i="2"/>
  <c r="A487" i="2"/>
  <c r="CI486" i="2"/>
  <c r="CH486" i="2"/>
  <c r="CG486" i="2"/>
  <c r="CF486" i="2"/>
  <c r="CE486" i="2"/>
  <c r="CD486" i="2"/>
  <c r="CC486" i="2"/>
  <c r="BZ486" i="2"/>
  <c r="BY486" i="2"/>
  <c r="BX486" i="2"/>
  <c r="BW486" i="2"/>
  <c r="U486" i="2"/>
  <c r="G486" i="2"/>
  <c r="F486" i="2"/>
  <c r="E486" i="2"/>
  <c r="D486" i="2"/>
  <c r="C486" i="2"/>
  <c r="B486" i="2"/>
  <c r="A486" i="2"/>
  <c r="CI485" i="2"/>
  <c r="CH485" i="2"/>
  <c r="CG485" i="2"/>
  <c r="CF485" i="2"/>
  <c r="CE485" i="2"/>
  <c r="CD485" i="2"/>
  <c r="CC485" i="2"/>
  <c r="BZ485" i="2"/>
  <c r="BY485" i="2"/>
  <c r="BX485" i="2"/>
  <c r="BW485" i="2"/>
  <c r="P485" i="2"/>
  <c r="G485" i="2"/>
  <c r="F485" i="2"/>
  <c r="E485" i="2"/>
  <c r="D485" i="2"/>
  <c r="C485" i="2"/>
  <c r="B485" i="2"/>
  <c r="A485" i="2"/>
  <c r="CI484" i="2"/>
  <c r="CH484" i="2"/>
  <c r="CG484" i="2"/>
  <c r="CF484" i="2"/>
  <c r="CE484" i="2"/>
  <c r="CD484" i="2"/>
  <c r="CC484" i="2"/>
  <c r="BZ484" i="2"/>
  <c r="BY484" i="2"/>
  <c r="BX484" i="2"/>
  <c r="BW484" i="2"/>
  <c r="BG484" i="2"/>
  <c r="W484" i="2"/>
  <c r="G484" i="2"/>
  <c r="F484" i="2"/>
  <c r="E484" i="2"/>
  <c r="D484" i="2"/>
  <c r="C484" i="2"/>
  <c r="B484" i="2"/>
  <c r="A484" i="2"/>
  <c r="CI483" i="2"/>
  <c r="CH483" i="2"/>
  <c r="CG483" i="2"/>
  <c r="CF483" i="2"/>
  <c r="CE483" i="2"/>
  <c r="CD483" i="2"/>
  <c r="CC483" i="2"/>
  <c r="BZ483" i="2"/>
  <c r="BY483" i="2"/>
  <c r="BX483" i="2"/>
  <c r="BW483" i="2"/>
  <c r="Q483" i="2"/>
  <c r="G483" i="2"/>
  <c r="F483" i="2"/>
  <c r="E483" i="2"/>
  <c r="D483" i="2"/>
  <c r="C483" i="2"/>
  <c r="B483" i="2"/>
  <c r="A483" i="2"/>
  <c r="CI482" i="2"/>
  <c r="CH482" i="2"/>
  <c r="CG482" i="2"/>
  <c r="CF482" i="2"/>
  <c r="CE482" i="2"/>
  <c r="CD482" i="2"/>
  <c r="CC482" i="2"/>
  <c r="BZ482" i="2"/>
  <c r="BY482" i="2"/>
  <c r="BX482" i="2"/>
  <c r="BW482" i="2"/>
  <c r="S482" i="2"/>
  <c r="G482" i="2"/>
  <c r="F482" i="2"/>
  <c r="E482" i="2"/>
  <c r="D482" i="2"/>
  <c r="C482" i="2"/>
  <c r="B482" i="2"/>
  <c r="A482" i="2"/>
  <c r="CI481" i="2"/>
  <c r="CH481" i="2"/>
  <c r="CG481" i="2"/>
  <c r="CF481" i="2"/>
  <c r="CE481" i="2"/>
  <c r="CD481" i="2"/>
  <c r="CC481" i="2"/>
  <c r="BZ481" i="2"/>
  <c r="BY481" i="2"/>
  <c r="BX481" i="2"/>
  <c r="BW481" i="2"/>
  <c r="P481" i="2"/>
  <c r="G481" i="2"/>
  <c r="F481" i="2"/>
  <c r="E481" i="2"/>
  <c r="D481" i="2"/>
  <c r="C481" i="2"/>
  <c r="B481" i="2"/>
  <c r="A481" i="2"/>
  <c r="CI480" i="2"/>
  <c r="CH480" i="2"/>
  <c r="CG480" i="2"/>
  <c r="CF480" i="2"/>
  <c r="CE480" i="2"/>
  <c r="CD480" i="2"/>
  <c r="CC480" i="2"/>
  <c r="BZ480" i="2"/>
  <c r="BY480" i="2"/>
  <c r="BX480" i="2"/>
  <c r="BW480" i="2"/>
  <c r="P480" i="2"/>
  <c r="G480" i="2"/>
  <c r="F480" i="2"/>
  <c r="E480" i="2"/>
  <c r="D480" i="2"/>
  <c r="C480" i="2"/>
  <c r="B480" i="2"/>
  <c r="A480" i="2"/>
  <c r="CI479" i="2"/>
  <c r="CH479" i="2"/>
  <c r="CG479" i="2"/>
  <c r="CF479" i="2"/>
  <c r="CE479" i="2"/>
  <c r="CD479" i="2"/>
  <c r="CC479" i="2"/>
  <c r="BZ479" i="2"/>
  <c r="BY479" i="2"/>
  <c r="BX479" i="2"/>
  <c r="BW479" i="2"/>
  <c r="V479" i="2"/>
  <c r="G479" i="2"/>
  <c r="F479" i="2"/>
  <c r="E479" i="2"/>
  <c r="D479" i="2"/>
  <c r="C479" i="2"/>
  <c r="B479" i="2"/>
  <c r="A479" i="2"/>
  <c r="CI478" i="2"/>
  <c r="CH478" i="2"/>
  <c r="CG478" i="2"/>
  <c r="CF478" i="2"/>
  <c r="CE478" i="2"/>
  <c r="CD478" i="2"/>
  <c r="CC478" i="2"/>
  <c r="BZ478" i="2"/>
  <c r="BY478" i="2"/>
  <c r="BX478" i="2"/>
  <c r="BW478" i="2"/>
  <c r="H478" i="2"/>
  <c r="G478" i="2"/>
  <c r="F478" i="2"/>
  <c r="E478" i="2"/>
  <c r="D478" i="2"/>
  <c r="C478" i="2"/>
  <c r="B478" i="2"/>
  <c r="A478" i="2"/>
  <c r="CI477" i="2"/>
  <c r="CH477" i="2"/>
  <c r="CG477" i="2"/>
  <c r="CF477" i="2"/>
  <c r="CE477" i="2"/>
  <c r="CD477" i="2"/>
  <c r="CC477" i="2"/>
  <c r="BZ477" i="2"/>
  <c r="BY477" i="2"/>
  <c r="BX477" i="2"/>
  <c r="BW477" i="2"/>
  <c r="U477" i="2"/>
  <c r="G477" i="2"/>
  <c r="F477" i="2"/>
  <c r="E477" i="2"/>
  <c r="D477" i="2"/>
  <c r="C477" i="2"/>
  <c r="B477" i="2"/>
  <c r="A477" i="2"/>
  <c r="CI476" i="2"/>
  <c r="CH476" i="2"/>
  <c r="CG476" i="2"/>
  <c r="CF476" i="2"/>
  <c r="CE476" i="2"/>
  <c r="CD476" i="2"/>
  <c r="CC476" i="2"/>
  <c r="BZ476" i="2"/>
  <c r="BY476" i="2"/>
  <c r="BX476" i="2"/>
  <c r="BW476" i="2"/>
  <c r="H476" i="2"/>
  <c r="G476" i="2"/>
  <c r="F476" i="2"/>
  <c r="E476" i="2"/>
  <c r="D476" i="2"/>
  <c r="C476" i="2"/>
  <c r="B476" i="2"/>
  <c r="A476" i="2"/>
  <c r="CI475" i="2"/>
  <c r="CH475" i="2"/>
  <c r="CG475" i="2"/>
  <c r="CF475" i="2"/>
  <c r="CE475" i="2"/>
  <c r="CD475" i="2"/>
  <c r="CC475" i="2"/>
  <c r="BZ475" i="2"/>
  <c r="BY475" i="2"/>
  <c r="BX475" i="2"/>
  <c r="BW475" i="2"/>
  <c r="L475" i="2"/>
  <c r="G475" i="2"/>
  <c r="F475" i="2"/>
  <c r="E475" i="2"/>
  <c r="D475" i="2"/>
  <c r="C475" i="2"/>
  <c r="B475" i="2"/>
  <c r="A475" i="2"/>
  <c r="CI474" i="2"/>
  <c r="CH474" i="2"/>
  <c r="CG474" i="2"/>
  <c r="CF474" i="2"/>
  <c r="CE474" i="2"/>
  <c r="CD474" i="2"/>
  <c r="CC474" i="2"/>
  <c r="BZ474" i="2"/>
  <c r="BY474" i="2"/>
  <c r="BX474" i="2"/>
  <c r="BW474" i="2"/>
  <c r="H474" i="2"/>
  <c r="G474" i="2"/>
  <c r="F474" i="2"/>
  <c r="E474" i="2"/>
  <c r="D474" i="2"/>
  <c r="C474" i="2"/>
  <c r="B474" i="2"/>
  <c r="A474" i="2"/>
  <c r="CI473" i="2"/>
  <c r="CH473" i="2"/>
  <c r="CG473" i="2"/>
  <c r="CF473" i="2"/>
  <c r="CE473" i="2"/>
  <c r="CD473" i="2"/>
  <c r="CC473" i="2"/>
  <c r="BZ473" i="2"/>
  <c r="BY473" i="2"/>
  <c r="BX473" i="2"/>
  <c r="BW473" i="2"/>
  <c r="V473" i="2"/>
  <c r="G473" i="2"/>
  <c r="F473" i="2"/>
  <c r="E473" i="2"/>
  <c r="D473" i="2"/>
  <c r="C473" i="2"/>
  <c r="B473" i="2"/>
  <c r="A473" i="2"/>
  <c r="CI472" i="2"/>
  <c r="CH472" i="2"/>
  <c r="CG472" i="2"/>
  <c r="CF472" i="2"/>
  <c r="CE472" i="2"/>
  <c r="CD472" i="2"/>
  <c r="CC472" i="2"/>
  <c r="BZ472" i="2"/>
  <c r="BY472" i="2"/>
  <c r="BX472" i="2"/>
  <c r="BW472" i="2"/>
  <c r="P472" i="2"/>
  <c r="G472" i="2"/>
  <c r="F472" i="2"/>
  <c r="E472" i="2"/>
  <c r="D472" i="2"/>
  <c r="C472" i="2"/>
  <c r="B472" i="2"/>
  <c r="A472" i="2"/>
  <c r="CI471" i="2"/>
  <c r="CH471" i="2"/>
  <c r="CG471" i="2"/>
  <c r="CF471" i="2"/>
  <c r="CE471" i="2"/>
  <c r="CD471" i="2"/>
  <c r="CC471" i="2"/>
  <c r="BZ471" i="2"/>
  <c r="BY471" i="2"/>
  <c r="BX471" i="2"/>
  <c r="BW471" i="2"/>
  <c r="V471" i="2"/>
  <c r="G471" i="2"/>
  <c r="F471" i="2"/>
  <c r="E471" i="2"/>
  <c r="D471" i="2"/>
  <c r="C471" i="2"/>
  <c r="B471" i="2"/>
  <c r="A471" i="2"/>
  <c r="CI470" i="2"/>
  <c r="CH470" i="2"/>
  <c r="CG470" i="2"/>
  <c r="CF470" i="2"/>
  <c r="CE470" i="2"/>
  <c r="CD470" i="2"/>
  <c r="CC470" i="2"/>
  <c r="BZ470" i="2"/>
  <c r="BY470" i="2"/>
  <c r="BX470" i="2"/>
  <c r="BW470" i="2"/>
  <c r="P470" i="2"/>
  <c r="G470" i="2"/>
  <c r="F470" i="2"/>
  <c r="E470" i="2"/>
  <c r="D470" i="2"/>
  <c r="C470" i="2"/>
  <c r="B470" i="2"/>
  <c r="A470" i="2"/>
  <c r="CI469" i="2"/>
  <c r="CH469" i="2"/>
  <c r="CG469" i="2"/>
  <c r="CF469" i="2"/>
  <c r="CE469" i="2"/>
  <c r="CD469" i="2"/>
  <c r="CC469" i="2"/>
  <c r="BZ469" i="2"/>
  <c r="BY469" i="2"/>
  <c r="BX469" i="2"/>
  <c r="BW469" i="2"/>
  <c r="P469" i="2"/>
  <c r="G469" i="2"/>
  <c r="F469" i="2"/>
  <c r="E469" i="2"/>
  <c r="D469" i="2"/>
  <c r="C469" i="2"/>
  <c r="B469" i="2"/>
  <c r="A469" i="2"/>
  <c r="CI468" i="2"/>
  <c r="CH468" i="2"/>
  <c r="CG468" i="2"/>
  <c r="CF468" i="2"/>
  <c r="CE468" i="2"/>
  <c r="CD468" i="2"/>
  <c r="CC468" i="2"/>
  <c r="BZ468" i="2"/>
  <c r="BY468" i="2"/>
  <c r="BX468" i="2"/>
  <c r="BW468" i="2"/>
  <c r="M468" i="2"/>
  <c r="G468" i="2"/>
  <c r="F468" i="2"/>
  <c r="E468" i="2"/>
  <c r="D468" i="2"/>
  <c r="C468" i="2"/>
  <c r="B468" i="2"/>
  <c r="A468" i="2"/>
  <c r="CI467" i="2"/>
  <c r="CH467" i="2"/>
  <c r="CG467" i="2"/>
  <c r="CF467" i="2"/>
  <c r="CE467" i="2"/>
  <c r="CD467" i="2"/>
  <c r="CC467" i="2"/>
  <c r="BZ467" i="2"/>
  <c r="BY467" i="2"/>
  <c r="BX467" i="2"/>
  <c r="BW467" i="2"/>
  <c r="P467" i="2"/>
  <c r="G467" i="2"/>
  <c r="F467" i="2"/>
  <c r="E467" i="2"/>
  <c r="D467" i="2"/>
  <c r="C467" i="2"/>
  <c r="B467" i="2"/>
  <c r="A467" i="2"/>
  <c r="CI466" i="2"/>
  <c r="CH466" i="2"/>
  <c r="CG466" i="2"/>
  <c r="CF466" i="2"/>
  <c r="CE466" i="2"/>
  <c r="CD466" i="2"/>
  <c r="CC466" i="2"/>
  <c r="BZ466" i="2"/>
  <c r="BY466" i="2"/>
  <c r="BX466" i="2"/>
  <c r="BW466" i="2"/>
  <c r="H466" i="2"/>
  <c r="G466" i="2"/>
  <c r="F466" i="2"/>
  <c r="E466" i="2"/>
  <c r="D466" i="2"/>
  <c r="C466" i="2"/>
  <c r="B466" i="2"/>
  <c r="A466" i="2"/>
  <c r="CI465" i="2"/>
  <c r="CH465" i="2"/>
  <c r="CG465" i="2"/>
  <c r="CF465" i="2"/>
  <c r="CE465" i="2"/>
  <c r="CD465" i="2"/>
  <c r="CC465" i="2"/>
  <c r="BZ465" i="2"/>
  <c r="BY465" i="2"/>
  <c r="BX465" i="2"/>
  <c r="BW465" i="2"/>
  <c r="G465" i="2"/>
  <c r="F465" i="2"/>
  <c r="E465" i="2"/>
  <c r="D465" i="2"/>
  <c r="C465" i="2"/>
  <c r="B465" i="2"/>
  <c r="A465" i="2"/>
  <c r="CI464" i="2"/>
  <c r="CH464" i="2"/>
  <c r="CG464" i="2"/>
  <c r="CF464" i="2"/>
  <c r="CE464" i="2"/>
  <c r="CD464" i="2"/>
  <c r="CC464" i="2"/>
  <c r="BZ464" i="2"/>
  <c r="BY464" i="2"/>
  <c r="BX464" i="2"/>
  <c r="BW464" i="2"/>
  <c r="P464" i="2"/>
  <c r="G464" i="2"/>
  <c r="F464" i="2"/>
  <c r="E464" i="2"/>
  <c r="D464" i="2"/>
  <c r="C464" i="2"/>
  <c r="B464" i="2"/>
  <c r="A464" i="2"/>
  <c r="CI463" i="2"/>
  <c r="CH463" i="2"/>
  <c r="CG463" i="2"/>
  <c r="CF463" i="2"/>
  <c r="CE463" i="2"/>
  <c r="CD463" i="2"/>
  <c r="CC463" i="2"/>
  <c r="BZ463" i="2"/>
  <c r="BY463" i="2"/>
  <c r="BX463" i="2"/>
  <c r="BW463" i="2"/>
  <c r="M463" i="2"/>
  <c r="G463" i="2"/>
  <c r="F463" i="2"/>
  <c r="E463" i="2"/>
  <c r="D463" i="2"/>
  <c r="C463" i="2"/>
  <c r="B463" i="2"/>
  <c r="A463" i="2"/>
  <c r="CI462" i="2"/>
  <c r="CH462" i="2"/>
  <c r="CG462" i="2"/>
  <c r="CF462" i="2"/>
  <c r="CE462" i="2"/>
  <c r="CD462" i="2"/>
  <c r="CC462" i="2"/>
  <c r="BZ462" i="2"/>
  <c r="BY462" i="2"/>
  <c r="BX462" i="2"/>
  <c r="BW462" i="2"/>
  <c r="U462" i="2"/>
  <c r="G462" i="2"/>
  <c r="F462" i="2"/>
  <c r="E462" i="2"/>
  <c r="D462" i="2"/>
  <c r="C462" i="2"/>
  <c r="B462" i="2"/>
  <c r="A462" i="2"/>
  <c r="CI461" i="2"/>
  <c r="CH461" i="2"/>
  <c r="CG461" i="2"/>
  <c r="CF461" i="2"/>
  <c r="CE461" i="2"/>
  <c r="CD461" i="2"/>
  <c r="CC461" i="2"/>
  <c r="BZ461" i="2"/>
  <c r="BY461" i="2"/>
  <c r="BX461" i="2"/>
  <c r="BW461" i="2"/>
  <c r="H461" i="2"/>
  <c r="G461" i="2"/>
  <c r="F461" i="2"/>
  <c r="E461" i="2"/>
  <c r="D461" i="2"/>
  <c r="C461" i="2"/>
  <c r="B461" i="2"/>
  <c r="A461" i="2"/>
  <c r="CI460" i="2"/>
  <c r="CH460" i="2"/>
  <c r="CG460" i="2"/>
  <c r="CF460" i="2"/>
  <c r="CE460" i="2"/>
  <c r="CD460" i="2"/>
  <c r="CC460" i="2"/>
  <c r="BZ460" i="2"/>
  <c r="BY460" i="2"/>
  <c r="BX460" i="2"/>
  <c r="BW460" i="2"/>
  <c r="G460" i="2"/>
  <c r="F460" i="2"/>
  <c r="E460" i="2"/>
  <c r="D460" i="2"/>
  <c r="C460" i="2"/>
  <c r="B460" i="2"/>
  <c r="A460" i="2"/>
  <c r="CI459" i="2"/>
  <c r="CH459" i="2"/>
  <c r="CG459" i="2"/>
  <c r="CF459" i="2"/>
  <c r="CE459" i="2"/>
  <c r="CD459" i="2"/>
  <c r="CC459" i="2"/>
  <c r="BZ459" i="2"/>
  <c r="BY459" i="2"/>
  <c r="BX459" i="2"/>
  <c r="BW459" i="2"/>
  <c r="P459" i="2"/>
  <c r="G459" i="2"/>
  <c r="F459" i="2"/>
  <c r="E459" i="2"/>
  <c r="D459" i="2"/>
  <c r="C459" i="2"/>
  <c r="B459" i="2"/>
  <c r="A459" i="2"/>
  <c r="CI458" i="2"/>
  <c r="CH458" i="2"/>
  <c r="CG458" i="2"/>
  <c r="CF458" i="2"/>
  <c r="CE458" i="2"/>
  <c r="CD458" i="2"/>
  <c r="CC458" i="2"/>
  <c r="BZ458" i="2"/>
  <c r="BY458" i="2"/>
  <c r="BX458" i="2"/>
  <c r="BW458" i="2"/>
  <c r="P458" i="2"/>
  <c r="G458" i="2"/>
  <c r="F458" i="2"/>
  <c r="E458" i="2"/>
  <c r="D458" i="2"/>
  <c r="C458" i="2"/>
  <c r="B458" i="2"/>
  <c r="A458" i="2"/>
  <c r="CI457" i="2"/>
  <c r="CH457" i="2"/>
  <c r="CG457" i="2"/>
  <c r="CF457" i="2"/>
  <c r="CE457" i="2"/>
  <c r="CD457" i="2"/>
  <c r="CC457" i="2"/>
  <c r="BZ457" i="2"/>
  <c r="BY457" i="2"/>
  <c r="BX457" i="2"/>
  <c r="BW457" i="2"/>
  <c r="S457" i="2"/>
  <c r="G457" i="2"/>
  <c r="F457" i="2"/>
  <c r="E457" i="2"/>
  <c r="D457" i="2"/>
  <c r="C457" i="2"/>
  <c r="B457" i="2"/>
  <c r="A457" i="2"/>
  <c r="CI456" i="2"/>
  <c r="CH456" i="2"/>
  <c r="CG456" i="2"/>
  <c r="CF456" i="2"/>
  <c r="CE456" i="2"/>
  <c r="CD456" i="2"/>
  <c r="CC456" i="2"/>
  <c r="BZ456" i="2"/>
  <c r="BY456" i="2"/>
  <c r="BX456" i="2"/>
  <c r="BW456" i="2"/>
  <c r="BI456" i="2"/>
  <c r="W456" i="2"/>
  <c r="G456" i="2"/>
  <c r="F456" i="2"/>
  <c r="E456" i="2"/>
  <c r="D456" i="2"/>
  <c r="C456" i="2"/>
  <c r="B456" i="2"/>
  <c r="A456" i="2"/>
  <c r="CI455" i="2"/>
  <c r="CH455" i="2"/>
  <c r="CG455" i="2"/>
  <c r="CF455" i="2"/>
  <c r="CE455" i="2"/>
  <c r="CD455" i="2"/>
  <c r="CC455" i="2"/>
  <c r="BZ455" i="2"/>
  <c r="BY455" i="2"/>
  <c r="BX455" i="2"/>
  <c r="BW455" i="2"/>
  <c r="M455" i="2"/>
  <c r="G455" i="2"/>
  <c r="F455" i="2"/>
  <c r="E455" i="2"/>
  <c r="D455" i="2"/>
  <c r="C455" i="2"/>
  <c r="B455" i="2"/>
  <c r="A455" i="2"/>
  <c r="CI454" i="2"/>
  <c r="CH454" i="2"/>
  <c r="CG454" i="2"/>
  <c r="CF454" i="2"/>
  <c r="CE454" i="2"/>
  <c r="CD454" i="2"/>
  <c r="CC454" i="2"/>
  <c r="BZ454" i="2"/>
  <c r="BY454" i="2"/>
  <c r="BX454" i="2"/>
  <c r="BW454" i="2"/>
  <c r="H454" i="2"/>
  <c r="G454" i="2"/>
  <c r="F454" i="2"/>
  <c r="E454" i="2"/>
  <c r="D454" i="2"/>
  <c r="C454" i="2"/>
  <c r="B454" i="2"/>
  <c r="A454" i="2"/>
  <c r="CI453" i="2"/>
  <c r="CH453" i="2"/>
  <c r="CG453" i="2"/>
  <c r="CF453" i="2"/>
  <c r="CE453" i="2"/>
  <c r="CD453" i="2"/>
  <c r="CC453" i="2"/>
  <c r="BZ453" i="2"/>
  <c r="BY453" i="2"/>
  <c r="BX453" i="2"/>
  <c r="BW453" i="2"/>
  <c r="H453" i="2"/>
  <c r="G453" i="2"/>
  <c r="F453" i="2"/>
  <c r="E453" i="2"/>
  <c r="D453" i="2"/>
  <c r="C453" i="2"/>
  <c r="B453" i="2"/>
  <c r="A453" i="2"/>
  <c r="CI452" i="2"/>
  <c r="CH452" i="2"/>
  <c r="CG452" i="2"/>
  <c r="CF452" i="2"/>
  <c r="CE452" i="2"/>
  <c r="CD452" i="2"/>
  <c r="CC452" i="2"/>
  <c r="BZ452" i="2"/>
  <c r="BY452" i="2"/>
  <c r="BX452" i="2"/>
  <c r="BW452" i="2"/>
  <c r="U452" i="2"/>
  <c r="G452" i="2"/>
  <c r="F452" i="2"/>
  <c r="E452" i="2"/>
  <c r="D452" i="2"/>
  <c r="C452" i="2"/>
  <c r="B452" i="2"/>
  <c r="A452" i="2"/>
  <c r="CI451" i="2"/>
  <c r="CH451" i="2"/>
  <c r="CG451" i="2"/>
  <c r="CF451" i="2"/>
  <c r="CE451" i="2"/>
  <c r="CD451" i="2"/>
  <c r="CC451" i="2"/>
  <c r="BZ451" i="2"/>
  <c r="BY451" i="2"/>
  <c r="BX451" i="2"/>
  <c r="BW451" i="2"/>
  <c r="G451" i="2"/>
  <c r="F451" i="2"/>
  <c r="E451" i="2"/>
  <c r="D451" i="2"/>
  <c r="C451" i="2"/>
  <c r="B451" i="2"/>
  <c r="A451" i="2"/>
  <c r="CI450" i="2"/>
  <c r="CH450" i="2"/>
  <c r="CG450" i="2"/>
  <c r="CF450" i="2"/>
  <c r="CE450" i="2"/>
  <c r="CD450" i="2"/>
  <c r="CC450" i="2"/>
  <c r="BZ450" i="2"/>
  <c r="BY450" i="2"/>
  <c r="BX450" i="2"/>
  <c r="BW450" i="2"/>
  <c r="H450" i="2"/>
  <c r="G450" i="2"/>
  <c r="F450" i="2"/>
  <c r="E450" i="2"/>
  <c r="D450" i="2"/>
  <c r="C450" i="2"/>
  <c r="B450" i="2"/>
  <c r="A450" i="2"/>
  <c r="CI449" i="2"/>
  <c r="CH449" i="2"/>
  <c r="CG449" i="2"/>
  <c r="CF449" i="2"/>
  <c r="CE449" i="2"/>
  <c r="CD449" i="2"/>
  <c r="CC449" i="2"/>
  <c r="BZ449" i="2"/>
  <c r="BY449" i="2"/>
  <c r="BX449" i="2"/>
  <c r="BW449" i="2"/>
  <c r="P449" i="2"/>
  <c r="G449" i="2"/>
  <c r="F449" i="2"/>
  <c r="E449" i="2"/>
  <c r="D449" i="2"/>
  <c r="C449" i="2"/>
  <c r="B449" i="2"/>
  <c r="A449" i="2"/>
  <c r="CI448" i="2"/>
  <c r="CH448" i="2"/>
  <c r="CG448" i="2"/>
  <c r="CF448" i="2"/>
  <c r="CE448" i="2"/>
  <c r="CD448" i="2"/>
  <c r="CC448" i="2"/>
  <c r="BZ448" i="2"/>
  <c r="BY448" i="2"/>
  <c r="BX448" i="2"/>
  <c r="BW448" i="2"/>
  <c r="H448" i="2"/>
  <c r="G448" i="2"/>
  <c r="F448" i="2"/>
  <c r="E448" i="2"/>
  <c r="D448" i="2"/>
  <c r="C448" i="2"/>
  <c r="B448" i="2"/>
  <c r="A448" i="2"/>
  <c r="CI447" i="2"/>
  <c r="CH447" i="2"/>
  <c r="CG447" i="2"/>
  <c r="CF447" i="2"/>
  <c r="CE447" i="2"/>
  <c r="CD447" i="2"/>
  <c r="CC447" i="2"/>
  <c r="BZ447" i="2"/>
  <c r="BY447" i="2"/>
  <c r="BX447" i="2"/>
  <c r="BW447" i="2"/>
  <c r="S447" i="2"/>
  <c r="G447" i="2"/>
  <c r="F447" i="2"/>
  <c r="E447" i="2"/>
  <c r="D447" i="2"/>
  <c r="C447" i="2"/>
  <c r="B447" i="2"/>
  <c r="A447" i="2"/>
  <c r="CI446" i="2"/>
  <c r="CH446" i="2"/>
  <c r="CG446" i="2"/>
  <c r="CF446" i="2"/>
  <c r="CE446" i="2"/>
  <c r="CD446" i="2"/>
  <c r="CC446" i="2"/>
  <c r="BZ446" i="2"/>
  <c r="BY446" i="2"/>
  <c r="BX446" i="2"/>
  <c r="BW446" i="2"/>
  <c r="S446" i="2"/>
  <c r="G446" i="2"/>
  <c r="F446" i="2"/>
  <c r="E446" i="2"/>
  <c r="D446" i="2"/>
  <c r="C446" i="2"/>
  <c r="B446" i="2"/>
  <c r="A446" i="2"/>
  <c r="CI445" i="2"/>
  <c r="CH445" i="2"/>
  <c r="CG445" i="2"/>
  <c r="CF445" i="2"/>
  <c r="CE445" i="2"/>
  <c r="CD445" i="2"/>
  <c r="CC445" i="2"/>
  <c r="BZ445" i="2"/>
  <c r="BY445" i="2"/>
  <c r="BX445" i="2"/>
  <c r="BW445" i="2"/>
  <c r="R445" i="2"/>
  <c r="G445" i="2"/>
  <c r="F445" i="2"/>
  <c r="E445" i="2"/>
  <c r="D445" i="2"/>
  <c r="C445" i="2"/>
  <c r="B445" i="2"/>
  <c r="A445" i="2"/>
  <c r="CI444" i="2"/>
  <c r="CH444" i="2"/>
  <c r="CG444" i="2"/>
  <c r="CF444" i="2"/>
  <c r="CE444" i="2"/>
  <c r="CD444" i="2"/>
  <c r="CC444" i="2"/>
  <c r="BZ444" i="2"/>
  <c r="BY444" i="2"/>
  <c r="BX444" i="2"/>
  <c r="BW444" i="2"/>
  <c r="L444" i="2"/>
  <c r="G444" i="2"/>
  <c r="F444" i="2"/>
  <c r="E444" i="2"/>
  <c r="D444" i="2"/>
  <c r="C444" i="2"/>
  <c r="B444" i="2"/>
  <c r="A444" i="2"/>
  <c r="CI443" i="2"/>
  <c r="CH443" i="2"/>
  <c r="CG443" i="2"/>
  <c r="CF443" i="2"/>
  <c r="CE443" i="2"/>
  <c r="CD443" i="2"/>
  <c r="CC443" i="2"/>
  <c r="BZ443" i="2"/>
  <c r="BY443" i="2"/>
  <c r="BX443" i="2"/>
  <c r="BW443" i="2"/>
  <c r="G443" i="2"/>
  <c r="F443" i="2"/>
  <c r="E443" i="2"/>
  <c r="D443" i="2"/>
  <c r="C443" i="2"/>
  <c r="B443" i="2"/>
  <c r="A443" i="2"/>
  <c r="CI442" i="2"/>
  <c r="CH442" i="2"/>
  <c r="CG442" i="2"/>
  <c r="CF442" i="2"/>
  <c r="CE442" i="2"/>
  <c r="CD442" i="2"/>
  <c r="CC442" i="2"/>
  <c r="BZ442" i="2"/>
  <c r="BY442" i="2"/>
  <c r="BX442" i="2"/>
  <c r="BW442" i="2"/>
  <c r="H442" i="2"/>
  <c r="G442" i="2"/>
  <c r="F442" i="2"/>
  <c r="E442" i="2"/>
  <c r="D442" i="2"/>
  <c r="C442" i="2"/>
  <c r="B442" i="2"/>
  <c r="A442" i="2"/>
  <c r="CI441" i="2"/>
  <c r="CH441" i="2"/>
  <c r="CG441" i="2"/>
  <c r="CF441" i="2"/>
  <c r="CE441" i="2"/>
  <c r="CD441" i="2"/>
  <c r="CC441" i="2"/>
  <c r="BZ441" i="2"/>
  <c r="BY441" i="2"/>
  <c r="BX441" i="2"/>
  <c r="BW441" i="2"/>
  <c r="O441" i="2"/>
  <c r="G441" i="2"/>
  <c r="F441" i="2"/>
  <c r="E441" i="2"/>
  <c r="D441" i="2"/>
  <c r="C441" i="2"/>
  <c r="B441" i="2"/>
  <c r="A441" i="2"/>
  <c r="CI440" i="2"/>
  <c r="CH440" i="2"/>
  <c r="CG440" i="2"/>
  <c r="CF440" i="2"/>
  <c r="CE440" i="2"/>
  <c r="CD440" i="2"/>
  <c r="CC440" i="2"/>
  <c r="BZ440" i="2"/>
  <c r="BY440" i="2"/>
  <c r="BX440" i="2"/>
  <c r="BW440" i="2"/>
  <c r="U440" i="2"/>
  <c r="G440" i="2"/>
  <c r="F440" i="2"/>
  <c r="E440" i="2"/>
  <c r="D440" i="2"/>
  <c r="C440" i="2"/>
  <c r="B440" i="2"/>
  <c r="A440" i="2"/>
  <c r="CI439" i="2"/>
  <c r="CH439" i="2"/>
  <c r="CG439" i="2"/>
  <c r="CF439" i="2"/>
  <c r="CE439" i="2"/>
  <c r="CD439" i="2"/>
  <c r="CC439" i="2"/>
  <c r="BZ439" i="2"/>
  <c r="BY439" i="2"/>
  <c r="BX439" i="2"/>
  <c r="BW439" i="2"/>
  <c r="O439" i="2"/>
  <c r="G439" i="2"/>
  <c r="F439" i="2"/>
  <c r="E439" i="2"/>
  <c r="D439" i="2"/>
  <c r="C439" i="2"/>
  <c r="B439" i="2"/>
  <c r="A439" i="2"/>
  <c r="CI438" i="2"/>
  <c r="CH438" i="2"/>
  <c r="CG438" i="2"/>
  <c r="CF438" i="2"/>
  <c r="CE438" i="2"/>
  <c r="CD438" i="2"/>
  <c r="CC438" i="2"/>
  <c r="BZ438" i="2"/>
  <c r="BY438" i="2"/>
  <c r="BX438" i="2"/>
  <c r="BW438" i="2"/>
  <c r="S438" i="2"/>
  <c r="G438" i="2"/>
  <c r="F438" i="2"/>
  <c r="E438" i="2"/>
  <c r="D438" i="2"/>
  <c r="C438" i="2"/>
  <c r="B438" i="2"/>
  <c r="A438" i="2"/>
  <c r="CI437" i="2"/>
  <c r="CH437" i="2"/>
  <c r="CG437" i="2"/>
  <c r="CF437" i="2"/>
  <c r="CE437" i="2"/>
  <c r="CD437" i="2"/>
  <c r="CC437" i="2"/>
  <c r="BZ437" i="2"/>
  <c r="BY437" i="2"/>
  <c r="BX437" i="2"/>
  <c r="BW437" i="2"/>
  <c r="P437" i="2"/>
  <c r="G437" i="2"/>
  <c r="F437" i="2"/>
  <c r="E437" i="2"/>
  <c r="D437" i="2"/>
  <c r="C437" i="2"/>
  <c r="B437" i="2"/>
  <c r="A437" i="2"/>
  <c r="CI436" i="2"/>
  <c r="CH436" i="2"/>
  <c r="CG436" i="2"/>
  <c r="CF436" i="2"/>
  <c r="CE436" i="2"/>
  <c r="CD436" i="2"/>
  <c r="CC436" i="2"/>
  <c r="BZ436" i="2"/>
  <c r="BY436" i="2"/>
  <c r="BX436" i="2"/>
  <c r="BW436" i="2"/>
  <c r="J436" i="2"/>
  <c r="G436" i="2"/>
  <c r="F436" i="2"/>
  <c r="E436" i="2"/>
  <c r="D436" i="2"/>
  <c r="C436" i="2"/>
  <c r="B436" i="2"/>
  <c r="A436" i="2"/>
  <c r="CI435" i="2"/>
  <c r="CH435" i="2"/>
  <c r="CG435" i="2"/>
  <c r="CF435" i="2"/>
  <c r="CE435" i="2"/>
  <c r="CD435" i="2"/>
  <c r="CC435" i="2"/>
  <c r="BZ435" i="2"/>
  <c r="BY435" i="2"/>
  <c r="BX435" i="2"/>
  <c r="BW435" i="2"/>
  <c r="L435" i="2"/>
  <c r="G435" i="2"/>
  <c r="F435" i="2"/>
  <c r="E435" i="2"/>
  <c r="D435" i="2"/>
  <c r="C435" i="2"/>
  <c r="B435" i="2"/>
  <c r="A435" i="2"/>
  <c r="CI434" i="2"/>
  <c r="CH434" i="2"/>
  <c r="CG434" i="2"/>
  <c r="CF434" i="2"/>
  <c r="CE434" i="2"/>
  <c r="CD434" i="2"/>
  <c r="CC434" i="2"/>
  <c r="BZ434" i="2"/>
  <c r="BY434" i="2"/>
  <c r="BX434" i="2"/>
  <c r="BW434" i="2"/>
  <c r="V434" i="2"/>
  <c r="G434" i="2"/>
  <c r="F434" i="2"/>
  <c r="E434" i="2"/>
  <c r="D434" i="2"/>
  <c r="C434" i="2"/>
  <c r="B434" i="2"/>
  <c r="A434" i="2"/>
  <c r="CI433" i="2"/>
  <c r="CH433" i="2"/>
  <c r="CG433" i="2"/>
  <c r="CF433" i="2"/>
  <c r="CE433" i="2"/>
  <c r="CD433" i="2"/>
  <c r="CC433" i="2"/>
  <c r="BZ433" i="2"/>
  <c r="BY433" i="2"/>
  <c r="BX433" i="2"/>
  <c r="BW433" i="2"/>
  <c r="Q433" i="2"/>
  <c r="G433" i="2"/>
  <c r="F433" i="2"/>
  <c r="E433" i="2"/>
  <c r="D433" i="2"/>
  <c r="C433" i="2"/>
  <c r="B433" i="2"/>
  <c r="A433" i="2"/>
  <c r="CI432" i="2"/>
  <c r="CH432" i="2"/>
  <c r="CG432" i="2"/>
  <c r="CF432" i="2"/>
  <c r="CE432" i="2"/>
  <c r="CD432" i="2"/>
  <c r="CC432" i="2"/>
  <c r="BZ432" i="2"/>
  <c r="BY432" i="2"/>
  <c r="BX432" i="2"/>
  <c r="BW432" i="2"/>
  <c r="U432" i="2"/>
  <c r="G432" i="2"/>
  <c r="F432" i="2"/>
  <c r="E432" i="2"/>
  <c r="D432" i="2"/>
  <c r="C432" i="2"/>
  <c r="B432" i="2"/>
  <c r="A432" i="2"/>
  <c r="CI431" i="2"/>
  <c r="CH431" i="2"/>
  <c r="CG431" i="2"/>
  <c r="CF431" i="2"/>
  <c r="CE431" i="2"/>
  <c r="CD431" i="2"/>
  <c r="CC431" i="2"/>
  <c r="BZ431" i="2"/>
  <c r="BY431" i="2"/>
  <c r="BX431" i="2"/>
  <c r="BW431" i="2"/>
  <c r="P431" i="2"/>
  <c r="G431" i="2"/>
  <c r="F431" i="2"/>
  <c r="E431" i="2"/>
  <c r="D431" i="2"/>
  <c r="C431" i="2"/>
  <c r="B431" i="2"/>
  <c r="A431" i="2"/>
  <c r="CI430" i="2"/>
  <c r="CH430" i="2"/>
  <c r="CG430" i="2"/>
  <c r="CF430" i="2"/>
  <c r="CE430" i="2"/>
  <c r="CD430" i="2"/>
  <c r="CC430" i="2"/>
  <c r="BZ430" i="2"/>
  <c r="BY430" i="2"/>
  <c r="BX430" i="2"/>
  <c r="BW430" i="2"/>
  <c r="T430" i="2"/>
  <c r="G430" i="2"/>
  <c r="F430" i="2"/>
  <c r="E430" i="2"/>
  <c r="D430" i="2"/>
  <c r="C430" i="2"/>
  <c r="B430" i="2"/>
  <c r="A430" i="2"/>
  <c r="CI429" i="2"/>
  <c r="CH429" i="2"/>
  <c r="CG429" i="2"/>
  <c r="CF429" i="2"/>
  <c r="CE429" i="2"/>
  <c r="CD429" i="2"/>
  <c r="CC429" i="2"/>
  <c r="BZ429" i="2"/>
  <c r="BY429" i="2"/>
  <c r="BX429" i="2"/>
  <c r="BW429" i="2"/>
  <c r="S429" i="2"/>
  <c r="G429" i="2"/>
  <c r="F429" i="2"/>
  <c r="E429" i="2"/>
  <c r="D429" i="2"/>
  <c r="C429" i="2"/>
  <c r="B429" i="2"/>
  <c r="A429" i="2"/>
  <c r="CI428" i="2"/>
  <c r="CH428" i="2"/>
  <c r="CG428" i="2"/>
  <c r="CF428" i="2"/>
  <c r="CD428" i="2"/>
  <c r="CC428" i="2"/>
  <c r="BZ428" i="2"/>
  <c r="BY428" i="2"/>
  <c r="BX428" i="2"/>
  <c r="BW428" i="2"/>
  <c r="G428" i="2"/>
  <c r="F428" i="2"/>
  <c r="D428" i="2"/>
  <c r="C428" i="2"/>
  <c r="B428" i="2"/>
  <c r="A428" i="2"/>
  <c r="CI427" i="2"/>
  <c r="CH427" i="2"/>
  <c r="CG427" i="2"/>
  <c r="CF427" i="2"/>
  <c r="CE427" i="2"/>
  <c r="CD427" i="2"/>
  <c r="CC427" i="2"/>
  <c r="BZ427" i="2"/>
  <c r="BY427" i="2"/>
  <c r="BX427" i="2"/>
  <c r="BW427" i="2"/>
  <c r="F427" i="2"/>
  <c r="D427" i="2"/>
  <c r="C427" i="2"/>
  <c r="B427" i="2"/>
  <c r="A427" i="2"/>
  <c r="CI426" i="2"/>
  <c r="CH426" i="2"/>
  <c r="CG426" i="2"/>
  <c r="CF426" i="2"/>
  <c r="BZ426" i="2"/>
  <c r="BY426" i="2"/>
  <c r="BX426" i="2"/>
  <c r="BW426" i="2"/>
  <c r="F426" i="2"/>
  <c r="D426" i="2"/>
  <c r="C426" i="2"/>
  <c r="B426" i="2"/>
  <c r="A426" i="2"/>
  <c r="CI425" i="2"/>
  <c r="CH425" i="2"/>
  <c r="CG425" i="2"/>
  <c r="CF425" i="2"/>
  <c r="CE425" i="2"/>
  <c r="CD425" i="2"/>
  <c r="CC425" i="2"/>
  <c r="BZ425" i="2"/>
  <c r="BY425" i="2"/>
  <c r="BX425" i="2"/>
  <c r="BW425" i="2"/>
  <c r="F425" i="2"/>
  <c r="D425" i="2"/>
  <c r="C425" i="2"/>
  <c r="B425" i="2"/>
  <c r="A425" i="2"/>
  <c r="CI424" i="2"/>
  <c r="CH424" i="2"/>
  <c r="CG424" i="2"/>
  <c r="CF424" i="2"/>
  <c r="CE424" i="2"/>
  <c r="CD424" i="2"/>
  <c r="CC424" i="2"/>
  <c r="BZ424" i="2"/>
  <c r="BY424" i="2"/>
  <c r="BX424" i="2"/>
  <c r="BW424" i="2"/>
  <c r="F424" i="2"/>
  <c r="D424" i="2"/>
  <c r="C424" i="2"/>
  <c r="B424" i="2"/>
  <c r="A424" i="2"/>
  <c r="CI423" i="2"/>
  <c r="CH423" i="2"/>
  <c r="CG423" i="2"/>
  <c r="CF423" i="2"/>
  <c r="CE423" i="2"/>
  <c r="CD423" i="2"/>
  <c r="CC423" i="2"/>
  <c r="BZ423" i="2"/>
  <c r="BY423" i="2"/>
  <c r="BX423" i="2"/>
  <c r="BW423" i="2"/>
  <c r="F423" i="2"/>
  <c r="D423" i="2"/>
  <c r="C423" i="2"/>
  <c r="B423" i="2"/>
  <c r="A423" i="2"/>
  <c r="CI422" i="2"/>
  <c r="CH422" i="2"/>
  <c r="CG422" i="2"/>
  <c r="CF422" i="2"/>
  <c r="CE422" i="2"/>
  <c r="CD422" i="2"/>
  <c r="CC422" i="2"/>
  <c r="BZ422" i="2"/>
  <c r="BY422" i="2"/>
  <c r="BX422" i="2"/>
  <c r="BW422" i="2"/>
  <c r="F422" i="2"/>
  <c r="D422" i="2"/>
  <c r="C422" i="2"/>
  <c r="B422" i="2"/>
  <c r="A422" i="2"/>
  <c r="CI421" i="2"/>
  <c r="CH421" i="2"/>
  <c r="CG421" i="2"/>
  <c r="CF421" i="2"/>
  <c r="BZ421" i="2"/>
  <c r="BY421" i="2"/>
  <c r="BX421" i="2"/>
  <c r="BW421" i="2"/>
  <c r="F421" i="2"/>
  <c r="D421" i="2"/>
  <c r="C421" i="2"/>
  <c r="B421" i="2"/>
  <c r="A421" i="2"/>
  <c r="CI420" i="2"/>
  <c r="CH420" i="2"/>
  <c r="CG420" i="2"/>
  <c r="CF420" i="2"/>
  <c r="CD420" i="2"/>
  <c r="CC420" i="2"/>
  <c r="BZ420" i="2"/>
  <c r="BY420" i="2"/>
  <c r="BX420" i="2"/>
  <c r="BW420" i="2"/>
  <c r="F420" i="2"/>
  <c r="D420" i="2"/>
  <c r="C420" i="2"/>
  <c r="B420" i="2"/>
  <c r="A420" i="2"/>
  <c r="CI419" i="2"/>
  <c r="CH419" i="2"/>
  <c r="CG419" i="2"/>
  <c r="CF419" i="2"/>
  <c r="CE419" i="2"/>
  <c r="CD419" i="2"/>
  <c r="CC419" i="2"/>
  <c r="BZ419" i="2"/>
  <c r="BY419" i="2"/>
  <c r="BX419" i="2"/>
  <c r="BW419" i="2"/>
  <c r="F419" i="2"/>
  <c r="D419" i="2"/>
  <c r="C419" i="2"/>
  <c r="B419" i="2"/>
  <c r="A419" i="2"/>
  <c r="CI418" i="2"/>
  <c r="CH418" i="2"/>
  <c r="CG418" i="2"/>
  <c r="CF418" i="2"/>
  <c r="CE418" i="2"/>
  <c r="CD418" i="2"/>
  <c r="CC418" i="2"/>
  <c r="BZ418" i="2"/>
  <c r="BY418" i="2"/>
  <c r="BX418" i="2"/>
  <c r="BW418" i="2"/>
  <c r="F418" i="2"/>
  <c r="D418" i="2"/>
  <c r="C418" i="2"/>
  <c r="B418" i="2"/>
  <c r="A418" i="2"/>
  <c r="CI417" i="2"/>
  <c r="CH417" i="2"/>
  <c r="CG417" i="2"/>
  <c r="CF417" i="2"/>
  <c r="CE417" i="2"/>
  <c r="CD417" i="2"/>
  <c r="CC417" i="2"/>
  <c r="BZ417" i="2"/>
  <c r="BY417" i="2"/>
  <c r="BX417" i="2"/>
  <c r="BW417" i="2"/>
  <c r="F417" i="2"/>
  <c r="D417" i="2"/>
  <c r="C417" i="2"/>
  <c r="B417" i="2"/>
  <c r="A417" i="2"/>
  <c r="CI416" i="2"/>
  <c r="CH416" i="2"/>
  <c r="CG416" i="2"/>
  <c r="CF416" i="2"/>
  <c r="CE416" i="2"/>
  <c r="CD416" i="2"/>
  <c r="CC416" i="2"/>
  <c r="BZ416" i="2"/>
  <c r="BY416" i="2"/>
  <c r="BX416" i="2"/>
  <c r="BW416" i="2"/>
  <c r="G416" i="2"/>
  <c r="F416" i="2"/>
  <c r="D416" i="2"/>
  <c r="C416" i="2"/>
  <c r="B416" i="2"/>
  <c r="A416" i="2"/>
  <c r="CI415" i="2"/>
  <c r="CH415" i="2"/>
  <c r="CG415" i="2"/>
  <c r="CF415" i="2"/>
  <c r="CE415" i="2"/>
  <c r="CD415" i="2"/>
  <c r="CC415" i="2"/>
  <c r="BZ415" i="2"/>
  <c r="BY415" i="2"/>
  <c r="BX415" i="2"/>
  <c r="BW415" i="2"/>
  <c r="Q415" i="2"/>
  <c r="G415" i="2"/>
  <c r="F415" i="2"/>
  <c r="E415" i="2"/>
  <c r="D415" i="2"/>
  <c r="C415" i="2"/>
  <c r="B415" i="2"/>
  <c r="A415" i="2"/>
  <c r="CI414" i="2"/>
  <c r="CH414" i="2"/>
  <c r="CG414" i="2"/>
  <c r="CF414" i="2"/>
  <c r="CD414" i="2"/>
  <c r="CC414" i="2"/>
  <c r="BZ414" i="2"/>
  <c r="BY414" i="2"/>
  <c r="BX414" i="2"/>
  <c r="BW414" i="2"/>
  <c r="P414" i="2"/>
  <c r="G414" i="2"/>
  <c r="F414" i="2"/>
  <c r="E414" i="2"/>
  <c r="D414" i="2"/>
  <c r="C414" i="2"/>
  <c r="B414" i="2"/>
  <c r="A414" i="2"/>
  <c r="CI413" i="2"/>
  <c r="CH413" i="2"/>
  <c r="CG413" i="2"/>
  <c r="CF413" i="2"/>
  <c r="CE413" i="2"/>
  <c r="CD413" i="2"/>
  <c r="CC413" i="2"/>
  <c r="BZ413" i="2"/>
  <c r="BY413" i="2"/>
  <c r="BX413" i="2"/>
  <c r="BW413" i="2"/>
  <c r="P413" i="2"/>
  <c r="G413" i="2"/>
  <c r="F413" i="2"/>
  <c r="E413" i="2"/>
  <c r="D413" i="2"/>
  <c r="C413" i="2"/>
  <c r="B413" i="2"/>
  <c r="A413" i="2"/>
  <c r="CI412" i="2"/>
  <c r="CH412" i="2"/>
  <c r="CG412" i="2"/>
  <c r="CF412" i="2"/>
  <c r="CE412" i="2"/>
  <c r="CD412" i="2"/>
  <c r="CC412" i="2"/>
  <c r="BZ412" i="2"/>
  <c r="BY412" i="2"/>
  <c r="BX412" i="2"/>
  <c r="BW412" i="2"/>
  <c r="H412" i="2"/>
  <c r="G412" i="2"/>
  <c r="F412" i="2"/>
  <c r="E412" i="2"/>
  <c r="D412" i="2"/>
  <c r="C412" i="2"/>
  <c r="B412" i="2"/>
  <c r="A412" i="2"/>
  <c r="CI411" i="2"/>
  <c r="CH411" i="2"/>
  <c r="CG411" i="2"/>
  <c r="CF411" i="2"/>
  <c r="CE411" i="2"/>
  <c r="CD411" i="2"/>
  <c r="CC411" i="2"/>
  <c r="BZ411" i="2"/>
  <c r="BY411" i="2"/>
  <c r="BX411" i="2"/>
  <c r="BW411" i="2"/>
  <c r="Q411" i="2"/>
  <c r="G411" i="2"/>
  <c r="F411" i="2"/>
  <c r="E411" i="2"/>
  <c r="D411" i="2"/>
  <c r="C411" i="2"/>
  <c r="B411" i="2"/>
  <c r="A411" i="2"/>
  <c r="CI410" i="2"/>
  <c r="CH410" i="2"/>
  <c r="CG410" i="2"/>
  <c r="CF410" i="2"/>
  <c r="CE410" i="2"/>
  <c r="CD410" i="2"/>
  <c r="CC410" i="2"/>
  <c r="BZ410" i="2"/>
  <c r="BY410" i="2"/>
  <c r="BX410" i="2"/>
  <c r="BW410" i="2"/>
  <c r="G410" i="2"/>
  <c r="F410" i="2"/>
  <c r="E410" i="2"/>
  <c r="D410" i="2"/>
  <c r="C410" i="2"/>
  <c r="B410" i="2"/>
  <c r="A410" i="2"/>
  <c r="CI409" i="2"/>
  <c r="CH409" i="2"/>
  <c r="CG409" i="2"/>
  <c r="CF409" i="2"/>
  <c r="CE409" i="2"/>
  <c r="CD409" i="2"/>
  <c r="CC409" i="2"/>
  <c r="BZ409" i="2"/>
  <c r="BY409" i="2"/>
  <c r="BX409" i="2"/>
  <c r="BW409" i="2"/>
  <c r="Q409" i="2"/>
  <c r="G409" i="2"/>
  <c r="F409" i="2"/>
  <c r="E409" i="2"/>
  <c r="D409" i="2"/>
  <c r="C409" i="2"/>
  <c r="B409" i="2"/>
  <c r="A409" i="2"/>
  <c r="CI408" i="2"/>
  <c r="CH408" i="2"/>
  <c r="CG408" i="2"/>
  <c r="CF408" i="2"/>
  <c r="CD408" i="2"/>
  <c r="CC408" i="2"/>
  <c r="BZ408" i="2"/>
  <c r="BY408" i="2"/>
  <c r="BX408" i="2"/>
  <c r="BW408" i="2"/>
  <c r="H408" i="2"/>
  <c r="G408" i="2"/>
  <c r="F408" i="2"/>
  <c r="E408" i="2"/>
  <c r="D408" i="2"/>
  <c r="C408" i="2"/>
  <c r="B408" i="2"/>
  <c r="A408" i="2"/>
  <c r="CI407" i="2"/>
  <c r="CH407" i="2"/>
  <c r="CG407" i="2"/>
  <c r="CF407" i="2"/>
  <c r="CD407" i="2"/>
  <c r="CC407" i="2"/>
  <c r="BZ407" i="2"/>
  <c r="BY407" i="2"/>
  <c r="BX407" i="2"/>
  <c r="BW407" i="2"/>
  <c r="S407" i="2"/>
  <c r="G407" i="2"/>
  <c r="F407" i="2"/>
  <c r="E407" i="2"/>
  <c r="D407" i="2"/>
  <c r="C407" i="2"/>
  <c r="B407" i="2"/>
  <c r="A407" i="2"/>
  <c r="CI406" i="2"/>
  <c r="CH406" i="2"/>
  <c r="CG406" i="2"/>
  <c r="CF406" i="2"/>
  <c r="CD406" i="2"/>
  <c r="CC406" i="2"/>
  <c r="BZ406" i="2"/>
  <c r="BY406" i="2"/>
  <c r="BX406" i="2"/>
  <c r="BW406" i="2"/>
  <c r="O406" i="2"/>
  <c r="G406" i="2"/>
  <c r="F406" i="2"/>
  <c r="E406" i="2"/>
  <c r="D406" i="2"/>
  <c r="C406" i="2"/>
  <c r="B406" i="2"/>
  <c r="A406" i="2"/>
  <c r="CI405" i="2"/>
  <c r="CH405" i="2"/>
  <c r="CG405" i="2"/>
  <c r="CF405" i="2"/>
  <c r="CE405" i="2"/>
  <c r="CD405" i="2"/>
  <c r="CC405" i="2"/>
  <c r="BZ405" i="2"/>
  <c r="BY405" i="2"/>
  <c r="BX405" i="2"/>
  <c r="BW405" i="2"/>
  <c r="L405" i="2"/>
  <c r="G405" i="2"/>
  <c r="F405" i="2"/>
  <c r="E405" i="2"/>
  <c r="D405" i="2"/>
  <c r="C405" i="2"/>
  <c r="B405" i="2"/>
  <c r="A405" i="2"/>
  <c r="CI404" i="2"/>
  <c r="CH404" i="2"/>
  <c r="CG404" i="2"/>
  <c r="CF404" i="2"/>
  <c r="CE404" i="2"/>
  <c r="CD404" i="2"/>
  <c r="CC404" i="2"/>
  <c r="BZ404" i="2"/>
  <c r="BY404" i="2"/>
  <c r="BX404" i="2"/>
  <c r="BW404" i="2"/>
  <c r="G404" i="2"/>
  <c r="F404" i="2"/>
  <c r="E404" i="2"/>
  <c r="D404" i="2"/>
  <c r="C404" i="2"/>
  <c r="B404" i="2"/>
  <c r="A404" i="2"/>
  <c r="CI403" i="2"/>
  <c r="CH403" i="2"/>
  <c r="CG403" i="2"/>
  <c r="CF403" i="2"/>
  <c r="CE403" i="2"/>
  <c r="CD403" i="2"/>
  <c r="CC403" i="2"/>
  <c r="BZ403" i="2"/>
  <c r="BY403" i="2"/>
  <c r="BX403" i="2"/>
  <c r="BW403" i="2"/>
  <c r="T403" i="2"/>
  <c r="G403" i="2"/>
  <c r="F403" i="2"/>
  <c r="E403" i="2"/>
  <c r="D403" i="2"/>
  <c r="C403" i="2"/>
  <c r="B403" i="2"/>
  <c r="A403" i="2"/>
  <c r="CI402" i="2"/>
  <c r="CH402" i="2"/>
  <c r="CG402" i="2"/>
  <c r="CF402" i="2"/>
  <c r="CE402" i="2"/>
  <c r="CD402" i="2"/>
  <c r="CC402" i="2"/>
  <c r="BZ402" i="2"/>
  <c r="BY402" i="2"/>
  <c r="BX402" i="2"/>
  <c r="BW402" i="2"/>
  <c r="Q402" i="2"/>
  <c r="G402" i="2"/>
  <c r="F402" i="2"/>
  <c r="E402" i="2"/>
  <c r="D402" i="2"/>
  <c r="C402" i="2"/>
  <c r="B402" i="2"/>
  <c r="A402" i="2"/>
  <c r="CI401" i="2"/>
  <c r="CH401" i="2"/>
  <c r="CG401" i="2"/>
  <c r="CF401" i="2"/>
  <c r="CE401" i="2"/>
  <c r="CD401" i="2"/>
  <c r="CC401" i="2"/>
  <c r="BZ401" i="2"/>
  <c r="BY401" i="2"/>
  <c r="BX401" i="2"/>
  <c r="BW401" i="2"/>
  <c r="U401" i="2"/>
  <c r="G401" i="2"/>
  <c r="F401" i="2"/>
  <c r="E401" i="2"/>
  <c r="D401" i="2"/>
  <c r="C401" i="2"/>
  <c r="B401" i="2"/>
  <c r="A401" i="2"/>
  <c r="CI400" i="2"/>
  <c r="CH400" i="2"/>
  <c r="CG400" i="2"/>
  <c r="CF400" i="2"/>
  <c r="CE400" i="2"/>
  <c r="CD400" i="2"/>
  <c r="CC400" i="2"/>
  <c r="BZ400" i="2"/>
  <c r="BY400" i="2"/>
  <c r="BX400" i="2"/>
  <c r="BW400" i="2"/>
  <c r="N400" i="2"/>
  <c r="G400" i="2"/>
  <c r="F400" i="2"/>
  <c r="E400" i="2"/>
  <c r="D400" i="2"/>
  <c r="C400" i="2"/>
  <c r="B400" i="2"/>
  <c r="A400" i="2"/>
  <c r="CI399" i="2"/>
  <c r="CH399" i="2"/>
  <c r="CG399" i="2"/>
  <c r="CF399" i="2"/>
  <c r="CE399" i="2"/>
  <c r="CD399" i="2"/>
  <c r="CC399" i="2"/>
  <c r="BZ399" i="2"/>
  <c r="BY399" i="2"/>
  <c r="BX399" i="2"/>
  <c r="BW399" i="2"/>
  <c r="R399" i="2"/>
  <c r="G399" i="2"/>
  <c r="F399" i="2"/>
  <c r="E399" i="2"/>
  <c r="D399" i="2"/>
  <c r="C399" i="2"/>
  <c r="B399" i="2"/>
  <c r="A399" i="2"/>
  <c r="CI398" i="2"/>
  <c r="CH398" i="2"/>
  <c r="CG398" i="2"/>
  <c r="CF398" i="2"/>
  <c r="CE398" i="2"/>
  <c r="CD398" i="2"/>
  <c r="CC398" i="2"/>
  <c r="BZ398" i="2"/>
  <c r="BY398" i="2"/>
  <c r="BX398" i="2"/>
  <c r="BW398" i="2"/>
  <c r="L398" i="2"/>
  <c r="G398" i="2"/>
  <c r="F398" i="2"/>
  <c r="E398" i="2"/>
  <c r="D398" i="2"/>
  <c r="C398" i="2"/>
  <c r="B398" i="2"/>
  <c r="A398" i="2"/>
  <c r="CI397" i="2"/>
  <c r="CH397" i="2"/>
  <c r="CG397" i="2"/>
  <c r="CF397" i="2"/>
  <c r="CE397" i="2"/>
  <c r="CD397" i="2"/>
  <c r="CC397" i="2"/>
  <c r="BZ397" i="2"/>
  <c r="BY397" i="2"/>
  <c r="BX397" i="2"/>
  <c r="BW397" i="2"/>
  <c r="H397" i="2"/>
  <c r="G397" i="2"/>
  <c r="F397" i="2"/>
  <c r="D397" i="2"/>
  <c r="C397" i="2"/>
  <c r="B397" i="2"/>
  <c r="A397" i="2"/>
  <c r="CI396" i="2"/>
  <c r="CH396" i="2"/>
  <c r="CG396" i="2"/>
  <c r="CF396" i="2"/>
  <c r="CE396" i="2"/>
  <c r="CD396" i="2"/>
  <c r="CC396" i="2"/>
  <c r="BZ396" i="2"/>
  <c r="BY396" i="2"/>
  <c r="BX396" i="2"/>
  <c r="BW396" i="2"/>
  <c r="U396" i="2"/>
  <c r="G396" i="2"/>
  <c r="F396" i="2"/>
  <c r="E396" i="2"/>
  <c r="D396" i="2"/>
  <c r="C396" i="2"/>
  <c r="B396" i="2"/>
  <c r="A396" i="2"/>
  <c r="CI395" i="2"/>
  <c r="CH395" i="2"/>
  <c r="CG395" i="2"/>
  <c r="CF395" i="2"/>
  <c r="CE395" i="2"/>
  <c r="CD395" i="2"/>
  <c r="CC395" i="2"/>
  <c r="BZ395" i="2"/>
  <c r="BY395" i="2"/>
  <c r="BX395" i="2"/>
  <c r="BW395" i="2"/>
  <c r="L395" i="2"/>
  <c r="G395" i="2"/>
  <c r="F395" i="2"/>
  <c r="E395" i="2"/>
  <c r="D395" i="2"/>
  <c r="C395" i="2"/>
  <c r="B395" i="2"/>
  <c r="A395" i="2"/>
  <c r="CI394" i="2"/>
  <c r="CH394" i="2"/>
  <c r="CG394" i="2"/>
  <c r="CF394" i="2"/>
  <c r="CE394" i="2"/>
  <c r="CD394" i="2"/>
  <c r="CC394" i="2"/>
  <c r="BZ394" i="2"/>
  <c r="BY394" i="2"/>
  <c r="BX394" i="2"/>
  <c r="BW394" i="2"/>
  <c r="S394" i="2"/>
  <c r="G394" i="2"/>
  <c r="F394" i="2"/>
  <c r="E394" i="2"/>
  <c r="D394" i="2"/>
  <c r="C394" i="2"/>
  <c r="B394" i="2"/>
  <c r="A394" i="2"/>
  <c r="CI393" i="2"/>
  <c r="CH393" i="2"/>
  <c r="CG393" i="2"/>
  <c r="CF393" i="2"/>
  <c r="CE393" i="2"/>
  <c r="CD393" i="2"/>
  <c r="CC393" i="2"/>
  <c r="BZ393" i="2"/>
  <c r="BY393" i="2"/>
  <c r="BX393" i="2"/>
  <c r="BW393" i="2"/>
  <c r="H393" i="2"/>
  <c r="G393" i="2"/>
  <c r="F393" i="2"/>
  <c r="E393" i="2"/>
  <c r="D393" i="2"/>
  <c r="C393" i="2"/>
  <c r="B393" i="2"/>
  <c r="A393" i="2"/>
  <c r="CI392" i="2"/>
  <c r="CH392" i="2"/>
  <c r="CG392" i="2"/>
  <c r="CF392" i="2"/>
  <c r="CE392" i="2"/>
  <c r="CD392" i="2"/>
  <c r="CC392" i="2"/>
  <c r="BZ392" i="2"/>
  <c r="BY392" i="2"/>
  <c r="BX392" i="2"/>
  <c r="BW392" i="2"/>
  <c r="M392" i="2"/>
  <c r="G392" i="2"/>
  <c r="F392" i="2"/>
  <c r="E392" i="2"/>
  <c r="D392" i="2"/>
  <c r="C392" i="2"/>
  <c r="B392" i="2"/>
  <c r="A392" i="2"/>
  <c r="CI391" i="2"/>
  <c r="CH391" i="2"/>
  <c r="CG391" i="2"/>
  <c r="CF391" i="2"/>
  <c r="CE391" i="2"/>
  <c r="CD391" i="2"/>
  <c r="CC391" i="2"/>
  <c r="BZ391" i="2"/>
  <c r="BY391" i="2"/>
  <c r="BX391" i="2"/>
  <c r="BW391" i="2"/>
  <c r="Q391" i="2"/>
  <c r="G391" i="2"/>
  <c r="F391" i="2"/>
  <c r="E391" i="2"/>
  <c r="D391" i="2"/>
  <c r="C391" i="2"/>
  <c r="B391" i="2"/>
  <c r="A391" i="2"/>
  <c r="CI390" i="2"/>
  <c r="CH390" i="2"/>
  <c r="CG390" i="2"/>
  <c r="CF390" i="2"/>
  <c r="CE390" i="2"/>
  <c r="CD390" i="2"/>
  <c r="CC390" i="2"/>
  <c r="BZ390" i="2"/>
  <c r="BY390" i="2"/>
  <c r="BX390" i="2"/>
  <c r="BW390" i="2"/>
  <c r="P390" i="2"/>
  <c r="G390" i="2"/>
  <c r="F390" i="2"/>
  <c r="E390" i="2"/>
  <c r="D390" i="2"/>
  <c r="C390" i="2"/>
  <c r="B390" i="2"/>
  <c r="A390" i="2"/>
  <c r="CI389" i="2"/>
  <c r="CH389" i="2"/>
  <c r="CG389" i="2"/>
  <c r="CF389" i="2"/>
  <c r="CE389" i="2"/>
  <c r="CD389" i="2"/>
  <c r="CC389" i="2"/>
  <c r="BZ389" i="2"/>
  <c r="BY389" i="2"/>
  <c r="BX389" i="2"/>
  <c r="BW389" i="2"/>
  <c r="G389" i="2"/>
  <c r="F389" i="2"/>
  <c r="E389" i="2"/>
  <c r="D389" i="2"/>
  <c r="C389" i="2"/>
  <c r="B389" i="2"/>
  <c r="A389" i="2"/>
  <c r="CI388" i="2"/>
  <c r="CH388" i="2"/>
  <c r="CG388" i="2"/>
  <c r="CF388" i="2"/>
  <c r="CE388" i="2"/>
  <c r="CD388" i="2"/>
  <c r="CC388" i="2"/>
  <c r="BZ388" i="2"/>
  <c r="BY388" i="2"/>
  <c r="BX388" i="2"/>
  <c r="BW388" i="2"/>
  <c r="P388" i="2"/>
  <c r="G388" i="2"/>
  <c r="F388" i="2"/>
  <c r="E388" i="2"/>
  <c r="D388" i="2"/>
  <c r="C388" i="2"/>
  <c r="B388" i="2"/>
  <c r="A388" i="2"/>
  <c r="CI387" i="2"/>
  <c r="CH387" i="2"/>
  <c r="CG387" i="2"/>
  <c r="CF387" i="2"/>
  <c r="CE387" i="2"/>
  <c r="CD387" i="2"/>
  <c r="CC387" i="2"/>
  <c r="BZ387" i="2"/>
  <c r="BY387" i="2"/>
  <c r="BX387" i="2"/>
  <c r="BW387" i="2"/>
  <c r="P387" i="2"/>
  <c r="G387" i="2"/>
  <c r="F387" i="2"/>
  <c r="E387" i="2"/>
  <c r="D387" i="2"/>
  <c r="C387" i="2"/>
  <c r="B387" i="2"/>
  <c r="A387" i="2"/>
  <c r="CI386" i="2"/>
  <c r="CH386" i="2"/>
  <c r="CG386" i="2"/>
  <c r="CF386" i="2"/>
  <c r="CE386" i="2"/>
  <c r="CD386" i="2"/>
  <c r="CC386" i="2"/>
  <c r="BZ386" i="2"/>
  <c r="BY386" i="2"/>
  <c r="BX386" i="2"/>
  <c r="BW386" i="2"/>
  <c r="H386" i="2"/>
  <c r="G386" i="2"/>
  <c r="F386" i="2"/>
  <c r="E386" i="2"/>
  <c r="D386" i="2"/>
  <c r="C386" i="2"/>
  <c r="B386" i="2"/>
  <c r="A386" i="2"/>
  <c r="CI385" i="2"/>
  <c r="CH385" i="2"/>
  <c r="CG385" i="2"/>
  <c r="CF385" i="2"/>
  <c r="CE385" i="2"/>
  <c r="CD385" i="2"/>
  <c r="CC385" i="2"/>
  <c r="BZ385" i="2"/>
  <c r="BY385" i="2"/>
  <c r="BX385" i="2"/>
  <c r="BW385" i="2"/>
  <c r="P385" i="2"/>
  <c r="G385" i="2"/>
  <c r="F385" i="2"/>
  <c r="E385" i="2"/>
  <c r="D385" i="2"/>
  <c r="C385" i="2"/>
  <c r="B385" i="2"/>
  <c r="A385" i="2"/>
  <c r="CI384" i="2"/>
  <c r="CH384" i="2"/>
  <c r="CG384" i="2"/>
  <c r="CF384" i="2"/>
  <c r="CE384" i="2"/>
  <c r="CD384" i="2"/>
  <c r="CC384" i="2"/>
  <c r="BZ384" i="2"/>
  <c r="BY384" i="2"/>
  <c r="BX384" i="2"/>
  <c r="BW384" i="2"/>
  <c r="Q384" i="2"/>
  <c r="G384" i="2"/>
  <c r="F384" i="2"/>
  <c r="E384" i="2"/>
  <c r="D384" i="2"/>
  <c r="C384" i="2"/>
  <c r="B384" i="2"/>
  <c r="A384" i="2"/>
  <c r="CI383" i="2"/>
  <c r="CH383" i="2"/>
  <c r="CG383" i="2"/>
  <c r="CF383" i="2"/>
  <c r="CE383" i="2"/>
  <c r="CD383" i="2"/>
  <c r="CC383" i="2"/>
  <c r="BZ383" i="2"/>
  <c r="BY383" i="2"/>
  <c r="BX383" i="2"/>
  <c r="BW383" i="2"/>
  <c r="M383" i="2"/>
  <c r="G383" i="2"/>
  <c r="F383" i="2"/>
  <c r="E383" i="2"/>
  <c r="D383" i="2"/>
  <c r="C383" i="2"/>
  <c r="B383" i="2"/>
  <c r="A383" i="2"/>
  <c r="CI382" i="2"/>
  <c r="CH382" i="2"/>
  <c r="CG382" i="2"/>
  <c r="CF382" i="2"/>
  <c r="CE382" i="2"/>
  <c r="CD382" i="2"/>
  <c r="CC382" i="2"/>
  <c r="BZ382" i="2"/>
  <c r="BY382" i="2"/>
  <c r="BX382" i="2"/>
  <c r="BW382" i="2"/>
  <c r="P382" i="2"/>
  <c r="G382" i="2"/>
  <c r="F382" i="2"/>
  <c r="E382" i="2"/>
  <c r="D382" i="2"/>
  <c r="C382" i="2"/>
  <c r="B382" i="2"/>
  <c r="A382" i="2"/>
  <c r="CI381" i="2"/>
  <c r="CH381" i="2"/>
  <c r="CG381" i="2"/>
  <c r="CF381" i="2"/>
  <c r="CE381" i="2"/>
  <c r="CD381" i="2"/>
  <c r="CC381" i="2"/>
  <c r="BZ381" i="2"/>
  <c r="BY381" i="2"/>
  <c r="BX381" i="2"/>
  <c r="BW381" i="2"/>
  <c r="O381" i="2"/>
  <c r="G381" i="2"/>
  <c r="F381" i="2"/>
  <c r="E381" i="2"/>
  <c r="D381" i="2"/>
  <c r="C381" i="2"/>
  <c r="B381" i="2"/>
  <c r="A381" i="2"/>
  <c r="CI380" i="2"/>
  <c r="CH380" i="2"/>
  <c r="CG380" i="2"/>
  <c r="CF380" i="2"/>
  <c r="CE380" i="2"/>
  <c r="CD380" i="2"/>
  <c r="CC380" i="2"/>
  <c r="BZ380" i="2"/>
  <c r="BY380" i="2"/>
  <c r="BX380" i="2"/>
  <c r="BW380" i="2"/>
  <c r="P380" i="2"/>
  <c r="G380" i="2"/>
  <c r="F380" i="2"/>
  <c r="E380" i="2"/>
  <c r="D380" i="2"/>
  <c r="C380" i="2"/>
  <c r="B380" i="2"/>
  <c r="A380" i="2"/>
  <c r="CI379" i="2"/>
  <c r="CH379" i="2"/>
  <c r="CG379" i="2"/>
  <c r="CF379" i="2"/>
  <c r="CE379" i="2"/>
  <c r="CD379" i="2"/>
  <c r="CC379" i="2"/>
  <c r="BZ379" i="2"/>
  <c r="BY379" i="2"/>
  <c r="BX379" i="2"/>
  <c r="BW379" i="2"/>
  <c r="U379" i="2"/>
  <c r="G379" i="2"/>
  <c r="F379" i="2"/>
  <c r="E379" i="2"/>
  <c r="D379" i="2"/>
  <c r="C379" i="2"/>
  <c r="B379" i="2"/>
  <c r="A379" i="2"/>
  <c r="CI378" i="2"/>
  <c r="CH378" i="2"/>
  <c r="CG378" i="2"/>
  <c r="CF378" i="2"/>
  <c r="CE378" i="2"/>
  <c r="CD378" i="2"/>
  <c r="CC378" i="2"/>
  <c r="BZ378" i="2"/>
  <c r="BY378" i="2"/>
  <c r="BX378" i="2"/>
  <c r="BW378" i="2"/>
  <c r="P378" i="2"/>
  <c r="G378" i="2"/>
  <c r="F378" i="2"/>
  <c r="E378" i="2"/>
  <c r="D378" i="2"/>
  <c r="C378" i="2"/>
  <c r="B378" i="2"/>
  <c r="A378" i="2"/>
  <c r="CI377" i="2"/>
  <c r="CH377" i="2"/>
  <c r="CG377" i="2"/>
  <c r="CF377" i="2"/>
  <c r="CE377" i="2"/>
  <c r="CD377" i="2"/>
  <c r="CC377" i="2"/>
  <c r="BZ377" i="2"/>
  <c r="BY377" i="2"/>
  <c r="BX377" i="2"/>
  <c r="BW377" i="2"/>
  <c r="P377" i="2"/>
  <c r="G377" i="2"/>
  <c r="F377" i="2"/>
  <c r="E377" i="2"/>
  <c r="D377" i="2"/>
  <c r="C377" i="2"/>
  <c r="B377" i="2"/>
  <c r="A377" i="2"/>
  <c r="CI376" i="2"/>
  <c r="CH376" i="2"/>
  <c r="CG376" i="2"/>
  <c r="CF376" i="2"/>
  <c r="CE376" i="2"/>
  <c r="CD376" i="2"/>
  <c r="CC376" i="2"/>
  <c r="BZ376" i="2"/>
  <c r="BY376" i="2"/>
  <c r="BX376" i="2"/>
  <c r="BW376" i="2"/>
  <c r="O376" i="2"/>
  <c r="G376" i="2"/>
  <c r="F376" i="2"/>
  <c r="E376" i="2"/>
  <c r="D376" i="2"/>
  <c r="C376" i="2"/>
  <c r="B376" i="2"/>
  <c r="A376" i="2"/>
  <c r="CI375" i="2"/>
  <c r="CH375" i="2"/>
  <c r="CG375" i="2"/>
  <c r="CF375" i="2"/>
  <c r="CE375" i="2"/>
  <c r="CD375" i="2"/>
  <c r="CC375" i="2"/>
  <c r="BZ375" i="2"/>
  <c r="BY375" i="2"/>
  <c r="BX375" i="2"/>
  <c r="BW375" i="2"/>
  <c r="H375" i="2"/>
  <c r="G375" i="2"/>
  <c r="F375" i="2"/>
  <c r="D375" i="2"/>
  <c r="C375" i="2"/>
  <c r="B375" i="2"/>
  <c r="A375" i="2"/>
  <c r="CI374" i="2"/>
  <c r="CH374" i="2"/>
  <c r="CG374" i="2"/>
  <c r="CF374" i="2"/>
  <c r="CE374" i="2"/>
  <c r="CD374" i="2"/>
  <c r="CC374" i="2"/>
  <c r="BZ374" i="2"/>
  <c r="BY374" i="2"/>
  <c r="BX374" i="2"/>
  <c r="BW374" i="2"/>
  <c r="M374" i="2"/>
  <c r="G374" i="2"/>
  <c r="F374" i="2"/>
  <c r="E374" i="2"/>
  <c r="D374" i="2"/>
  <c r="C374" i="2"/>
  <c r="B374" i="2"/>
  <c r="A374" i="2"/>
  <c r="CI373" i="2"/>
  <c r="CH373" i="2"/>
  <c r="CG373" i="2"/>
  <c r="CF373" i="2"/>
  <c r="CE373" i="2"/>
  <c r="CD373" i="2"/>
  <c r="CC373" i="2"/>
  <c r="BZ373" i="2"/>
  <c r="BY373" i="2"/>
  <c r="BX373" i="2"/>
  <c r="BW373" i="2"/>
  <c r="G373" i="2"/>
  <c r="F373" i="2"/>
  <c r="E373" i="2"/>
  <c r="D373" i="2"/>
  <c r="C373" i="2"/>
  <c r="B373" i="2"/>
  <c r="A373" i="2"/>
  <c r="CI372" i="2"/>
  <c r="CH372" i="2"/>
  <c r="CG372" i="2"/>
  <c r="CF372" i="2"/>
  <c r="CE372" i="2"/>
  <c r="CD372" i="2"/>
  <c r="CC372" i="2"/>
  <c r="BZ372" i="2"/>
  <c r="BY372" i="2"/>
  <c r="BX372" i="2"/>
  <c r="BW372" i="2"/>
  <c r="M372" i="2"/>
  <c r="G372" i="2"/>
  <c r="F372" i="2"/>
  <c r="E372" i="2"/>
  <c r="D372" i="2"/>
  <c r="C372" i="2"/>
  <c r="B372" i="2"/>
  <c r="A372" i="2"/>
  <c r="CI371" i="2"/>
  <c r="CH371" i="2"/>
  <c r="CG371" i="2"/>
  <c r="CF371" i="2"/>
  <c r="CE371" i="2"/>
  <c r="CD371" i="2"/>
  <c r="CC371" i="2"/>
  <c r="BZ371" i="2"/>
  <c r="BY371" i="2"/>
  <c r="BX371" i="2"/>
  <c r="BW371" i="2"/>
  <c r="H371" i="2"/>
  <c r="G371" i="2"/>
  <c r="F371" i="2"/>
  <c r="E371" i="2"/>
  <c r="D371" i="2"/>
  <c r="C371" i="2"/>
  <c r="B371" i="2"/>
  <c r="A371" i="2"/>
  <c r="CI370" i="2"/>
  <c r="CH370" i="2"/>
  <c r="CG370" i="2"/>
  <c r="CF370" i="2"/>
  <c r="CE370" i="2"/>
  <c r="CD370" i="2"/>
  <c r="CC370" i="2"/>
  <c r="BZ370" i="2"/>
  <c r="BY370" i="2"/>
  <c r="BX370" i="2"/>
  <c r="BW370" i="2"/>
  <c r="Q370" i="2"/>
  <c r="G370" i="2"/>
  <c r="F370" i="2"/>
  <c r="E370" i="2"/>
  <c r="D370" i="2"/>
  <c r="C370" i="2"/>
  <c r="B370" i="2"/>
  <c r="A370" i="2"/>
  <c r="CI369" i="2"/>
  <c r="CH369" i="2"/>
  <c r="CG369" i="2"/>
  <c r="CF369" i="2"/>
  <c r="CE369" i="2"/>
  <c r="CD369" i="2"/>
  <c r="CC369" i="2"/>
  <c r="BZ369" i="2"/>
  <c r="BY369" i="2"/>
  <c r="BX369" i="2"/>
  <c r="BW369" i="2"/>
  <c r="M369" i="2"/>
  <c r="G369" i="2"/>
  <c r="F369" i="2"/>
  <c r="E369" i="2"/>
  <c r="D369" i="2"/>
  <c r="C369" i="2"/>
  <c r="B369" i="2"/>
  <c r="A369" i="2"/>
  <c r="CI368" i="2"/>
  <c r="CH368" i="2"/>
  <c r="CG368" i="2"/>
  <c r="CF368" i="2"/>
  <c r="CE368" i="2"/>
  <c r="CD368" i="2"/>
  <c r="CC368" i="2"/>
  <c r="BZ368" i="2"/>
  <c r="BY368" i="2"/>
  <c r="BX368" i="2"/>
  <c r="BW368" i="2"/>
  <c r="P368" i="2"/>
  <c r="G368" i="2"/>
  <c r="F368" i="2"/>
  <c r="E368" i="2"/>
  <c r="D368" i="2"/>
  <c r="C368" i="2"/>
  <c r="B368" i="2"/>
  <c r="A368" i="2"/>
  <c r="CI367" i="2"/>
  <c r="CH367" i="2"/>
  <c r="CG367" i="2"/>
  <c r="CF367" i="2"/>
  <c r="CE367" i="2"/>
  <c r="CD367" i="2"/>
  <c r="CC367" i="2"/>
  <c r="BZ367" i="2"/>
  <c r="BY367" i="2"/>
  <c r="BX367" i="2"/>
  <c r="BW367" i="2"/>
  <c r="P367" i="2"/>
  <c r="G367" i="2"/>
  <c r="F367" i="2"/>
  <c r="E367" i="2"/>
  <c r="D367" i="2"/>
  <c r="C367" i="2"/>
  <c r="B367" i="2"/>
  <c r="A367" i="2"/>
  <c r="CI366" i="2"/>
  <c r="CH366" i="2"/>
  <c r="CG366" i="2"/>
  <c r="CF366" i="2"/>
  <c r="CE366" i="2"/>
  <c r="CD366" i="2"/>
  <c r="CC366" i="2"/>
  <c r="BZ366" i="2"/>
  <c r="BY366" i="2"/>
  <c r="BX366" i="2"/>
  <c r="BW366" i="2"/>
  <c r="H366" i="2"/>
  <c r="G366" i="2"/>
  <c r="F366" i="2"/>
  <c r="E366" i="2"/>
  <c r="D366" i="2"/>
  <c r="C366" i="2"/>
  <c r="B366" i="2"/>
  <c r="A366" i="2"/>
  <c r="CI365" i="2"/>
  <c r="CH365" i="2"/>
  <c r="CG365" i="2"/>
  <c r="CF365" i="2"/>
  <c r="CE365" i="2"/>
  <c r="CD365" i="2"/>
  <c r="CC365" i="2"/>
  <c r="BZ365" i="2"/>
  <c r="BY365" i="2"/>
  <c r="BX365" i="2"/>
  <c r="BW365" i="2"/>
  <c r="U365" i="2"/>
  <c r="G365" i="2"/>
  <c r="F365" i="2"/>
  <c r="E365" i="2"/>
  <c r="D365" i="2"/>
  <c r="C365" i="2"/>
  <c r="B365" i="2"/>
  <c r="A365" i="2"/>
  <c r="CI364" i="2"/>
  <c r="CH364" i="2"/>
  <c r="CG364" i="2"/>
  <c r="CF364" i="2"/>
  <c r="CE364" i="2"/>
  <c r="CD364" i="2"/>
  <c r="CC364" i="2"/>
  <c r="BZ364" i="2"/>
  <c r="BY364" i="2"/>
  <c r="BX364" i="2"/>
  <c r="BW364" i="2"/>
  <c r="L364" i="2"/>
  <c r="G364" i="2"/>
  <c r="F364" i="2"/>
  <c r="E364" i="2"/>
  <c r="D364" i="2"/>
  <c r="C364" i="2"/>
  <c r="B364" i="2"/>
  <c r="A364" i="2"/>
  <c r="CI363" i="2"/>
  <c r="CH363" i="2"/>
  <c r="CG363" i="2"/>
  <c r="CF363" i="2"/>
  <c r="CE363" i="2"/>
  <c r="CD363" i="2"/>
  <c r="CC363" i="2"/>
  <c r="BZ363" i="2"/>
  <c r="BY363" i="2"/>
  <c r="BX363" i="2"/>
  <c r="BW363" i="2"/>
  <c r="Q363" i="2"/>
  <c r="G363" i="2"/>
  <c r="F363" i="2"/>
  <c r="E363" i="2"/>
  <c r="D363" i="2"/>
  <c r="C363" i="2"/>
  <c r="B363" i="2"/>
  <c r="A363" i="2"/>
  <c r="CI362" i="2"/>
  <c r="CH362" i="2"/>
  <c r="CG362" i="2"/>
  <c r="CF362" i="2"/>
  <c r="CE362" i="2"/>
  <c r="CD362" i="2"/>
  <c r="CC362" i="2"/>
  <c r="BZ362" i="2"/>
  <c r="BY362" i="2"/>
  <c r="BX362" i="2"/>
  <c r="BW362" i="2"/>
  <c r="T362" i="2"/>
  <c r="G362" i="2"/>
  <c r="F362" i="2"/>
  <c r="E362" i="2"/>
  <c r="D362" i="2"/>
  <c r="C362" i="2"/>
  <c r="B362" i="2"/>
  <c r="A362" i="2"/>
  <c r="CI361" i="2"/>
  <c r="CH361" i="2"/>
  <c r="CG361" i="2"/>
  <c r="CF361" i="2"/>
  <c r="CE361" i="2"/>
  <c r="CD361" i="2"/>
  <c r="CC361" i="2"/>
  <c r="BZ361" i="2"/>
  <c r="BY361" i="2"/>
  <c r="BX361" i="2"/>
  <c r="BW361" i="2"/>
  <c r="T361" i="2"/>
  <c r="G361" i="2"/>
  <c r="F361" i="2"/>
  <c r="E361" i="2"/>
  <c r="D361" i="2"/>
  <c r="C361" i="2"/>
  <c r="B361" i="2"/>
  <c r="A361" i="2"/>
  <c r="CI360" i="2"/>
  <c r="CH360" i="2"/>
  <c r="CG360" i="2"/>
  <c r="CF360" i="2"/>
  <c r="CE360" i="2"/>
  <c r="CD360" i="2"/>
  <c r="CC360" i="2"/>
  <c r="BZ360" i="2"/>
  <c r="BY360" i="2"/>
  <c r="BX360" i="2"/>
  <c r="BW360" i="2"/>
  <c r="U360" i="2"/>
  <c r="G360" i="2"/>
  <c r="F360" i="2"/>
  <c r="E360" i="2"/>
  <c r="D360" i="2"/>
  <c r="C360" i="2"/>
  <c r="B360" i="2"/>
  <c r="A360" i="2"/>
  <c r="CI359" i="2"/>
  <c r="CH359" i="2"/>
  <c r="CG359" i="2"/>
  <c r="CF359" i="2"/>
  <c r="CE359" i="2"/>
  <c r="CD359" i="2"/>
  <c r="CC359" i="2"/>
  <c r="BZ359" i="2"/>
  <c r="BY359" i="2"/>
  <c r="BX359" i="2"/>
  <c r="BW359" i="2"/>
  <c r="P359" i="2"/>
  <c r="G359" i="2"/>
  <c r="F359" i="2"/>
  <c r="E359" i="2"/>
  <c r="D359" i="2"/>
  <c r="C359" i="2"/>
  <c r="B359" i="2"/>
  <c r="A359" i="2"/>
  <c r="CI358" i="2"/>
  <c r="CH358" i="2"/>
  <c r="CG358" i="2"/>
  <c r="CF358" i="2"/>
  <c r="CE358" i="2"/>
  <c r="CD358" i="2"/>
  <c r="CC358" i="2"/>
  <c r="BZ358" i="2"/>
  <c r="BY358" i="2"/>
  <c r="BX358" i="2"/>
  <c r="BW358" i="2"/>
  <c r="Q358" i="2"/>
  <c r="G358" i="2"/>
  <c r="F358" i="2"/>
  <c r="E358" i="2"/>
  <c r="D358" i="2"/>
  <c r="C358" i="2"/>
  <c r="B358" i="2"/>
  <c r="A358" i="2"/>
  <c r="CI357" i="2"/>
  <c r="CH357" i="2"/>
  <c r="CG357" i="2"/>
  <c r="CF357" i="2"/>
  <c r="CE357" i="2"/>
  <c r="CD357" i="2"/>
  <c r="CC357" i="2"/>
  <c r="BZ357" i="2"/>
  <c r="BY357" i="2"/>
  <c r="BX357" i="2"/>
  <c r="BW357" i="2"/>
  <c r="H357" i="2"/>
  <c r="G357" i="2"/>
  <c r="F357" i="2"/>
  <c r="E357" i="2"/>
  <c r="D357" i="2"/>
  <c r="C357" i="2"/>
  <c r="B357" i="2"/>
  <c r="A357" i="2"/>
  <c r="CI356" i="2"/>
  <c r="CH356" i="2"/>
  <c r="CG356" i="2"/>
  <c r="CF356" i="2"/>
  <c r="CE356" i="2"/>
  <c r="CD356" i="2"/>
  <c r="CC356" i="2"/>
  <c r="BZ356" i="2"/>
  <c r="BY356" i="2"/>
  <c r="BX356" i="2"/>
  <c r="BW356" i="2"/>
  <c r="L356" i="2"/>
  <c r="G356" i="2"/>
  <c r="F356" i="2"/>
  <c r="E356" i="2"/>
  <c r="D356" i="2"/>
  <c r="C356" i="2"/>
  <c r="B356" i="2"/>
  <c r="A356" i="2"/>
  <c r="CI355" i="2"/>
  <c r="CH355" i="2"/>
  <c r="CG355" i="2"/>
  <c r="CF355" i="2"/>
  <c r="CE355" i="2"/>
  <c r="CD355" i="2"/>
  <c r="CC355" i="2"/>
  <c r="BZ355" i="2"/>
  <c r="BY355" i="2"/>
  <c r="BX355" i="2"/>
  <c r="BW355" i="2"/>
  <c r="P355" i="2"/>
  <c r="G355" i="2"/>
  <c r="F355" i="2"/>
  <c r="E355" i="2"/>
  <c r="D355" i="2"/>
  <c r="C355" i="2"/>
  <c r="B355" i="2"/>
  <c r="A355" i="2"/>
  <c r="CI354" i="2"/>
  <c r="CH354" i="2"/>
  <c r="CG354" i="2"/>
  <c r="CF354" i="2"/>
  <c r="CE354" i="2"/>
  <c r="CD354" i="2"/>
  <c r="CC354" i="2"/>
  <c r="BZ354" i="2"/>
  <c r="BY354" i="2"/>
  <c r="BX354" i="2"/>
  <c r="BW354" i="2"/>
  <c r="H354" i="2"/>
  <c r="G354" i="2"/>
  <c r="F354" i="2"/>
  <c r="E354" i="2"/>
  <c r="D354" i="2"/>
  <c r="C354" i="2"/>
  <c r="B354" i="2"/>
  <c r="A354" i="2"/>
  <c r="CI353" i="2"/>
  <c r="CH353" i="2"/>
  <c r="CG353" i="2"/>
  <c r="CF353" i="2"/>
  <c r="CE353" i="2"/>
  <c r="CD353" i="2"/>
  <c r="CC353" i="2"/>
  <c r="BZ353" i="2"/>
  <c r="BY353" i="2"/>
  <c r="BX353" i="2"/>
  <c r="BW353" i="2"/>
  <c r="M353" i="2"/>
  <c r="G353" i="2"/>
  <c r="F353" i="2"/>
  <c r="E353" i="2"/>
  <c r="D353" i="2"/>
  <c r="C353" i="2"/>
  <c r="B353" i="2"/>
  <c r="A353" i="2"/>
  <c r="CI352" i="2"/>
  <c r="CH352" i="2"/>
  <c r="CG352" i="2"/>
  <c r="CF352" i="2"/>
  <c r="CE352" i="2"/>
  <c r="CD352" i="2"/>
  <c r="CC352" i="2"/>
  <c r="BZ352" i="2"/>
  <c r="BY352" i="2"/>
  <c r="BX352" i="2"/>
  <c r="BW352" i="2"/>
  <c r="G352" i="2"/>
  <c r="F352" i="2"/>
  <c r="E352" i="2"/>
  <c r="D352" i="2"/>
  <c r="C352" i="2"/>
  <c r="B352" i="2"/>
  <c r="A352" i="2"/>
  <c r="CI351" i="2"/>
  <c r="CH351" i="2"/>
  <c r="CG351" i="2"/>
  <c r="CF351" i="2"/>
  <c r="CE351" i="2"/>
  <c r="CD351" i="2"/>
  <c r="CC351" i="2"/>
  <c r="BZ351" i="2"/>
  <c r="BY351" i="2"/>
  <c r="BX351" i="2"/>
  <c r="BW351" i="2"/>
  <c r="M351" i="2"/>
  <c r="G351" i="2"/>
  <c r="F351" i="2"/>
  <c r="E351" i="2"/>
  <c r="D351" i="2"/>
  <c r="C351" i="2"/>
  <c r="B351" i="2"/>
  <c r="A351" i="2"/>
  <c r="CI350" i="2"/>
  <c r="CH350" i="2"/>
  <c r="CG350" i="2"/>
  <c r="CF350" i="2"/>
  <c r="CE350" i="2"/>
  <c r="CD350" i="2"/>
  <c r="CC350" i="2"/>
  <c r="BZ350" i="2"/>
  <c r="BY350" i="2"/>
  <c r="BX350" i="2"/>
  <c r="BW350" i="2"/>
  <c r="H350" i="2"/>
  <c r="G350" i="2"/>
  <c r="F350" i="2"/>
  <c r="E350" i="2"/>
  <c r="D350" i="2"/>
  <c r="C350" i="2"/>
  <c r="B350" i="2"/>
  <c r="A350" i="2"/>
  <c r="CI349" i="2"/>
  <c r="CH349" i="2"/>
  <c r="CG349" i="2"/>
  <c r="CF349" i="2"/>
  <c r="CE349" i="2"/>
  <c r="CD349" i="2"/>
  <c r="CC349" i="2"/>
  <c r="BZ349" i="2"/>
  <c r="BY349" i="2"/>
  <c r="BX349" i="2"/>
  <c r="BW349" i="2"/>
  <c r="T349" i="2"/>
  <c r="G349" i="2"/>
  <c r="F349" i="2"/>
  <c r="E349" i="2"/>
  <c r="D349" i="2"/>
  <c r="C349" i="2"/>
  <c r="B349" i="2"/>
  <c r="A349" i="2"/>
  <c r="CI348" i="2"/>
  <c r="CH348" i="2"/>
  <c r="CG348" i="2"/>
  <c r="CF348" i="2"/>
  <c r="CE348" i="2"/>
  <c r="CD348" i="2"/>
  <c r="CC348" i="2"/>
  <c r="BZ348" i="2"/>
  <c r="BY348" i="2"/>
  <c r="BX348" i="2"/>
  <c r="BW348" i="2"/>
  <c r="P348" i="2"/>
  <c r="G348" i="2"/>
  <c r="F348" i="2"/>
  <c r="E348" i="2"/>
  <c r="D348" i="2"/>
  <c r="C348" i="2"/>
  <c r="B348" i="2"/>
  <c r="A348" i="2"/>
  <c r="CI347" i="2"/>
  <c r="CH347" i="2"/>
  <c r="CG347" i="2"/>
  <c r="CF347" i="2"/>
  <c r="CE347" i="2"/>
  <c r="CD347" i="2"/>
  <c r="CC347" i="2"/>
  <c r="BZ347" i="2"/>
  <c r="BY347" i="2"/>
  <c r="BX347" i="2"/>
  <c r="BW347" i="2"/>
  <c r="M347" i="2"/>
  <c r="G347" i="2"/>
  <c r="F347" i="2"/>
  <c r="E347" i="2"/>
  <c r="D347" i="2"/>
  <c r="C347" i="2"/>
  <c r="B347" i="2"/>
  <c r="A347" i="2"/>
  <c r="CI346" i="2"/>
  <c r="CH346" i="2"/>
  <c r="CG346" i="2"/>
  <c r="CF346" i="2"/>
  <c r="CE346" i="2"/>
  <c r="CD346" i="2"/>
  <c r="CC346" i="2"/>
  <c r="BZ346" i="2"/>
  <c r="BY346" i="2"/>
  <c r="BX346" i="2"/>
  <c r="BW346" i="2"/>
  <c r="J346" i="2"/>
  <c r="G346" i="2"/>
  <c r="F346" i="2"/>
  <c r="E346" i="2"/>
  <c r="D346" i="2"/>
  <c r="C346" i="2"/>
  <c r="B346" i="2"/>
  <c r="A346" i="2"/>
  <c r="CI345" i="2"/>
  <c r="CH345" i="2"/>
  <c r="CG345" i="2"/>
  <c r="CF345" i="2"/>
  <c r="CE345" i="2"/>
  <c r="CD345" i="2"/>
  <c r="CC345" i="2"/>
  <c r="BZ345" i="2"/>
  <c r="BY345" i="2"/>
  <c r="BX345" i="2"/>
  <c r="BW345" i="2"/>
  <c r="V345" i="2"/>
  <c r="G345" i="2"/>
  <c r="F345" i="2"/>
  <c r="E345" i="2"/>
  <c r="D345" i="2"/>
  <c r="C345" i="2"/>
  <c r="B345" i="2"/>
  <c r="A345" i="2"/>
  <c r="CI344" i="2"/>
  <c r="CH344" i="2"/>
  <c r="CG344" i="2"/>
  <c r="CF344" i="2"/>
  <c r="CE344" i="2"/>
  <c r="CD344" i="2"/>
  <c r="CC344" i="2"/>
  <c r="BZ344" i="2"/>
  <c r="BY344" i="2"/>
  <c r="BX344" i="2"/>
  <c r="BW344" i="2"/>
  <c r="H344" i="2"/>
  <c r="G344" i="2"/>
  <c r="F344" i="2"/>
  <c r="E344" i="2"/>
  <c r="D344" i="2"/>
  <c r="C344" i="2"/>
  <c r="B344" i="2"/>
  <c r="A344" i="2"/>
  <c r="CI343" i="2"/>
  <c r="CH343" i="2"/>
  <c r="CG343" i="2"/>
  <c r="CF343" i="2"/>
  <c r="CE343" i="2"/>
  <c r="CD343" i="2"/>
  <c r="CC343" i="2"/>
  <c r="BZ343" i="2"/>
  <c r="BY343" i="2"/>
  <c r="BX343" i="2"/>
  <c r="BW343" i="2"/>
  <c r="P343" i="2"/>
  <c r="G343" i="2"/>
  <c r="F343" i="2"/>
  <c r="E343" i="2"/>
  <c r="D343" i="2"/>
  <c r="C343" i="2"/>
  <c r="B343" i="2"/>
  <c r="A343" i="2"/>
  <c r="CI342" i="2"/>
  <c r="CH342" i="2"/>
  <c r="CG342" i="2"/>
  <c r="CF342" i="2"/>
  <c r="CE342" i="2"/>
  <c r="CD342" i="2"/>
  <c r="CC342" i="2"/>
  <c r="BZ342" i="2"/>
  <c r="BY342" i="2"/>
  <c r="BX342" i="2"/>
  <c r="BW342" i="2"/>
  <c r="J342" i="2"/>
  <c r="G342" i="2"/>
  <c r="F342" i="2"/>
  <c r="E342" i="2"/>
  <c r="D342" i="2"/>
  <c r="C342" i="2"/>
  <c r="B342" i="2"/>
  <c r="A342" i="2"/>
  <c r="CI341" i="2"/>
  <c r="CH341" i="2"/>
  <c r="CG341" i="2"/>
  <c r="CF341" i="2"/>
  <c r="CE341" i="2"/>
  <c r="CD341" i="2"/>
  <c r="CC341" i="2"/>
  <c r="BZ341" i="2"/>
  <c r="BY341" i="2"/>
  <c r="BX341" i="2"/>
  <c r="BW341" i="2"/>
  <c r="H341" i="2"/>
  <c r="G341" i="2"/>
  <c r="F341" i="2"/>
  <c r="E341" i="2"/>
  <c r="D341" i="2"/>
  <c r="C341" i="2"/>
  <c r="B341" i="2"/>
  <c r="A341" i="2"/>
  <c r="CI340" i="2"/>
  <c r="CH340" i="2"/>
  <c r="CG340" i="2"/>
  <c r="CF340" i="2"/>
  <c r="CE340" i="2"/>
  <c r="CD340" i="2"/>
  <c r="CC340" i="2"/>
  <c r="BZ340" i="2"/>
  <c r="BY340" i="2"/>
  <c r="BX340" i="2"/>
  <c r="BW340" i="2"/>
  <c r="P340" i="2"/>
  <c r="G340" i="2"/>
  <c r="F340" i="2"/>
  <c r="E340" i="2"/>
  <c r="D340" i="2"/>
  <c r="C340" i="2"/>
  <c r="B340" i="2"/>
  <c r="A340" i="2"/>
  <c r="CI339" i="2"/>
  <c r="CH339" i="2"/>
  <c r="CG339" i="2"/>
  <c r="CF339" i="2"/>
  <c r="CE339" i="2"/>
  <c r="CD339" i="2"/>
  <c r="CC339" i="2"/>
  <c r="BZ339" i="2"/>
  <c r="BY339" i="2"/>
  <c r="BX339" i="2"/>
  <c r="BW339" i="2"/>
  <c r="P339" i="2"/>
  <c r="G339" i="2"/>
  <c r="F339" i="2"/>
  <c r="E339" i="2"/>
  <c r="D339" i="2"/>
  <c r="C339" i="2"/>
  <c r="B339" i="2"/>
  <c r="A339" i="2"/>
  <c r="CI338" i="2"/>
  <c r="CH338" i="2"/>
  <c r="CG338" i="2"/>
  <c r="CF338" i="2"/>
  <c r="CE338" i="2"/>
  <c r="CD338" i="2"/>
  <c r="CC338" i="2"/>
  <c r="BZ338" i="2"/>
  <c r="BY338" i="2"/>
  <c r="BX338" i="2"/>
  <c r="BW338" i="2"/>
  <c r="H338" i="2"/>
  <c r="G338" i="2"/>
  <c r="F338" i="2"/>
  <c r="E338" i="2"/>
  <c r="D338" i="2"/>
  <c r="C338" i="2"/>
  <c r="B338" i="2"/>
  <c r="A338" i="2"/>
  <c r="CI337" i="2"/>
  <c r="CH337" i="2"/>
  <c r="CG337" i="2"/>
  <c r="CF337" i="2"/>
  <c r="CE337" i="2"/>
  <c r="CD337" i="2"/>
  <c r="CC337" i="2"/>
  <c r="BZ337" i="2"/>
  <c r="BY337" i="2"/>
  <c r="BX337" i="2"/>
  <c r="BW337" i="2"/>
  <c r="F337" i="2"/>
  <c r="E337" i="2"/>
  <c r="D337" i="2"/>
  <c r="C337" i="2"/>
  <c r="B337" i="2"/>
  <c r="A337" i="2"/>
  <c r="CI336" i="2"/>
  <c r="CH336" i="2"/>
  <c r="CG336" i="2"/>
  <c r="CF336" i="2"/>
  <c r="CE336" i="2"/>
  <c r="CD336" i="2"/>
  <c r="CC336" i="2"/>
  <c r="BZ336" i="2"/>
  <c r="BY336" i="2"/>
  <c r="BX336" i="2"/>
  <c r="BW336" i="2"/>
  <c r="T336" i="2"/>
  <c r="G336" i="2"/>
  <c r="F336" i="2"/>
  <c r="D336" i="2"/>
  <c r="C336" i="2"/>
  <c r="B336" i="2"/>
  <c r="A336" i="2"/>
  <c r="CI335" i="2"/>
  <c r="CH335" i="2"/>
  <c r="CG335" i="2"/>
  <c r="CF335" i="2"/>
  <c r="CE335" i="2"/>
  <c r="CD335" i="2"/>
  <c r="CC335" i="2"/>
  <c r="BZ335" i="2"/>
  <c r="BY335" i="2"/>
  <c r="BX335" i="2"/>
  <c r="BW335" i="2"/>
  <c r="H335" i="2"/>
  <c r="G335" i="2"/>
  <c r="F335" i="2"/>
  <c r="E335" i="2"/>
  <c r="D335" i="2"/>
  <c r="C335" i="2"/>
  <c r="B335" i="2"/>
  <c r="A335" i="2"/>
  <c r="CI334" i="2"/>
  <c r="CH334" i="2"/>
  <c r="CG334" i="2"/>
  <c r="CF334" i="2"/>
  <c r="CE334" i="2"/>
  <c r="CD334" i="2"/>
  <c r="CC334" i="2"/>
  <c r="BZ334" i="2"/>
  <c r="BY334" i="2"/>
  <c r="BX334" i="2"/>
  <c r="BW334" i="2"/>
  <c r="H334" i="2"/>
  <c r="G334" i="2"/>
  <c r="F334" i="2"/>
  <c r="E334" i="2"/>
  <c r="D334" i="2"/>
  <c r="C334" i="2"/>
  <c r="B334" i="2"/>
  <c r="A334" i="2"/>
  <c r="CI333" i="2"/>
  <c r="CH333" i="2"/>
  <c r="CG333" i="2"/>
  <c r="CF333" i="2"/>
  <c r="CE333" i="2"/>
  <c r="CD333" i="2"/>
  <c r="CC333" i="2"/>
  <c r="BZ333" i="2"/>
  <c r="BY333" i="2"/>
  <c r="BX333" i="2"/>
  <c r="BW333" i="2"/>
  <c r="M333" i="2"/>
  <c r="G333" i="2"/>
  <c r="F333" i="2"/>
  <c r="E333" i="2"/>
  <c r="D333" i="2"/>
  <c r="C333" i="2"/>
  <c r="B333" i="2"/>
  <c r="A333" i="2"/>
  <c r="CI332" i="2"/>
  <c r="CH332" i="2"/>
  <c r="CG332" i="2"/>
  <c r="CF332" i="2"/>
  <c r="CE332" i="2"/>
  <c r="CD332" i="2"/>
  <c r="CC332" i="2"/>
  <c r="BZ332" i="2"/>
  <c r="BY332" i="2"/>
  <c r="BX332" i="2"/>
  <c r="BW332" i="2"/>
  <c r="H332" i="2"/>
  <c r="G332" i="2"/>
  <c r="F332" i="2"/>
  <c r="E332" i="2"/>
  <c r="D332" i="2"/>
  <c r="C332" i="2"/>
  <c r="B332" i="2"/>
  <c r="A332" i="2"/>
  <c r="CI331" i="2"/>
  <c r="CH331" i="2"/>
  <c r="CG331" i="2"/>
  <c r="CF331" i="2"/>
  <c r="CE331" i="2"/>
  <c r="CD331" i="2"/>
  <c r="CC331" i="2"/>
  <c r="BZ331" i="2"/>
  <c r="BY331" i="2"/>
  <c r="BX331" i="2"/>
  <c r="BW331" i="2"/>
  <c r="Q331" i="2"/>
  <c r="G331" i="2"/>
  <c r="F331" i="2"/>
  <c r="E331" i="2"/>
  <c r="D331" i="2"/>
  <c r="C331" i="2"/>
  <c r="B331" i="2"/>
  <c r="A331" i="2"/>
  <c r="CI330" i="2"/>
  <c r="CH330" i="2"/>
  <c r="CG330" i="2"/>
  <c r="CF330" i="2"/>
  <c r="CE330" i="2"/>
  <c r="CD330" i="2"/>
  <c r="CC330" i="2"/>
  <c r="BZ330" i="2"/>
  <c r="BY330" i="2"/>
  <c r="BX330" i="2"/>
  <c r="BW330" i="2"/>
  <c r="L330" i="2"/>
  <c r="G330" i="2"/>
  <c r="F330" i="2"/>
  <c r="E330" i="2"/>
  <c r="D330" i="2"/>
  <c r="C330" i="2"/>
  <c r="B330" i="2"/>
  <c r="A330" i="2"/>
  <c r="CI329" i="2"/>
  <c r="CH329" i="2"/>
  <c r="CG329" i="2"/>
  <c r="CF329" i="2"/>
  <c r="CE329" i="2"/>
  <c r="CD329" i="2"/>
  <c r="CC329" i="2"/>
  <c r="BZ329" i="2"/>
  <c r="BY329" i="2"/>
  <c r="BX329" i="2"/>
  <c r="BW329" i="2"/>
  <c r="P329" i="2"/>
  <c r="G329" i="2"/>
  <c r="F329" i="2"/>
  <c r="E329" i="2"/>
  <c r="D329" i="2"/>
  <c r="C329" i="2"/>
  <c r="B329" i="2"/>
  <c r="A329" i="2"/>
  <c r="CI328" i="2"/>
  <c r="CH328" i="2"/>
  <c r="CG328" i="2"/>
  <c r="CF328" i="2"/>
  <c r="CE328" i="2"/>
  <c r="CD328" i="2"/>
  <c r="CC328" i="2"/>
  <c r="BZ328" i="2"/>
  <c r="BY328" i="2"/>
  <c r="BX328" i="2"/>
  <c r="BW328" i="2"/>
  <c r="T328" i="2"/>
  <c r="G328" i="2"/>
  <c r="F328" i="2"/>
  <c r="E328" i="2"/>
  <c r="D328" i="2"/>
  <c r="C328" i="2"/>
  <c r="B328" i="2"/>
  <c r="A328" i="2"/>
  <c r="CI327" i="2"/>
  <c r="CH327" i="2"/>
  <c r="CG327" i="2"/>
  <c r="CF327" i="2"/>
  <c r="CE327" i="2"/>
  <c r="CD327" i="2"/>
  <c r="CC327" i="2"/>
  <c r="BZ327" i="2"/>
  <c r="BY327" i="2"/>
  <c r="BX327" i="2"/>
  <c r="BW327" i="2"/>
  <c r="H327" i="2"/>
  <c r="G327" i="2"/>
  <c r="F327" i="2"/>
  <c r="E327" i="2"/>
  <c r="D327" i="2"/>
  <c r="C327" i="2"/>
  <c r="B327" i="2"/>
  <c r="A327" i="2"/>
  <c r="CI326" i="2"/>
  <c r="CH326" i="2"/>
  <c r="CG326" i="2"/>
  <c r="CF326" i="2"/>
  <c r="CE326" i="2"/>
  <c r="CD326" i="2"/>
  <c r="CC326" i="2"/>
  <c r="BZ326" i="2"/>
  <c r="BY326" i="2"/>
  <c r="BX326" i="2"/>
  <c r="BW326" i="2"/>
  <c r="J326" i="2"/>
  <c r="G326" i="2"/>
  <c r="F326" i="2"/>
  <c r="E326" i="2"/>
  <c r="D326" i="2"/>
  <c r="C326" i="2"/>
  <c r="B326" i="2"/>
  <c r="A326" i="2"/>
  <c r="CI325" i="2"/>
  <c r="CH325" i="2"/>
  <c r="CG325" i="2"/>
  <c r="CF325" i="2"/>
  <c r="CE325" i="2"/>
  <c r="CD325" i="2"/>
  <c r="CC325" i="2"/>
  <c r="BZ325" i="2"/>
  <c r="BY325" i="2"/>
  <c r="BX325" i="2"/>
  <c r="BW325" i="2"/>
  <c r="U325" i="2"/>
  <c r="G325" i="2"/>
  <c r="F325" i="2"/>
  <c r="E325" i="2"/>
  <c r="D325" i="2"/>
  <c r="C325" i="2"/>
  <c r="B325" i="2"/>
  <c r="A325" i="2"/>
  <c r="CI324" i="2"/>
  <c r="CH324" i="2"/>
  <c r="CG324" i="2"/>
  <c r="CD324" i="2"/>
  <c r="CC324" i="2"/>
  <c r="BZ324" i="2"/>
  <c r="BY324" i="2"/>
  <c r="BX324" i="2"/>
  <c r="BW324" i="2"/>
  <c r="M324" i="2"/>
  <c r="G324" i="2"/>
  <c r="F324" i="2"/>
  <c r="E324" i="2"/>
  <c r="D324" i="2"/>
  <c r="C324" i="2"/>
  <c r="B324" i="2"/>
  <c r="A324" i="2"/>
  <c r="CI323" i="2"/>
  <c r="CH323" i="2"/>
  <c r="CG323" i="2"/>
  <c r="CF323" i="2"/>
  <c r="CE323" i="2"/>
  <c r="CD323" i="2"/>
  <c r="CC323" i="2"/>
  <c r="BZ323" i="2"/>
  <c r="BY323" i="2"/>
  <c r="BX323" i="2"/>
  <c r="BW323" i="2"/>
  <c r="T323" i="2"/>
  <c r="G323" i="2"/>
  <c r="F323" i="2"/>
  <c r="E323" i="2"/>
  <c r="D323" i="2"/>
  <c r="C323" i="2"/>
  <c r="B323" i="2"/>
  <c r="A323" i="2"/>
  <c r="CI322" i="2"/>
  <c r="CH322" i="2"/>
  <c r="CG322" i="2"/>
  <c r="CF322" i="2"/>
  <c r="CE322" i="2"/>
  <c r="CD322" i="2"/>
  <c r="CC322" i="2"/>
  <c r="BZ322" i="2"/>
  <c r="BY322" i="2"/>
  <c r="BX322" i="2"/>
  <c r="BW322" i="2"/>
  <c r="BG322" i="2"/>
  <c r="W322" i="2"/>
  <c r="G322" i="2"/>
  <c r="F322" i="2"/>
  <c r="E322" i="2"/>
  <c r="D322" i="2"/>
  <c r="C322" i="2"/>
  <c r="B322" i="2"/>
  <c r="A322" i="2"/>
  <c r="CI321" i="2"/>
  <c r="CH321" i="2"/>
  <c r="CG321" i="2"/>
  <c r="CF321" i="2"/>
  <c r="CE321" i="2"/>
  <c r="CD321" i="2"/>
  <c r="CC321" i="2"/>
  <c r="BZ321" i="2"/>
  <c r="BY321" i="2"/>
  <c r="BX321" i="2"/>
  <c r="BW321" i="2"/>
  <c r="V321" i="2"/>
  <c r="G321" i="2"/>
  <c r="F321" i="2"/>
  <c r="E321" i="2"/>
  <c r="D321" i="2"/>
  <c r="C321" i="2"/>
  <c r="B321" i="2"/>
  <c r="A321" i="2"/>
  <c r="CI320" i="2"/>
  <c r="CH320" i="2"/>
  <c r="CG320" i="2"/>
  <c r="CF320" i="2"/>
  <c r="CE320" i="2"/>
  <c r="CD320" i="2"/>
  <c r="CC320" i="2"/>
  <c r="BZ320" i="2"/>
  <c r="BY320" i="2"/>
  <c r="BX320" i="2"/>
  <c r="BW320" i="2"/>
  <c r="R320" i="2"/>
  <c r="G320" i="2"/>
  <c r="F320" i="2"/>
  <c r="E320" i="2"/>
  <c r="D320" i="2"/>
  <c r="C320" i="2"/>
  <c r="B320" i="2"/>
  <c r="A320" i="2"/>
  <c r="CI319" i="2"/>
  <c r="CH319" i="2"/>
  <c r="CG319" i="2"/>
  <c r="CF319" i="2"/>
  <c r="CE319" i="2"/>
  <c r="CD319" i="2"/>
  <c r="CC319" i="2"/>
  <c r="BZ319" i="2"/>
  <c r="BY319" i="2"/>
  <c r="BX319" i="2"/>
  <c r="BW319" i="2"/>
  <c r="R319" i="2"/>
  <c r="G319" i="2"/>
  <c r="F319" i="2"/>
  <c r="E319" i="2"/>
  <c r="D319" i="2"/>
  <c r="C319" i="2"/>
  <c r="B319" i="2"/>
  <c r="A319" i="2"/>
  <c r="CI318" i="2"/>
  <c r="CH318" i="2"/>
  <c r="CG318" i="2"/>
  <c r="CF318" i="2"/>
  <c r="CE318" i="2"/>
  <c r="CD318" i="2"/>
  <c r="CC318" i="2"/>
  <c r="BZ318" i="2"/>
  <c r="BY318" i="2"/>
  <c r="BX318" i="2"/>
  <c r="BW318" i="2"/>
  <c r="Q318" i="2"/>
  <c r="G318" i="2"/>
  <c r="F318" i="2"/>
  <c r="E318" i="2"/>
  <c r="D318" i="2"/>
  <c r="C318" i="2"/>
  <c r="B318" i="2"/>
  <c r="A318" i="2"/>
  <c r="CI317" i="2"/>
  <c r="CH317" i="2"/>
  <c r="CG317" i="2"/>
  <c r="CF317" i="2"/>
  <c r="CE317" i="2"/>
  <c r="CD317" i="2"/>
  <c r="CC317" i="2"/>
  <c r="BZ317" i="2"/>
  <c r="BY317" i="2"/>
  <c r="BX317" i="2"/>
  <c r="BW317" i="2"/>
  <c r="U317" i="2"/>
  <c r="G317" i="2"/>
  <c r="F317" i="2"/>
  <c r="E317" i="2"/>
  <c r="D317" i="2"/>
  <c r="C317" i="2"/>
  <c r="B317" i="2"/>
  <c r="A317" i="2"/>
  <c r="CI316" i="2"/>
  <c r="CH316" i="2"/>
  <c r="CG316" i="2"/>
  <c r="CF316" i="2"/>
  <c r="CE316" i="2"/>
  <c r="CD316" i="2"/>
  <c r="CC316" i="2"/>
  <c r="BZ316" i="2"/>
  <c r="BY316" i="2"/>
  <c r="BX316" i="2"/>
  <c r="BW316" i="2"/>
  <c r="P316" i="2"/>
  <c r="G316" i="2"/>
  <c r="F316" i="2"/>
  <c r="E316" i="2"/>
  <c r="D316" i="2"/>
  <c r="C316" i="2"/>
  <c r="B316" i="2"/>
  <c r="A316" i="2"/>
  <c r="CI315" i="2"/>
  <c r="CH315" i="2"/>
  <c r="CG315" i="2"/>
  <c r="CF315" i="2"/>
  <c r="CE315" i="2"/>
  <c r="CD315" i="2"/>
  <c r="CC315" i="2"/>
  <c r="BZ315" i="2"/>
  <c r="BY315" i="2"/>
  <c r="BX315" i="2"/>
  <c r="BW315" i="2"/>
  <c r="P315" i="2"/>
  <c r="G315" i="2"/>
  <c r="F315" i="2"/>
  <c r="E315" i="2"/>
  <c r="D315" i="2"/>
  <c r="C315" i="2"/>
  <c r="B315" i="2"/>
  <c r="A315" i="2"/>
  <c r="CI314" i="2"/>
  <c r="CH314" i="2"/>
  <c r="CG314" i="2"/>
  <c r="CF314" i="2"/>
  <c r="CE314" i="2"/>
  <c r="CD314" i="2"/>
  <c r="CC314" i="2"/>
  <c r="BZ314" i="2"/>
  <c r="BY314" i="2"/>
  <c r="BX314" i="2"/>
  <c r="BW314" i="2"/>
  <c r="H314" i="2"/>
  <c r="G314" i="2"/>
  <c r="F314" i="2"/>
  <c r="E314" i="2"/>
  <c r="D314" i="2"/>
  <c r="C314" i="2"/>
  <c r="B314" i="2"/>
  <c r="A314" i="2"/>
  <c r="CI313" i="2"/>
  <c r="CH313" i="2"/>
  <c r="CG313" i="2"/>
  <c r="CF313" i="2"/>
  <c r="CE313" i="2"/>
  <c r="CD313" i="2"/>
  <c r="CC313" i="2"/>
  <c r="BZ313" i="2"/>
  <c r="BY313" i="2"/>
  <c r="BX313" i="2"/>
  <c r="BW313" i="2"/>
  <c r="H313" i="2"/>
  <c r="G313" i="2"/>
  <c r="F313" i="2"/>
  <c r="E313" i="2"/>
  <c r="D313" i="2"/>
  <c r="C313" i="2"/>
  <c r="B313" i="2"/>
  <c r="A313" i="2"/>
  <c r="CI312" i="2"/>
  <c r="CH312" i="2"/>
  <c r="CG312" i="2"/>
  <c r="CF312" i="2"/>
  <c r="CE312" i="2"/>
  <c r="CD312" i="2"/>
  <c r="CC312" i="2"/>
  <c r="BZ312" i="2"/>
  <c r="BY312" i="2"/>
  <c r="BX312" i="2"/>
  <c r="BW312" i="2"/>
  <c r="H312" i="2"/>
  <c r="G312" i="2"/>
  <c r="F312" i="2"/>
  <c r="E312" i="2"/>
  <c r="D312" i="2"/>
  <c r="C312" i="2"/>
  <c r="B312" i="2"/>
  <c r="A312" i="2"/>
  <c r="CI311" i="2"/>
  <c r="CH311" i="2"/>
  <c r="CG311" i="2"/>
  <c r="CF311" i="2"/>
  <c r="CE311" i="2"/>
  <c r="CD311" i="2"/>
  <c r="CC311" i="2"/>
  <c r="BZ311" i="2"/>
  <c r="BY311" i="2"/>
  <c r="BX311" i="2"/>
  <c r="BW311" i="2"/>
  <c r="U311" i="2"/>
  <c r="Q311" i="2"/>
  <c r="G311" i="2"/>
  <c r="F311" i="2"/>
  <c r="E311" i="2"/>
  <c r="D311" i="2"/>
  <c r="C311" i="2"/>
  <c r="B311" i="2"/>
  <c r="A311" i="2"/>
  <c r="CI310" i="2"/>
  <c r="CH310" i="2"/>
  <c r="CG310" i="2"/>
  <c r="CF310" i="2"/>
  <c r="CE310" i="2"/>
  <c r="CD310" i="2"/>
  <c r="CC310" i="2"/>
  <c r="BZ310" i="2"/>
  <c r="BY310" i="2"/>
  <c r="BX310" i="2"/>
  <c r="BW310" i="2"/>
  <c r="T310" i="2"/>
  <c r="G310" i="2"/>
  <c r="F310" i="2"/>
  <c r="E310" i="2"/>
  <c r="D310" i="2"/>
  <c r="C310" i="2"/>
  <c r="B310" i="2"/>
  <c r="A310" i="2"/>
  <c r="CI309" i="2"/>
  <c r="CH309" i="2"/>
  <c r="CG309" i="2"/>
  <c r="CF309" i="2"/>
  <c r="CE309" i="2"/>
  <c r="CD309" i="2"/>
  <c r="CC309" i="2"/>
  <c r="BZ309" i="2"/>
  <c r="BY309" i="2"/>
  <c r="BX309" i="2"/>
  <c r="BW309" i="2"/>
  <c r="U309" i="2"/>
  <c r="G309" i="2"/>
  <c r="F309" i="2"/>
  <c r="E309" i="2"/>
  <c r="D309" i="2"/>
  <c r="C309" i="2"/>
  <c r="B309" i="2"/>
  <c r="A309" i="2"/>
  <c r="CI308" i="2"/>
  <c r="CH308" i="2"/>
  <c r="CG308" i="2"/>
  <c r="CF308" i="2"/>
  <c r="CE308" i="2"/>
  <c r="CD308" i="2"/>
  <c r="CC308" i="2"/>
  <c r="BZ308" i="2"/>
  <c r="BY308" i="2"/>
  <c r="BX308" i="2"/>
  <c r="BW308" i="2"/>
  <c r="U308" i="2"/>
  <c r="G308" i="2"/>
  <c r="F308" i="2"/>
  <c r="E308" i="2"/>
  <c r="D308" i="2"/>
  <c r="C308" i="2"/>
  <c r="B308" i="2"/>
  <c r="A308" i="2"/>
  <c r="CI307" i="2"/>
  <c r="CH307" i="2"/>
  <c r="CG307" i="2"/>
  <c r="CF307" i="2"/>
  <c r="CE307" i="2"/>
  <c r="CD307" i="2"/>
  <c r="CC307" i="2"/>
  <c r="BZ307" i="2"/>
  <c r="BY307" i="2"/>
  <c r="BX307" i="2"/>
  <c r="BW307" i="2"/>
  <c r="S307" i="2"/>
  <c r="G307" i="2"/>
  <c r="F307" i="2"/>
  <c r="E307" i="2"/>
  <c r="D307" i="2"/>
  <c r="C307" i="2"/>
  <c r="B307" i="2"/>
  <c r="A307" i="2"/>
  <c r="CI306" i="2"/>
  <c r="CH306" i="2"/>
  <c r="CG306" i="2"/>
  <c r="CF306" i="2"/>
  <c r="CE306" i="2"/>
  <c r="CD306" i="2"/>
  <c r="CC306" i="2"/>
  <c r="BZ306" i="2"/>
  <c r="BY306" i="2"/>
  <c r="BX306" i="2"/>
  <c r="BW306" i="2"/>
  <c r="G306" i="2"/>
  <c r="F306" i="2"/>
  <c r="E306" i="2"/>
  <c r="D306" i="2"/>
  <c r="C306" i="2"/>
  <c r="B306" i="2"/>
  <c r="A306" i="2"/>
  <c r="CI305" i="2"/>
  <c r="CH305" i="2"/>
  <c r="CG305" i="2"/>
  <c r="CF305" i="2"/>
  <c r="CE305" i="2"/>
  <c r="CD305" i="2"/>
  <c r="CC305" i="2"/>
  <c r="BZ305" i="2"/>
  <c r="BY305" i="2"/>
  <c r="BX305" i="2"/>
  <c r="BW305" i="2"/>
  <c r="P305" i="2"/>
  <c r="G305" i="2"/>
  <c r="F305" i="2"/>
  <c r="E305" i="2"/>
  <c r="D305" i="2"/>
  <c r="C305" i="2"/>
  <c r="B305" i="2"/>
  <c r="A305" i="2"/>
  <c r="CI304" i="2"/>
  <c r="CH304" i="2"/>
  <c r="CG304" i="2"/>
  <c r="CF304" i="2"/>
  <c r="CE304" i="2"/>
  <c r="CD304" i="2"/>
  <c r="CC304" i="2"/>
  <c r="BZ304" i="2"/>
  <c r="BY304" i="2"/>
  <c r="BX304" i="2"/>
  <c r="BW304" i="2"/>
  <c r="H304" i="2"/>
  <c r="G304" i="2"/>
  <c r="F304" i="2"/>
  <c r="E304" i="2"/>
  <c r="D304" i="2"/>
  <c r="C304" i="2"/>
  <c r="B304" i="2"/>
  <c r="A304" i="2"/>
  <c r="CI303" i="2"/>
  <c r="CH303" i="2"/>
  <c r="CG303" i="2"/>
  <c r="CF303" i="2"/>
  <c r="CE303" i="2"/>
  <c r="CD303" i="2"/>
  <c r="CC303" i="2"/>
  <c r="BZ303" i="2"/>
  <c r="BY303" i="2"/>
  <c r="BX303" i="2"/>
  <c r="BW303" i="2"/>
  <c r="Q303" i="2"/>
  <c r="G303" i="2"/>
  <c r="F303" i="2"/>
  <c r="E303" i="2"/>
  <c r="D303" i="2"/>
  <c r="C303" i="2"/>
  <c r="B303" i="2"/>
  <c r="A303" i="2"/>
  <c r="CI302" i="2"/>
  <c r="CH302" i="2"/>
  <c r="CG302" i="2"/>
  <c r="CF302" i="2"/>
  <c r="CE302" i="2"/>
  <c r="CD302" i="2"/>
  <c r="CC302" i="2"/>
  <c r="BZ302" i="2"/>
  <c r="BY302" i="2"/>
  <c r="BX302" i="2"/>
  <c r="BW302" i="2"/>
  <c r="S302" i="2"/>
  <c r="G302" i="2"/>
  <c r="F302" i="2"/>
  <c r="E302" i="2"/>
  <c r="D302" i="2"/>
  <c r="C302" i="2"/>
  <c r="B302" i="2"/>
  <c r="A302" i="2"/>
  <c r="CI301" i="2"/>
  <c r="CH301" i="2"/>
  <c r="CG301" i="2"/>
  <c r="CF301" i="2"/>
  <c r="CE301" i="2"/>
  <c r="CD301" i="2"/>
  <c r="CC301" i="2"/>
  <c r="BZ301" i="2"/>
  <c r="BY301" i="2"/>
  <c r="BX301" i="2"/>
  <c r="BW301" i="2"/>
  <c r="O301" i="2"/>
  <c r="G301" i="2"/>
  <c r="F301" i="2"/>
  <c r="E301" i="2"/>
  <c r="D301" i="2"/>
  <c r="C301" i="2"/>
  <c r="B301" i="2"/>
  <c r="A301" i="2"/>
  <c r="CI300" i="2"/>
  <c r="CH300" i="2"/>
  <c r="CG300" i="2"/>
  <c r="CF300" i="2"/>
  <c r="CE300" i="2"/>
  <c r="CD300" i="2"/>
  <c r="CC300" i="2"/>
  <c r="BZ300" i="2"/>
  <c r="BY300" i="2"/>
  <c r="BX300" i="2"/>
  <c r="BW300" i="2"/>
  <c r="L300" i="2"/>
  <c r="G300" i="2"/>
  <c r="F300" i="2"/>
  <c r="E300" i="2"/>
  <c r="D300" i="2"/>
  <c r="C300" i="2"/>
  <c r="B300" i="2"/>
  <c r="A300" i="2"/>
  <c r="CI299" i="2"/>
  <c r="CH299" i="2"/>
  <c r="CG299" i="2"/>
  <c r="CF299" i="2"/>
  <c r="CE299" i="2"/>
  <c r="CD299" i="2"/>
  <c r="CC299" i="2"/>
  <c r="BZ299" i="2"/>
  <c r="BY299" i="2"/>
  <c r="BX299" i="2"/>
  <c r="BW299" i="2"/>
  <c r="F299" i="2"/>
  <c r="E299" i="2"/>
  <c r="D299" i="2"/>
  <c r="C299" i="2"/>
  <c r="B299" i="2"/>
  <c r="A299" i="2"/>
  <c r="CI298" i="2"/>
  <c r="CH298" i="2"/>
  <c r="CG298" i="2"/>
  <c r="CF298" i="2"/>
  <c r="CE298" i="2"/>
  <c r="CD298" i="2"/>
  <c r="CC298" i="2"/>
  <c r="BZ298" i="2"/>
  <c r="BY298" i="2"/>
  <c r="BX298" i="2"/>
  <c r="BW298" i="2"/>
  <c r="Q298" i="2"/>
  <c r="G298" i="2"/>
  <c r="F298" i="2"/>
  <c r="E298" i="2"/>
  <c r="D298" i="2"/>
  <c r="C298" i="2"/>
  <c r="B298" i="2"/>
  <c r="A298" i="2"/>
  <c r="CI297" i="2"/>
  <c r="CH297" i="2"/>
  <c r="CG297" i="2"/>
  <c r="CF297" i="2"/>
  <c r="CE297" i="2"/>
  <c r="CD297" i="2"/>
  <c r="CC297" i="2"/>
  <c r="BZ297" i="2"/>
  <c r="BY297" i="2"/>
  <c r="BX297" i="2"/>
  <c r="BW297" i="2"/>
  <c r="H297" i="2"/>
  <c r="G297" i="2"/>
  <c r="F297" i="2"/>
  <c r="E297" i="2"/>
  <c r="D297" i="2"/>
  <c r="C297" i="2"/>
  <c r="B297" i="2"/>
  <c r="A297" i="2"/>
  <c r="CI296" i="2"/>
  <c r="CH296" i="2"/>
  <c r="CG296" i="2"/>
  <c r="CF296" i="2"/>
  <c r="CE296" i="2"/>
  <c r="CD296" i="2"/>
  <c r="CC296" i="2"/>
  <c r="BZ296" i="2"/>
  <c r="BY296" i="2"/>
  <c r="BX296" i="2"/>
  <c r="BW296" i="2"/>
  <c r="U296" i="2"/>
  <c r="G296" i="2"/>
  <c r="F296" i="2"/>
  <c r="E296" i="2"/>
  <c r="D296" i="2"/>
  <c r="C296" i="2"/>
  <c r="B296" i="2"/>
  <c r="A296" i="2"/>
  <c r="CI295" i="2"/>
  <c r="CH295" i="2"/>
  <c r="CG295" i="2"/>
  <c r="CF295" i="2"/>
  <c r="CE295" i="2"/>
  <c r="CD295" i="2"/>
  <c r="CC295" i="2"/>
  <c r="BZ295" i="2"/>
  <c r="BY295" i="2"/>
  <c r="BX295" i="2"/>
  <c r="BW295" i="2"/>
  <c r="P295" i="2"/>
  <c r="G295" i="2"/>
  <c r="F295" i="2"/>
  <c r="E295" i="2"/>
  <c r="D295" i="2"/>
  <c r="C295" i="2"/>
  <c r="B295" i="2"/>
  <c r="A295" i="2"/>
  <c r="CI294" i="2"/>
  <c r="CH294" i="2"/>
  <c r="CG294" i="2"/>
  <c r="CF294" i="2"/>
  <c r="CE294" i="2"/>
  <c r="CD294" i="2"/>
  <c r="CC294" i="2"/>
  <c r="BZ294" i="2"/>
  <c r="BY294" i="2"/>
  <c r="BX294" i="2"/>
  <c r="BW294" i="2"/>
  <c r="V294" i="2"/>
  <c r="G294" i="2"/>
  <c r="F294" i="2"/>
  <c r="E294" i="2"/>
  <c r="D294" i="2"/>
  <c r="C294" i="2"/>
  <c r="B294" i="2"/>
  <c r="A294" i="2"/>
  <c r="CI293" i="2"/>
  <c r="CH293" i="2"/>
  <c r="CG293" i="2"/>
  <c r="CF293" i="2"/>
  <c r="CE293" i="2"/>
  <c r="CD293" i="2"/>
  <c r="CC293" i="2"/>
  <c r="BZ293" i="2"/>
  <c r="BY293" i="2"/>
  <c r="BX293" i="2"/>
  <c r="BW293" i="2"/>
  <c r="P293" i="2"/>
  <c r="G293" i="2"/>
  <c r="F293" i="2"/>
  <c r="E293" i="2"/>
  <c r="D293" i="2"/>
  <c r="C293" i="2"/>
  <c r="B293" i="2"/>
  <c r="A293" i="2"/>
  <c r="CI292" i="2"/>
  <c r="CH292" i="2"/>
  <c r="CG292" i="2"/>
  <c r="CF292" i="2"/>
  <c r="CE292" i="2"/>
  <c r="CD292" i="2"/>
  <c r="CC292" i="2"/>
  <c r="BZ292" i="2"/>
  <c r="BY292" i="2"/>
  <c r="BX292" i="2"/>
  <c r="BW292" i="2"/>
  <c r="P292" i="2"/>
  <c r="G292" i="2"/>
  <c r="F292" i="2"/>
  <c r="E292" i="2"/>
  <c r="D292" i="2"/>
  <c r="C292" i="2"/>
  <c r="B292" i="2"/>
  <c r="A292" i="2"/>
  <c r="CI291" i="2"/>
  <c r="CH291" i="2"/>
  <c r="CG291" i="2"/>
  <c r="CF291" i="2"/>
  <c r="CE291" i="2"/>
  <c r="CD291" i="2"/>
  <c r="CC291" i="2"/>
  <c r="BZ291" i="2"/>
  <c r="BY291" i="2"/>
  <c r="BX291" i="2"/>
  <c r="BW291" i="2"/>
  <c r="M291" i="2"/>
  <c r="G291" i="2"/>
  <c r="F291" i="2"/>
  <c r="E291" i="2"/>
  <c r="D291" i="2"/>
  <c r="C291" i="2"/>
  <c r="B291" i="2"/>
  <c r="A291" i="2"/>
  <c r="CI290" i="2"/>
  <c r="CH290" i="2"/>
  <c r="CG290" i="2"/>
  <c r="CF290" i="2"/>
  <c r="CE290" i="2"/>
  <c r="CD290" i="2"/>
  <c r="CC290" i="2"/>
  <c r="BZ290" i="2"/>
  <c r="BY290" i="2"/>
  <c r="BX290" i="2"/>
  <c r="BW290" i="2"/>
  <c r="P290" i="2"/>
  <c r="G290" i="2"/>
  <c r="F290" i="2"/>
  <c r="E290" i="2"/>
  <c r="D290" i="2"/>
  <c r="C290" i="2"/>
  <c r="B290" i="2"/>
  <c r="A290" i="2"/>
  <c r="CI289" i="2"/>
  <c r="CH289" i="2"/>
  <c r="CG289" i="2"/>
  <c r="CF289" i="2"/>
  <c r="CE289" i="2"/>
  <c r="CD289" i="2"/>
  <c r="CC289" i="2"/>
  <c r="BZ289" i="2"/>
  <c r="BY289" i="2"/>
  <c r="BX289" i="2"/>
  <c r="BW289" i="2"/>
  <c r="P289" i="2"/>
  <c r="G289" i="2"/>
  <c r="F289" i="2"/>
  <c r="E289" i="2"/>
  <c r="D289" i="2"/>
  <c r="C289" i="2"/>
  <c r="B289" i="2"/>
  <c r="A289" i="2"/>
  <c r="CI288" i="2"/>
  <c r="CH288" i="2"/>
  <c r="CG288" i="2"/>
  <c r="CF288" i="2"/>
  <c r="CE288" i="2"/>
  <c r="CD288" i="2"/>
  <c r="CC288" i="2"/>
  <c r="BZ288" i="2"/>
  <c r="BY288" i="2"/>
  <c r="BX288" i="2"/>
  <c r="BW288" i="2"/>
  <c r="U288" i="2"/>
  <c r="G288" i="2"/>
  <c r="F288" i="2"/>
  <c r="E288" i="2"/>
  <c r="D288" i="2"/>
  <c r="C288" i="2"/>
  <c r="B288" i="2"/>
  <c r="A288" i="2"/>
  <c r="CI287" i="2"/>
  <c r="CH287" i="2"/>
  <c r="CG287" i="2"/>
  <c r="CF287" i="2"/>
  <c r="CE287" i="2"/>
  <c r="CD287" i="2"/>
  <c r="CC287" i="2"/>
  <c r="BZ287" i="2"/>
  <c r="BY287" i="2"/>
  <c r="BX287" i="2"/>
  <c r="BW287" i="2"/>
  <c r="O287" i="2"/>
  <c r="G287" i="2"/>
  <c r="F287" i="2"/>
  <c r="E287" i="2"/>
  <c r="D287" i="2"/>
  <c r="C287" i="2"/>
  <c r="B287" i="2"/>
  <c r="A287" i="2"/>
  <c r="CI286" i="2"/>
  <c r="CH286" i="2"/>
  <c r="CG286" i="2"/>
  <c r="CF286" i="2"/>
  <c r="CE286" i="2"/>
  <c r="CD286" i="2"/>
  <c r="CC286" i="2"/>
  <c r="BZ286" i="2"/>
  <c r="BY286" i="2"/>
  <c r="BX286" i="2"/>
  <c r="BW286" i="2"/>
  <c r="V286" i="2"/>
  <c r="G286" i="2"/>
  <c r="F286" i="2"/>
  <c r="E286" i="2"/>
  <c r="D286" i="2"/>
  <c r="C286" i="2"/>
  <c r="B286" i="2"/>
  <c r="A286" i="2"/>
  <c r="CI285" i="2"/>
  <c r="CH285" i="2"/>
  <c r="CG285" i="2"/>
  <c r="CF285" i="2"/>
  <c r="CE285" i="2"/>
  <c r="CD285" i="2"/>
  <c r="CC285" i="2"/>
  <c r="BZ285" i="2"/>
  <c r="BY285" i="2"/>
  <c r="BX285" i="2"/>
  <c r="BW285" i="2"/>
  <c r="P285" i="2"/>
  <c r="G285" i="2"/>
  <c r="F285" i="2"/>
  <c r="E285" i="2"/>
  <c r="D285" i="2"/>
  <c r="C285" i="2"/>
  <c r="B285" i="2"/>
  <c r="A285" i="2"/>
  <c r="CI284" i="2"/>
  <c r="CH284" i="2"/>
  <c r="CG284" i="2"/>
  <c r="CF284" i="2"/>
  <c r="CE284" i="2"/>
  <c r="CD284" i="2"/>
  <c r="CC284" i="2"/>
  <c r="BZ284" i="2"/>
  <c r="BY284" i="2"/>
  <c r="BX284" i="2"/>
  <c r="BW284" i="2"/>
  <c r="H284" i="2"/>
  <c r="G284" i="2"/>
  <c r="F284" i="2"/>
  <c r="E284" i="2"/>
  <c r="D284" i="2"/>
  <c r="C284" i="2"/>
  <c r="B284" i="2"/>
  <c r="A284" i="2"/>
  <c r="CI283" i="2"/>
  <c r="CH283" i="2"/>
  <c r="CG283" i="2"/>
  <c r="CF283" i="2"/>
  <c r="CE283" i="2"/>
  <c r="CD283" i="2"/>
  <c r="CC283" i="2"/>
  <c r="BZ283" i="2"/>
  <c r="BY283" i="2"/>
  <c r="BX283" i="2"/>
  <c r="BW283" i="2"/>
  <c r="O283" i="2"/>
  <c r="G283" i="2"/>
  <c r="F283" i="2"/>
  <c r="E283" i="2"/>
  <c r="D283" i="2"/>
  <c r="C283" i="2"/>
  <c r="B283" i="2"/>
  <c r="A283" i="2"/>
  <c r="CI282" i="2"/>
  <c r="CH282" i="2"/>
  <c r="CG282" i="2"/>
  <c r="CF282" i="2"/>
  <c r="CE282" i="2"/>
  <c r="CD282" i="2"/>
  <c r="CC282" i="2"/>
  <c r="BZ282" i="2"/>
  <c r="BY282" i="2"/>
  <c r="BX282" i="2"/>
  <c r="BW282" i="2"/>
  <c r="M282" i="2"/>
  <c r="G282" i="2"/>
  <c r="F282" i="2"/>
  <c r="E282" i="2"/>
  <c r="D282" i="2"/>
  <c r="C282" i="2"/>
  <c r="B282" i="2"/>
  <c r="A282" i="2"/>
  <c r="CI281" i="2"/>
  <c r="CH281" i="2"/>
  <c r="CG281" i="2"/>
  <c r="CF281" i="2"/>
  <c r="CE281" i="2"/>
  <c r="CD281" i="2"/>
  <c r="CC281" i="2"/>
  <c r="BZ281" i="2"/>
  <c r="BY281" i="2"/>
  <c r="BX281" i="2"/>
  <c r="BW281" i="2"/>
  <c r="H281" i="2"/>
  <c r="G281" i="2"/>
  <c r="F281" i="2"/>
  <c r="E281" i="2"/>
  <c r="D281" i="2"/>
  <c r="C281" i="2"/>
  <c r="B281" i="2"/>
  <c r="A281" i="2"/>
  <c r="CI280" i="2"/>
  <c r="CH280" i="2"/>
  <c r="CG280" i="2"/>
  <c r="CF280" i="2"/>
  <c r="CE280" i="2"/>
  <c r="CD280" i="2"/>
  <c r="CC280" i="2"/>
  <c r="BZ280" i="2"/>
  <c r="BY280" i="2"/>
  <c r="BX280" i="2"/>
  <c r="BW280" i="2"/>
  <c r="P280" i="2"/>
  <c r="G280" i="2"/>
  <c r="F280" i="2"/>
  <c r="E280" i="2"/>
  <c r="D280" i="2"/>
  <c r="C280" i="2"/>
  <c r="B280" i="2"/>
  <c r="A280" i="2"/>
  <c r="CI279" i="2"/>
  <c r="CH279" i="2"/>
  <c r="CG279" i="2"/>
  <c r="CF279" i="2"/>
  <c r="CE279" i="2"/>
  <c r="CD279" i="2"/>
  <c r="CC279" i="2"/>
  <c r="BZ279" i="2"/>
  <c r="BY279" i="2"/>
  <c r="BX279" i="2"/>
  <c r="BW279" i="2"/>
  <c r="P279" i="2"/>
  <c r="G279" i="2"/>
  <c r="F279" i="2"/>
  <c r="E279" i="2"/>
  <c r="D279" i="2"/>
  <c r="C279" i="2"/>
  <c r="B279" i="2"/>
  <c r="A279" i="2"/>
  <c r="CI278" i="2"/>
  <c r="CH278" i="2"/>
  <c r="CG278" i="2"/>
  <c r="CF278" i="2"/>
  <c r="CE278" i="2"/>
  <c r="CD278" i="2"/>
  <c r="CC278" i="2"/>
  <c r="BZ278" i="2"/>
  <c r="BY278" i="2"/>
  <c r="BX278" i="2"/>
  <c r="BW278" i="2"/>
  <c r="H278" i="2"/>
  <c r="G278" i="2"/>
  <c r="F278" i="2"/>
  <c r="E278" i="2"/>
  <c r="D278" i="2"/>
  <c r="C278" i="2"/>
  <c r="B278" i="2"/>
  <c r="A278" i="2"/>
  <c r="CI277" i="2"/>
  <c r="CH277" i="2"/>
  <c r="CG277" i="2"/>
  <c r="CF277" i="2"/>
  <c r="CE277" i="2"/>
  <c r="CD277" i="2"/>
  <c r="CC277" i="2"/>
  <c r="BZ277" i="2"/>
  <c r="BY277" i="2"/>
  <c r="BX277" i="2"/>
  <c r="BW277" i="2"/>
  <c r="H277" i="2"/>
  <c r="G277" i="2"/>
  <c r="F277" i="2"/>
  <c r="E277" i="2"/>
  <c r="D277" i="2"/>
  <c r="C277" i="2"/>
  <c r="B277" i="2"/>
  <c r="A277" i="2"/>
  <c r="CI276" i="2"/>
  <c r="CH276" i="2"/>
  <c r="CG276" i="2"/>
  <c r="CF276" i="2"/>
  <c r="CE276" i="2"/>
  <c r="CD276" i="2"/>
  <c r="CC276" i="2"/>
  <c r="BZ276" i="2"/>
  <c r="BY276" i="2"/>
  <c r="BX276" i="2"/>
  <c r="BW276" i="2"/>
  <c r="H276" i="2"/>
  <c r="G276" i="2"/>
  <c r="F276" i="2"/>
  <c r="E276" i="2"/>
  <c r="D276" i="2"/>
  <c r="C276" i="2"/>
  <c r="B276" i="2"/>
  <c r="A276" i="2"/>
  <c r="CI275" i="2"/>
  <c r="CH275" i="2"/>
  <c r="CG275" i="2"/>
  <c r="CF275" i="2"/>
  <c r="CE275" i="2"/>
  <c r="CD275" i="2"/>
  <c r="CC275" i="2"/>
  <c r="BZ275" i="2"/>
  <c r="BY275" i="2"/>
  <c r="BX275" i="2"/>
  <c r="BW275" i="2"/>
  <c r="P275" i="2"/>
  <c r="G275" i="2"/>
  <c r="F275" i="2"/>
  <c r="E275" i="2"/>
  <c r="D275" i="2"/>
  <c r="C275" i="2"/>
  <c r="B275" i="2"/>
  <c r="A275" i="2"/>
  <c r="CI274" i="2"/>
  <c r="CH274" i="2"/>
  <c r="CG274" i="2"/>
  <c r="CF274" i="2"/>
  <c r="CE274" i="2"/>
  <c r="CD274" i="2"/>
  <c r="CC274" i="2"/>
  <c r="BZ274" i="2"/>
  <c r="BY274" i="2"/>
  <c r="BX274" i="2"/>
  <c r="BW274" i="2"/>
  <c r="M274" i="2"/>
  <c r="G274" i="2"/>
  <c r="F274" i="2"/>
  <c r="E274" i="2"/>
  <c r="D274" i="2"/>
  <c r="C274" i="2"/>
  <c r="B274" i="2"/>
  <c r="A274" i="2"/>
  <c r="CI273" i="2"/>
  <c r="CH273" i="2"/>
  <c r="CG273" i="2"/>
  <c r="CF273" i="2"/>
  <c r="CE273" i="2"/>
  <c r="CD273" i="2"/>
  <c r="CC273" i="2"/>
  <c r="BZ273" i="2"/>
  <c r="BY273" i="2"/>
  <c r="BX273" i="2"/>
  <c r="BW273" i="2"/>
  <c r="P273" i="2"/>
  <c r="G273" i="2"/>
  <c r="F273" i="2"/>
  <c r="E273" i="2"/>
  <c r="D273" i="2"/>
  <c r="C273" i="2"/>
  <c r="B273" i="2"/>
  <c r="A273" i="2"/>
  <c r="CI272" i="2"/>
  <c r="CH272" i="2"/>
  <c r="CG272" i="2"/>
  <c r="CF272" i="2"/>
  <c r="CE272" i="2"/>
  <c r="CD272" i="2"/>
  <c r="CC272" i="2"/>
  <c r="BZ272" i="2"/>
  <c r="BY272" i="2"/>
  <c r="BX272" i="2"/>
  <c r="BW272" i="2"/>
  <c r="P272" i="2"/>
  <c r="G272" i="2"/>
  <c r="F272" i="2"/>
  <c r="E272" i="2"/>
  <c r="D272" i="2"/>
  <c r="C272" i="2"/>
  <c r="B272" i="2"/>
  <c r="A272" i="2"/>
  <c r="CI271" i="2"/>
  <c r="CH271" i="2"/>
  <c r="CG271" i="2"/>
  <c r="CF271" i="2"/>
  <c r="CE271" i="2"/>
  <c r="CD271" i="2"/>
  <c r="CC271" i="2"/>
  <c r="BZ271" i="2"/>
  <c r="BY271" i="2"/>
  <c r="BX271" i="2"/>
  <c r="BW271" i="2"/>
  <c r="O271" i="2"/>
  <c r="G271" i="2"/>
  <c r="F271" i="2"/>
  <c r="E271" i="2"/>
  <c r="D271" i="2"/>
  <c r="C271" i="2"/>
  <c r="B271" i="2"/>
  <c r="A271" i="2"/>
  <c r="CI270" i="2"/>
  <c r="CH270" i="2"/>
  <c r="CG270" i="2"/>
  <c r="CF270" i="2"/>
  <c r="CE270" i="2"/>
  <c r="CD270" i="2"/>
  <c r="CC270" i="2"/>
  <c r="BZ270" i="2"/>
  <c r="BY270" i="2"/>
  <c r="BX270" i="2"/>
  <c r="BW270" i="2"/>
  <c r="L270" i="2"/>
  <c r="G270" i="2"/>
  <c r="F270" i="2"/>
  <c r="E270" i="2"/>
  <c r="D270" i="2"/>
  <c r="C270" i="2"/>
  <c r="B270" i="2"/>
  <c r="A270" i="2"/>
  <c r="CI269" i="2"/>
  <c r="CH269" i="2"/>
  <c r="CG269" i="2"/>
  <c r="CF269" i="2"/>
  <c r="CE269" i="2"/>
  <c r="CC269" i="2"/>
  <c r="BZ269" i="2"/>
  <c r="BY269" i="2"/>
  <c r="BX269" i="2"/>
  <c r="BW269" i="2"/>
  <c r="P269" i="2"/>
  <c r="G269" i="2"/>
  <c r="F269" i="2"/>
  <c r="E269" i="2"/>
  <c r="D269" i="2"/>
  <c r="C269" i="2"/>
  <c r="B269" i="2"/>
  <c r="A269" i="2"/>
  <c r="CI268" i="2"/>
  <c r="CH268" i="2"/>
  <c r="CG268" i="2"/>
  <c r="CF268" i="2"/>
  <c r="CE268" i="2"/>
  <c r="CD268" i="2"/>
  <c r="CC268" i="2"/>
  <c r="BZ268" i="2"/>
  <c r="BY268" i="2"/>
  <c r="BX268" i="2"/>
  <c r="BW268" i="2"/>
  <c r="P268" i="2"/>
  <c r="G268" i="2"/>
  <c r="F268" i="2"/>
  <c r="E268" i="2"/>
  <c r="D268" i="2"/>
  <c r="C268" i="2"/>
  <c r="B268" i="2"/>
  <c r="A268" i="2"/>
  <c r="CI267" i="2"/>
  <c r="CH267" i="2"/>
  <c r="CG267" i="2"/>
  <c r="CF267" i="2"/>
  <c r="CE267" i="2"/>
  <c r="CD267" i="2"/>
  <c r="CC267" i="2"/>
  <c r="BZ267" i="2"/>
  <c r="BY267" i="2"/>
  <c r="BX267" i="2"/>
  <c r="BW267" i="2"/>
  <c r="Q267" i="2"/>
  <c r="G267" i="2"/>
  <c r="F267" i="2"/>
  <c r="E267" i="2"/>
  <c r="D267" i="2"/>
  <c r="C267" i="2"/>
  <c r="B267" i="2"/>
  <c r="A267" i="2"/>
  <c r="CI266" i="2"/>
  <c r="CH266" i="2"/>
  <c r="CG266" i="2"/>
  <c r="CF266" i="2"/>
  <c r="CE266" i="2"/>
  <c r="CD266" i="2"/>
  <c r="CC266" i="2"/>
  <c r="BZ266" i="2"/>
  <c r="BY266" i="2"/>
  <c r="BX266" i="2"/>
  <c r="BW266" i="2"/>
  <c r="F266" i="2"/>
  <c r="E266" i="2"/>
  <c r="D266" i="2"/>
  <c r="C266" i="2"/>
  <c r="B266" i="2"/>
  <c r="A266" i="2"/>
  <c r="CI265" i="2"/>
  <c r="CH265" i="2"/>
  <c r="CG265" i="2"/>
  <c r="CF265" i="2"/>
  <c r="CE265" i="2"/>
  <c r="CD265" i="2"/>
  <c r="CC265" i="2"/>
  <c r="BZ265" i="2"/>
  <c r="BY265" i="2"/>
  <c r="BX265" i="2"/>
  <c r="BW265" i="2"/>
  <c r="H265" i="2"/>
  <c r="G265" i="2"/>
  <c r="F265" i="2"/>
  <c r="E265" i="2"/>
  <c r="D265" i="2"/>
  <c r="C265" i="2"/>
  <c r="B265" i="2"/>
  <c r="A265" i="2"/>
  <c r="CI264" i="2"/>
  <c r="CH264" i="2"/>
  <c r="CG264" i="2"/>
  <c r="CF264" i="2"/>
  <c r="CE264" i="2"/>
  <c r="CD264" i="2"/>
  <c r="CC264" i="2"/>
  <c r="BZ264" i="2"/>
  <c r="BY264" i="2"/>
  <c r="BX264" i="2"/>
  <c r="BW264" i="2"/>
  <c r="H264" i="2"/>
  <c r="G264" i="2"/>
  <c r="F264" i="2"/>
  <c r="E264" i="2"/>
  <c r="D264" i="2"/>
  <c r="C264" i="2"/>
  <c r="B264" i="2"/>
  <c r="A264" i="2"/>
  <c r="CI263" i="2"/>
  <c r="CH263" i="2"/>
  <c r="CG263" i="2"/>
  <c r="CF263" i="2"/>
  <c r="CE263" i="2"/>
  <c r="CD263" i="2"/>
  <c r="CC263" i="2"/>
  <c r="BZ263" i="2"/>
  <c r="BY263" i="2"/>
  <c r="BX263" i="2"/>
  <c r="BW263" i="2"/>
  <c r="O263" i="2"/>
  <c r="G263" i="2"/>
  <c r="F263" i="2"/>
  <c r="E263" i="2"/>
  <c r="D263" i="2"/>
  <c r="C263" i="2"/>
  <c r="B263" i="2"/>
  <c r="A263" i="2"/>
  <c r="CI262" i="2"/>
  <c r="CH262" i="2"/>
  <c r="CG262" i="2"/>
  <c r="CF262" i="2"/>
  <c r="CE262" i="2"/>
  <c r="CD262" i="2"/>
  <c r="CC262" i="2"/>
  <c r="BZ262" i="2"/>
  <c r="BY262" i="2"/>
  <c r="BX262" i="2"/>
  <c r="BW262" i="2"/>
  <c r="M262" i="2"/>
  <c r="G262" i="2"/>
  <c r="F262" i="2"/>
  <c r="E262" i="2"/>
  <c r="D262" i="2"/>
  <c r="C262" i="2"/>
  <c r="B262" i="2"/>
  <c r="A262" i="2"/>
  <c r="CI261" i="2"/>
  <c r="CH261" i="2"/>
  <c r="CG261" i="2"/>
  <c r="CF261" i="2"/>
  <c r="CE261" i="2"/>
  <c r="CD261" i="2"/>
  <c r="CC261" i="2"/>
  <c r="BZ261" i="2"/>
  <c r="BY261" i="2"/>
  <c r="BX261" i="2"/>
  <c r="BW261" i="2"/>
  <c r="H261" i="2"/>
  <c r="G261" i="2"/>
  <c r="F261" i="2"/>
  <c r="E261" i="2"/>
  <c r="D261" i="2"/>
  <c r="C261" i="2"/>
  <c r="B261" i="2"/>
  <c r="A261" i="2"/>
  <c r="CI260" i="2"/>
  <c r="CH260" i="2"/>
  <c r="CG260" i="2"/>
  <c r="CF260" i="2"/>
  <c r="CE260" i="2"/>
  <c r="CD260" i="2"/>
  <c r="CC260" i="2"/>
  <c r="BZ260" i="2"/>
  <c r="BY260" i="2"/>
  <c r="BX260" i="2"/>
  <c r="BW260" i="2"/>
  <c r="O260" i="2"/>
  <c r="G260" i="2"/>
  <c r="F260" i="2"/>
  <c r="E260" i="2"/>
  <c r="D260" i="2"/>
  <c r="C260" i="2"/>
  <c r="B260" i="2"/>
  <c r="A260" i="2"/>
  <c r="CI259" i="2"/>
  <c r="CH259" i="2"/>
  <c r="CG259" i="2"/>
  <c r="CF259" i="2"/>
  <c r="CE259" i="2"/>
  <c r="CD259" i="2"/>
  <c r="CC259" i="2"/>
  <c r="BZ259" i="2"/>
  <c r="BY259" i="2"/>
  <c r="BX259" i="2"/>
  <c r="BW259" i="2"/>
  <c r="BH259" i="2"/>
  <c r="W259" i="2"/>
  <c r="G259" i="2"/>
  <c r="F259" i="2"/>
  <c r="E259" i="2"/>
  <c r="D259" i="2"/>
  <c r="C259" i="2"/>
  <c r="B259" i="2"/>
  <c r="A259" i="2"/>
  <c r="CI258" i="2"/>
  <c r="CH258" i="2"/>
  <c r="CG258" i="2"/>
  <c r="CF258" i="2"/>
  <c r="CE258" i="2"/>
  <c r="CD258" i="2"/>
  <c r="CC258" i="2"/>
  <c r="BZ258" i="2"/>
  <c r="BY258" i="2"/>
  <c r="BX258" i="2"/>
  <c r="BW258" i="2"/>
  <c r="J258" i="2"/>
  <c r="G258" i="2"/>
  <c r="F258" i="2"/>
  <c r="E258" i="2"/>
  <c r="D258" i="2"/>
  <c r="C258" i="2"/>
  <c r="B258" i="2"/>
  <c r="A258" i="2"/>
  <c r="CI257" i="2"/>
  <c r="CH257" i="2"/>
  <c r="CG257" i="2"/>
  <c r="CF257" i="2"/>
  <c r="CE257" i="2"/>
  <c r="CD257" i="2"/>
  <c r="CC257" i="2"/>
  <c r="BZ257" i="2"/>
  <c r="BY257" i="2"/>
  <c r="BX257" i="2"/>
  <c r="BW257" i="2"/>
  <c r="Q257" i="2"/>
  <c r="G257" i="2"/>
  <c r="F257" i="2"/>
  <c r="E257" i="2"/>
  <c r="D257" i="2"/>
  <c r="C257" i="2"/>
  <c r="B257" i="2"/>
  <c r="A257" i="2"/>
  <c r="CI256" i="2"/>
  <c r="CH256" i="2"/>
  <c r="CG256" i="2"/>
  <c r="CF256" i="2"/>
  <c r="CE256" i="2"/>
  <c r="CD256" i="2"/>
  <c r="CC256" i="2"/>
  <c r="BZ256" i="2"/>
  <c r="BY256" i="2"/>
  <c r="BX256" i="2"/>
  <c r="BW256" i="2"/>
  <c r="L256" i="2"/>
  <c r="G256" i="2"/>
  <c r="F256" i="2"/>
  <c r="E256" i="2"/>
  <c r="D256" i="2"/>
  <c r="C256" i="2"/>
  <c r="B256" i="2"/>
  <c r="A256" i="2"/>
  <c r="CI255" i="2"/>
  <c r="CH255" i="2"/>
  <c r="CG255" i="2"/>
  <c r="CF255" i="2"/>
  <c r="CE255" i="2"/>
  <c r="CD255" i="2"/>
  <c r="CC255" i="2"/>
  <c r="BZ255" i="2"/>
  <c r="BY255" i="2"/>
  <c r="BX255" i="2"/>
  <c r="BW255" i="2"/>
  <c r="O255" i="2"/>
  <c r="G255" i="2"/>
  <c r="F255" i="2"/>
  <c r="E255" i="2"/>
  <c r="D255" i="2"/>
  <c r="C255" i="2"/>
  <c r="B255" i="2"/>
  <c r="A255" i="2"/>
  <c r="CI254" i="2"/>
  <c r="CH254" i="2"/>
  <c r="CG254" i="2"/>
  <c r="CF254" i="2"/>
  <c r="CE254" i="2"/>
  <c r="CD254" i="2"/>
  <c r="CC254" i="2"/>
  <c r="BZ254" i="2"/>
  <c r="BY254" i="2"/>
  <c r="BX254" i="2"/>
  <c r="BW254" i="2"/>
  <c r="P254" i="2"/>
  <c r="G254" i="2"/>
  <c r="F254" i="2"/>
  <c r="E254" i="2"/>
  <c r="D254" i="2"/>
  <c r="C254" i="2"/>
  <c r="B254" i="2"/>
  <c r="A254" i="2"/>
  <c r="CI253" i="2"/>
  <c r="CH253" i="2"/>
  <c r="CG253" i="2"/>
  <c r="CF253" i="2"/>
  <c r="CE253" i="2"/>
  <c r="CD253" i="2"/>
  <c r="CC253" i="2"/>
  <c r="BZ253" i="2"/>
  <c r="BY253" i="2"/>
  <c r="BX253" i="2"/>
  <c r="BW253" i="2"/>
  <c r="G253" i="2"/>
  <c r="E253" i="2"/>
  <c r="D253" i="2"/>
  <c r="C253" i="2"/>
  <c r="B253" i="2"/>
  <c r="A253" i="2"/>
  <c r="CI252" i="2"/>
  <c r="CH252" i="2"/>
  <c r="CG252" i="2"/>
  <c r="CF252" i="2"/>
  <c r="CE252" i="2"/>
  <c r="CD252" i="2"/>
  <c r="CC252" i="2"/>
  <c r="BZ252" i="2"/>
  <c r="BY252" i="2"/>
  <c r="BX252" i="2"/>
  <c r="BW252" i="2"/>
  <c r="U252" i="2"/>
  <c r="G252" i="2"/>
  <c r="F252" i="2"/>
  <c r="E252" i="2"/>
  <c r="D252" i="2"/>
  <c r="C252" i="2"/>
  <c r="B252" i="2"/>
  <c r="A252" i="2"/>
  <c r="CI251" i="2"/>
  <c r="CH251" i="2"/>
  <c r="CG251" i="2"/>
  <c r="CF251" i="2"/>
  <c r="CE251" i="2"/>
  <c r="CD251" i="2"/>
  <c r="CC251" i="2"/>
  <c r="BZ251" i="2"/>
  <c r="BY251" i="2"/>
  <c r="BX251" i="2"/>
  <c r="BW251" i="2"/>
  <c r="H251" i="2"/>
  <c r="G251" i="2"/>
  <c r="F251" i="2"/>
  <c r="E251" i="2"/>
  <c r="D251" i="2"/>
  <c r="C251" i="2"/>
  <c r="B251" i="2"/>
  <c r="A251" i="2"/>
  <c r="CI250" i="2"/>
  <c r="CH250" i="2"/>
  <c r="CG250" i="2"/>
  <c r="CF250" i="2"/>
  <c r="CE250" i="2"/>
  <c r="CD250" i="2"/>
  <c r="CC250" i="2"/>
  <c r="BZ250" i="2"/>
  <c r="BY250" i="2"/>
  <c r="BX250" i="2"/>
  <c r="BW250" i="2"/>
  <c r="H250" i="2"/>
  <c r="G250" i="2"/>
  <c r="F250" i="2"/>
  <c r="E250" i="2"/>
  <c r="D250" i="2"/>
  <c r="C250" i="2"/>
  <c r="B250" i="2"/>
  <c r="A250" i="2"/>
  <c r="CI249" i="2"/>
  <c r="CH249" i="2"/>
  <c r="CG249" i="2"/>
  <c r="CF249" i="2"/>
  <c r="CE249" i="2"/>
  <c r="CD249" i="2"/>
  <c r="CC249" i="2"/>
  <c r="BZ249" i="2"/>
  <c r="BY249" i="2"/>
  <c r="BX249" i="2"/>
  <c r="BW249" i="2"/>
  <c r="BH249" i="2"/>
  <c r="W249" i="2"/>
  <c r="G249" i="2"/>
  <c r="F249" i="2"/>
  <c r="D249" i="2"/>
  <c r="C249" i="2"/>
  <c r="B249" i="2"/>
  <c r="A249" i="2"/>
  <c r="CI248" i="2"/>
  <c r="CH248" i="2"/>
  <c r="CG248" i="2"/>
  <c r="CF248" i="2"/>
  <c r="CE248" i="2"/>
  <c r="CC248" i="2"/>
  <c r="BZ248" i="2"/>
  <c r="BY248" i="2"/>
  <c r="BX248" i="2"/>
  <c r="BW248" i="2"/>
  <c r="O248" i="2"/>
  <c r="G248" i="2"/>
  <c r="F248" i="2"/>
  <c r="E248" i="2"/>
  <c r="D248" i="2"/>
  <c r="C248" i="2"/>
  <c r="B248" i="2"/>
  <c r="A248" i="2"/>
  <c r="CI247" i="2"/>
  <c r="CH247" i="2"/>
  <c r="CG247" i="2"/>
  <c r="CF247" i="2"/>
  <c r="CE247" i="2"/>
  <c r="CD247" i="2"/>
  <c r="CC247" i="2"/>
  <c r="BZ247" i="2"/>
  <c r="BY247" i="2"/>
  <c r="BX247" i="2"/>
  <c r="BW247" i="2"/>
  <c r="H247" i="2"/>
  <c r="G247" i="2"/>
  <c r="F247" i="2"/>
  <c r="D247" i="2"/>
  <c r="C247" i="2"/>
  <c r="B247" i="2"/>
  <c r="A247" i="2"/>
  <c r="CI246" i="2"/>
  <c r="CH246" i="2"/>
  <c r="CG246" i="2"/>
  <c r="CF246" i="2"/>
  <c r="CE246" i="2"/>
  <c r="CD246" i="2"/>
  <c r="CC246" i="2"/>
  <c r="BZ246" i="2"/>
  <c r="BY246" i="2"/>
  <c r="BX246" i="2"/>
  <c r="BW246" i="2"/>
  <c r="U246" i="2"/>
  <c r="G246" i="2"/>
  <c r="E246" i="2"/>
  <c r="D246" i="2"/>
  <c r="C246" i="2"/>
  <c r="B246" i="2"/>
  <c r="A246" i="2"/>
  <c r="CI245" i="2"/>
  <c r="CH245" i="2"/>
  <c r="CG245" i="2"/>
  <c r="CF245" i="2"/>
  <c r="CE245" i="2"/>
  <c r="CD245" i="2"/>
  <c r="CC245" i="2"/>
  <c r="BZ245" i="2"/>
  <c r="BY245" i="2"/>
  <c r="BX245" i="2"/>
  <c r="BW245" i="2"/>
  <c r="O245" i="2"/>
  <c r="G245" i="2"/>
  <c r="F245" i="2"/>
  <c r="E245" i="2"/>
  <c r="D245" i="2"/>
  <c r="C245" i="2"/>
  <c r="B245" i="2"/>
  <c r="A245" i="2"/>
  <c r="CI244" i="2"/>
  <c r="CH244" i="2"/>
  <c r="CG244" i="2"/>
  <c r="CF244" i="2"/>
  <c r="CE244" i="2"/>
  <c r="CD244" i="2"/>
  <c r="CC244" i="2"/>
  <c r="BZ244" i="2"/>
  <c r="BY244" i="2"/>
  <c r="BX244" i="2"/>
  <c r="BW244" i="2"/>
  <c r="G244" i="2"/>
  <c r="F244" i="2"/>
  <c r="E244" i="2"/>
  <c r="D244" i="2"/>
  <c r="C244" i="2"/>
  <c r="B244" i="2"/>
  <c r="A244" i="2"/>
  <c r="CI243" i="2"/>
  <c r="CH243" i="2"/>
  <c r="CG243" i="2"/>
  <c r="CF243" i="2"/>
  <c r="CE243" i="2"/>
  <c r="CD243" i="2"/>
  <c r="CC243" i="2"/>
  <c r="BZ243" i="2"/>
  <c r="BY243" i="2"/>
  <c r="BX243" i="2"/>
  <c r="BW243" i="2"/>
  <c r="U243" i="2"/>
  <c r="G243" i="2"/>
  <c r="F243" i="2"/>
  <c r="E243" i="2"/>
  <c r="D243" i="2"/>
  <c r="C243" i="2"/>
  <c r="B243" i="2"/>
  <c r="A243" i="2"/>
  <c r="CI242" i="2"/>
  <c r="CH242" i="2"/>
  <c r="CG242" i="2"/>
  <c r="CF242" i="2"/>
  <c r="CE242" i="2"/>
  <c r="CD242" i="2"/>
  <c r="CC242" i="2"/>
  <c r="BZ242" i="2"/>
  <c r="BY242" i="2"/>
  <c r="BX242" i="2"/>
  <c r="BW242" i="2"/>
  <c r="H242" i="2"/>
  <c r="G242" i="2"/>
  <c r="F242" i="2"/>
  <c r="E242" i="2"/>
  <c r="D242" i="2"/>
  <c r="C242" i="2"/>
  <c r="B242" i="2"/>
  <c r="A242" i="2"/>
  <c r="CI241" i="2"/>
  <c r="CH241" i="2"/>
  <c r="CG241" i="2"/>
  <c r="CF241" i="2"/>
  <c r="CE241" i="2"/>
  <c r="CD241" i="2"/>
  <c r="CC241" i="2"/>
  <c r="BZ241" i="2"/>
  <c r="BY241" i="2"/>
  <c r="BX241" i="2"/>
  <c r="BW241" i="2"/>
  <c r="P241" i="2"/>
  <c r="G241" i="2"/>
  <c r="F241" i="2"/>
  <c r="E241" i="2"/>
  <c r="D241" i="2"/>
  <c r="C241" i="2"/>
  <c r="B241" i="2"/>
  <c r="A241" i="2"/>
  <c r="CI240" i="2"/>
  <c r="CH240" i="2"/>
  <c r="CG240" i="2"/>
  <c r="CF240" i="2"/>
  <c r="CE240" i="2"/>
  <c r="CD240" i="2"/>
  <c r="CC240" i="2"/>
  <c r="BZ240" i="2"/>
  <c r="BY240" i="2"/>
  <c r="BX240" i="2"/>
  <c r="BW240" i="2"/>
  <c r="P240" i="2"/>
  <c r="G240" i="2"/>
  <c r="F240" i="2"/>
  <c r="E240" i="2"/>
  <c r="D240" i="2"/>
  <c r="C240" i="2"/>
  <c r="B240" i="2"/>
  <c r="A240" i="2"/>
  <c r="CI239" i="2"/>
  <c r="CH239" i="2"/>
  <c r="CG239" i="2"/>
  <c r="CF239" i="2"/>
  <c r="CE239" i="2"/>
  <c r="CD239" i="2"/>
  <c r="CC239" i="2"/>
  <c r="BZ239" i="2"/>
  <c r="BY239" i="2"/>
  <c r="BX239" i="2"/>
  <c r="BW239" i="2"/>
  <c r="U239" i="2"/>
  <c r="G239" i="2"/>
  <c r="F239" i="2"/>
  <c r="E239" i="2"/>
  <c r="D239" i="2"/>
  <c r="C239" i="2"/>
  <c r="B239" i="2"/>
  <c r="A239" i="2"/>
  <c r="CI238" i="2"/>
  <c r="CH238" i="2"/>
  <c r="CG238" i="2"/>
  <c r="CF238" i="2"/>
  <c r="CE238" i="2"/>
  <c r="CD238" i="2"/>
  <c r="CC238" i="2"/>
  <c r="BZ238" i="2"/>
  <c r="BY238" i="2"/>
  <c r="BX238" i="2"/>
  <c r="BW238" i="2"/>
  <c r="P238" i="2"/>
  <c r="G238" i="2"/>
  <c r="F238" i="2"/>
  <c r="E238" i="2"/>
  <c r="D238" i="2"/>
  <c r="C238" i="2"/>
  <c r="B238" i="2"/>
  <c r="A238" i="2"/>
  <c r="CI237" i="2"/>
  <c r="CH237" i="2"/>
  <c r="CG237" i="2"/>
  <c r="CF237" i="2"/>
  <c r="CE237" i="2"/>
  <c r="CD237" i="2"/>
  <c r="CC237" i="2"/>
  <c r="BZ237" i="2"/>
  <c r="BY237" i="2"/>
  <c r="BX237" i="2"/>
  <c r="BW237" i="2"/>
  <c r="H237" i="2"/>
  <c r="G237" i="2"/>
  <c r="F237" i="2"/>
  <c r="E237" i="2"/>
  <c r="D237" i="2"/>
  <c r="C237" i="2"/>
  <c r="B237" i="2"/>
  <c r="A237" i="2"/>
  <c r="CI236" i="2"/>
  <c r="CH236" i="2"/>
  <c r="CG236" i="2"/>
  <c r="CF236" i="2"/>
  <c r="CE236" i="2"/>
  <c r="CD236" i="2"/>
  <c r="CC236" i="2"/>
  <c r="BZ236" i="2"/>
  <c r="BY236" i="2"/>
  <c r="BX236" i="2"/>
  <c r="BW236" i="2"/>
  <c r="U236" i="2"/>
  <c r="G236" i="2"/>
  <c r="F236" i="2"/>
  <c r="E236" i="2"/>
  <c r="D236" i="2"/>
  <c r="C236" i="2"/>
  <c r="B236" i="2"/>
  <c r="A236" i="2"/>
  <c r="CI235" i="2"/>
  <c r="CH235" i="2"/>
  <c r="CG235" i="2"/>
  <c r="CF235" i="2"/>
  <c r="CE235" i="2"/>
  <c r="CD235" i="2"/>
  <c r="CC235" i="2"/>
  <c r="BZ235" i="2"/>
  <c r="BY235" i="2"/>
  <c r="BX235" i="2"/>
  <c r="BW235" i="2"/>
  <c r="H235" i="2"/>
  <c r="G235" i="2"/>
  <c r="F235" i="2"/>
  <c r="E235" i="2"/>
  <c r="D235" i="2"/>
  <c r="C235" i="2"/>
  <c r="B235" i="2"/>
  <c r="A235" i="2"/>
  <c r="CI234" i="2"/>
  <c r="CH234" i="2"/>
  <c r="CG234" i="2"/>
  <c r="CF234" i="2"/>
  <c r="CE234" i="2"/>
  <c r="CD234" i="2"/>
  <c r="CC234" i="2"/>
  <c r="BZ234" i="2"/>
  <c r="BY234" i="2"/>
  <c r="BX234" i="2"/>
  <c r="BW234" i="2"/>
  <c r="Q234" i="2"/>
  <c r="G234" i="2"/>
  <c r="F234" i="2"/>
  <c r="D234" i="2"/>
  <c r="C234" i="2"/>
  <c r="B234" i="2"/>
  <c r="A234" i="2"/>
  <c r="CI233" i="2"/>
  <c r="CH233" i="2"/>
  <c r="CG233" i="2"/>
  <c r="CF233" i="2"/>
  <c r="CE233" i="2"/>
  <c r="CD233" i="2"/>
  <c r="CC233" i="2"/>
  <c r="BZ233" i="2"/>
  <c r="BY233" i="2"/>
  <c r="BX233" i="2"/>
  <c r="BW233" i="2"/>
  <c r="Q233" i="2"/>
  <c r="G233" i="2"/>
  <c r="F233" i="2"/>
  <c r="E233" i="2"/>
  <c r="D233" i="2"/>
  <c r="C233" i="2"/>
  <c r="B233" i="2"/>
  <c r="A233" i="2"/>
  <c r="CI232" i="2"/>
  <c r="CH232" i="2"/>
  <c r="CG232" i="2"/>
  <c r="CF232" i="2"/>
  <c r="CE232" i="2"/>
  <c r="CD232" i="2"/>
  <c r="CC232" i="2"/>
  <c r="BZ232" i="2"/>
  <c r="BY232" i="2"/>
  <c r="BX232" i="2"/>
  <c r="BW232" i="2"/>
  <c r="Q232" i="2"/>
  <c r="G232" i="2"/>
  <c r="F232" i="2"/>
  <c r="E232" i="2"/>
  <c r="D232" i="2"/>
  <c r="C232" i="2"/>
  <c r="B232" i="2"/>
  <c r="A232" i="2"/>
  <c r="CI231" i="2"/>
  <c r="CH231" i="2"/>
  <c r="CG231" i="2"/>
  <c r="CF231" i="2"/>
  <c r="CE231" i="2"/>
  <c r="CD231" i="2"/>
  <c r="CC231" i="2"/>
  <c r="BZ231" i="2"/>
  <c r="BY231" i="2"/>
  <c r="BX231" i="2"/>
  <c r="BW231" i="2"/>
  <c r="M231" i="2"/>
  <c r="G231" i="2"/>
  <c r="F231" i="2"/>
  <c r="E231" i="2"/>
  <c r="D231" i="2"/>
  <c r="C231" i="2"/>
  <c r="B231" i="2"/>
  <c r="A231" i="2"/>
  <c r="CI230" i="2"/>
  <c r="CH230" i="2"/>
  <c r="CG230" i="2"/>
  <c r="CF230" i="2"/>
  <c r="CE230" i="2"/>
  <c r="CD230" i="2"/>
  <c r="CC230" i="2"/>
  <c r="BZ230" i="2"/>
  <c r="BY230" i="2"/>
  <c r="BX230" i="2"/>
  <c r="BW230" i="2"/>
  <c r="Q230" i="2"/>
  <c r="G230" i="2"/>
  <c r="F230" i="2"/>
  <c r="E230" i="2"/>
  <c r="D230" i="2"/>
  <c r="C230" i="2"/>
  <c r="B230" i="2"/>
  <c r="A230" i="2"/>
  <c r="CI229" i="2"/>
  <c r="CH229" i="2"/>
  <c r="CG229" i="2"/>
  <c r="CF229" i="2"/>
  <c r="CE229" i="2"/>
  <c r="CD229" i="2"/>
  <c r="CC229" i="2"/>
  <c r="BZ229" i="2"/>
  <c r="BY229" i="2"/>
  <c r="BX229" i="2"/>
  <c r="BW229" i="2"/>
  <c r="L229" i="2"/>
  <c r="G229" i="2"/>
  <c r="F229" i="2"/>
  <c r="E229" i="2"/>
  <c r="D229" i="2"/>
  <c r="C229" i="2"/>
  <c r="B229" i="2"/>
  <c r="A229" i="2"/>
  <c r="CI228" i="2"/>
  <c r="CH228" i="2"/>
  <c r="CG228" i="2"/>
  <c r="CF228" i="2"/>
  <c r="CE228" i="2"/>
  <c r="CD228" i="2"/>
  <c r="CC228" i="2"/>
  <c r="BZ228" i="2"/>
  <c r="BY228" i="2"/>
  <c r="BX228" i="2"/>
  <c r="BW228" i="2"/>
  <c r="P228" i="2"/>
  <c r="G228" i="2"/>
  <c r="F228" i="2"/>
  <c r="E228" i="2"/>
  <c r="D228" i="2"/>
  <c r="C228" i="2"/>
  <c r="B228" i="2"/>
  <c r="A228" i="2"/>
  <c r="CI227" i="2"/>
  <c r="CH227" i="2"/>
  <c r="CG227" i="2"/>
  <c r="CF227" i="2"/>
  <c r="CE227" i="2"/>
  <c r="CD227" i="2"/>
  <c r="CC227" i="2"/>
  <c r="BZ227" i="2"/>
  <c r="BY227" i="2"/>
  <c r="BX227" i="2"/>
  <c r="BW227" i="2"/>
  <c r="H227" i="2"/>
  <c r="G227" i="2"/>
  <c r="F227" i="2"/>
  <c r="E227" i="2"/>
  <c r="D227" i="2"/>
  <c r="C227" i="2"/>
  <c r="B227" i="2"/>
  <c r="A227" i="2"/>
  <c r="CI226" i="2"/>
  <c r="CH226" i="2"/>
  <c r="CG226" i="2"/>
  <c r="CF226" i="2"/>
  <c r="CE226" i="2"/>
  <c r="CD226" i="2"/>
  <c r="CC226" i="2"/>
  <c r="BZ226" i="2"/>
  <c r="BY226" i="2"/>
  <c r="BX226" i="2"/>
  <c r="BW226" i="2"/>
  <c r="G226" i="2"/>
  <c r="F226" i="2"/>
  <c r="E226" i="2"/>
  <c r="D226" i="2"/>
  <c r="C226" i="2"/>
  <c r="B226" i="2"/>
  <c r="A226" i="2"/>
  <c r="CI225" i="2"/>
  <c r="CH225" i="2"/>
  <c r="CG225" i="2"/>
  <c r="CF225" i="2"/>
  <c r="CE225" i="2"/>
  <c r="CD225" i="2"/>
  <c r="CC225" i="2"/>
  <c r="BZ225" i="2"/>
  <c r="BY225" i="2"/>
  <c r="BX225" i="2"/>
  <c r="BW225" i="2"/>
  <c r="Q225" i="2"/>
  <c r="G225" i="2"/>
  <c r="F225" i="2"/>
  <c r="E225" i="2"/>
  <c r="D225" i="2"/>
  <c r="C225" i="2"/>
  <c r="B225" i="2"/>
  <c r="A225" i="2"/>
  <c r="CI224" i="2"/>
  <c r="CH224" i="2"/>
  <c r="CG224" i="2"/>
  <c r="CF224" i="2"/>
  <c r="CE224" i="2"/>
  <c r="CD224" i="2"/>
  <c r="CC224" i="2"/>
  <c r="BZ224" i="2"/>
  <c r="BY224" i="2"/>
  <c r="BX224" i="2"/>
  <c r="BW224" i="2"/>
  <c r="V224" i="2"/>
  <c r="G224" i="2"/>
  <c r="F224" i="2"/>
  <c r="E224" i="2"/>
  <c r="D224" i="2"/>
  <c r="C224" i="2"/>
  <c r="B224" i="2"/>
  <c r="A224" i="2"/>
  <c r="CI223" i="2"/>
  <c r="CH223" i="2"/>
  <c r="CG223" i="2"/>
  <c r="CF223" i="2"/>
  <c r="CE223" i="2"/>
  <c r="CD223" i="2"/>
  <c r="CC223" i="2"/>
  <c r="BZ223" i="2"/>
  <c r="BY223" i="2"/>
  <c r="BX223" i="2"/>
  <c r="BW223" i="2"/>
  <c r="H223" i="2"/>
  <c r="G223" i="2"/>
  <c r="F223" i="2"/>
  <c r="E223" i="2"/>
  <c r="D223" i="2"/>
  <c r="C223" i="2"/>
  <c r="B223" i="2"/>
  <c r="A223" i="2"/>
  <c r="CI222" i="2"/>
  <c r="CH222" i="2"/>
  <c r="CG222" i="2"/>
  <c r="CF222" i="2"/>
  <c r="CE222" i="2"/>
  <c r="CD222" i="2"/>
  <c r="CC222" i="2"/>
  <c r="BZ222" i="2"/>
  <c r="BY222" i="2"/>
  <c r="BX222" i="2"/>
  <c r="BW222" i="2"/>
  <c r="Q222" i="2"/>
  <c r="G222" i="2"/>
  <c r="F222" i="2"/>
  <c r="E222" i="2"/>
  <c r="D222" i="2"/>
  <c r="C222" i="2"/>
  <c r="B222" i="2"/>
  <c r="A222" i="2"/>
  <c r="CI221" i="2"/>
  <c r="CH221" i="2"/>
  <c r="CG221" i="2"/>
  <c r="CF221" i="2"/>
  <c r="CE221" i="2"/>
  <c r="CD221" i="2"/>
  <c r="CC221" i="2"/>
  <c r="BZ221" i="2"/>
  <c r="BY221" i="2"/>
  <c r="BX221" i="2"/>
  <c r="BW221" i="2"/>
  <c r="S221" i="2"/>
  <c r="G221" i="2"/>
  <c r="F221" i="2"/>
  <c r="E221" i="2"/>
  <c r="D221" i="2"/>
  <c r="C221" i="2"/>
  <c r="B221" i="2"/>
  <c r="A221" i="2"/>
  <c r="CI220" i="2"/>
  <c r="CH220" i="2"/>
  <c r="CG220" i="2"/>
  <c r="CF220" i="2"/>
  <c r="CE220" i="2"/>
  <c r="CD220" i="2"/>
  <c r="CC220" i="2"/>
  <c r="BZ220" i="2"/>
  <c r="BY220" i="2"/>
  <c r="BX220" i="2"/>
  <c r="BW220" i="2"/>
  <c r="P220" i="2"/>
  <c r="G220" i="2"/>
  <c r="F220" i="2"/>
  <c r="E220" i="2"/>
  <c r="D220" i="2"/>
  <c r="C220" i="2"/>
  <c r="B220" i="2"/>
  <c r="A220" i="2"/>
  <c r="CI219" i="2"/>
  <c r="CH219" i="2"/>
  <c r="CG219" i="2"/>
  <c r="CF219" i="2"/>
  <c r="CE219" i="2"/>
  <c r="CD219" i="2"/>
  <c r="CC219" i="2"/>
  <c r="BZ219" i="2"/>
  <c r="BY219" i="2"/>
  <c r="BX219" i="2"/>
  <c r="BW219" i="2"/>
  <c r="P219" i="2"/>
  <c r="G219" i="2"/>
  <c r="F219" i="2"/>
  <c r="E219" i="2"/>
  <c r="D219" i="2"/>
  <c r="C219" i="2"/>
  <c r="B219" i="2"/>
  <c r="A219" i="2"/>
  <c r="CI218" i="2"/>
  <c r="CH218" i="2"/>
  <c r="CG218" i="2"/>
  <c r="CF218" i="2"/>
  <c r="CE218" i="2"/>
  <c r="CD218" i="2"/>
  <c r="CC218" i="2"/>
  <c r="BZ218" i="2"/>
  <c r="BY218" i="2"/>
  <c r="BX218" i="2"/>
  <c r="BW218" i="2"/>
  <c r="G218" i="2"/>
  <c r="D218" i="2"/>
  <c r="C218" i="2"/>
  <c r="B218" i="2"/>
  <c r="A218" i="2"/>
  <c r="CI217" i="2"/>
  <c r="CH217" i="2"/>
  <c r="CG217" i="2"/>
  <c r="CF217" i="2"/>
  <c r="CE217" i="2"/>
  <c r="CD217" i="2"/>
  <c r="CC217" i="2"/>
  <c r="BZ217" i="2"/>
  <c r="BY217" i="2"/>
  <c r="BX217" i="2"/>
  <c r="BW217" i="2"/>
  <c r="O217" i="2"/>
  <c r="G217" i="2"/>
  <c r="F217" i="2"/>
  <c r="D217" i="2"/>
  <c r="C217" i="2"/>
  <c r="B217" i="2"/>
  <c r="A217" i="2"/>
  <c r="CI216" i="2"/>
  <c r="CH216" i="2"/>
  <c r="CG216" i="2"/>
  <c r="CF216" i="2"/>
  <c r="CE216" i="2"/>
  <c r="CD216" i="2"/>
  <c r="CC216" i="2"/>
  <c r="BZ216" i="2"/>
  <c r="BY216" i="2"/>
  <c r="BX216" i="2"/>
  <c r="BW216" i="2"/>
  <c r="U216" i="2"/>
  <c r="G216" i="2"/>
  <c r="F216" i="2"/>
  <c r="E216" i="2"/>
  <c r="D216" i="2"/>
  <c r="C216" i="2"/>
  <c r="B216" i="2"/>
  <c r="A216" i="2"/>
  <c r="CI215" i="2"/>
  <c r="CH215" i="2"/>
  <c r="CG215" i="2"/>
  <c r="CF215" i="2"/>
  <c r="CE215" i="2"/>
  <c r="CD215" i="2"/>
  <c r="CC215" i="2"/>
  <c r="BZ215" i="2"/>
  <c r="BY215" i="2"/>
  <c r="BX215" i="2"/>
  <c r="BW215" i="2"/>
  <c r="L215" i="2"/>
  <c r="G215" i="2"/>
  <c r="F215" i="2"/>
  <c r="E215" i="2"/>
  <c r="D215" i="2"/>
  <c r="C215" i="2"/>
  <c r="B215" i="2"/>
  <c r="A215" i="2"/>
  <c r="CI214" i="2"/>
  <c r="CH214" i="2"/>
  <c r="CG214" i="2"/>
  <c r="CF214" i="2"/>
  <c r="CE214" i="2"/>
  <c r="CD214" i="2"/>
  <c r="CC214" i="2"/>
  <c r="BZ214" i="2"/>
  <c r="BY214" i="2"/>
  <c r="BX214" i="2"/>
  <c r="BW214" i="2"/>
  <c r="G214" i="2"/>
  <c r="F214" i="2"/>
  <c r="E214" i="2"/>
  <c r="D214" i="2"/>
  <c r="C214" i="2"/>
  <c r="B214" i="2"/>
  <c r="A214" i="2"/>
  <c r="CI213" i="2"/>
  <c r="CH213" i="2"/>
  <c r="CG213" i="2"/>
  <c r="CF213" i="2"/>
  <c r="CE213" i="2"/>
  <c r="CD213" i="2"/>
  <c r="CC213" i="2"/>
  <c r="BZ213" i="2"/>
  <c r="BY213" i="2"/>
  <c r="BX213" i="2"/>
  <c r="BW213" i="2"/>
  <c r="M213" i="2"/>
  <c r="G213" i="2"/>
  <c r="F213" i="2"/>
  <c r="E213" i="2"/>
  <c r="D213" i="2"/>
  <c r="C213" i="2"/>
  <c r="B213" i="2"/>
  <c r="A213" i="2"/>
  <c r="CI212" i="2"/>
  <c r="CH212" i="2"/>
  <c r="CG212" i="2"/>
  <c r="CF212" i="2"/>
  <c r="CE212" i="2"/>
  <c r="CD212" i="2"/>
  <c r="CC212" i="2"/>
  <c r="BZ212" i="2"/>
  <c r="BY212" i="2"/>
  <c r="BX212" i="2"/>
  <c r="BW212" i="2"/>
  <c r="M212" i="2"/>
  <c r="G212" i="2"/>
  <c r="F212" i="2"/>
  <c r="E212" i="2"/>
  <c r="D212" i="2"/>
  <c r="C212" i="2"/>
  <c r="B212" i="2"/>
  <c r="A212" i="2"/>
  <c r="CI211" i="2"/>
  <c r="CH211" i="2"/>
  <c r="CG211" i="2"/>
  <c r="CF211" i="2"/>
  <c r="CE211" i="2"/>
  <c r="CD211" i="2"/>
  <c r="CC211" i="2"/>
  <c r="BZ211" i="2"/>
  <c r="BY211" i="2"/>
  <c r="BX211" i="2"/>
  <c r="BW211" i="2"/>
  <c r="P211" i="2"/>
  <c r="G211" i="2"/>
  <c r="F211" i="2"/>
  <c r="E211" i="2"/>
  <c r="D211" i="2"/>
  <c r="C211" i="2"/>
  <c r="B211" i="2"/>
  <c r="A211" i="2"/>
  <c r="CI210" i="2"/>
  <c r="CH210" i="2"/>
  <c r="CG210" i="2"/>
  <c r="CF210" i="2"/>
  <c r="CE210" i="2"/>
  <c r="CD210" i="2"/>
  <c r="CC210" i="2"/>
  <c r="BZ210" i="2"/>
  <c r="BY210" i="2"/>
  <c r="BX210" i="2"/>
  <c r="BW210" i="2"/>
  <c r="O210" i="2"/>
  <c r="G210" i="2"/>
  <c r="F210" i="2"/>
  <c r="E210" i="2"/>
  <c r="D210" i="2"/>
  <c r="C210" i="2"/>
  <c r="B210" i="2"/>
  <c r="A210" i="2"/>
  <c r="CI209" i="2"/>
  <c r="CH209" i="2"/>
  <c r="CG209" i="2"/>
  <c r="CF209" i="2"/>
  <c r="CE209" i="2"/>
  <c r="CD209" i="2"/>
  <c r="CC209" i="2"/>
  <c r="BZ209" i="2"/>
  <c r="BY209" i="2"/>
  <c r="BX209" i="2"/>
  <c r="BW209" i="2"/>
  <c r="P209" i="2"/>
  <c r="G209" i="2"/>
  <c r="F209" i="2"/>
  <c r="E209" i="2"/>
  <c r="D209" i="2"/>
  <c r="C209" i="2"/>
  <c r="B209" i="2"/>
  <c r="A209" i="2"/>
  <c r="CI208" i="2"/>
  <c r="CH208" i="2"/>
  <c r="CG208" i="2"/>
  <c r="CF208" i="2"/>
  <c r="CE208" i="2"/>
  <c r="CD208" i="2"/>
  <c r="CC208" i="2"/>
  <c r="BZ208" i="2"/>
  <c r="BY208" i="2"/>
  <c r="BX208" i="2"/>
  <c r="BW208" i="2"/>
  <c r="L208" i="2"/>
  <c r="G208" i="2"/>
  <c r="F208" i="2"/>
  <c r="E208" i="2"/>
  <c r="D208" i="2"/>
  <c r="C208" i="2"/>
  <c r="B208" i="2"/>
  <c r="A208" i="2"/>
  <c r="CI207" i="2"/>
  <c r="CH207" i="2"/>
  <c r="CG207" i="2"/>
  <c r="CF207" i="2"/>
  <c r="CE207" i="2"/>
  <c r="CD207" i="2"/>
  <c r="CC207" i="2"/>
  <c r="BZ207" i="2"/>
  <c r="BY207" i="2"/>
  <c r="BX207" i="2"/>
  <c r="BW207" i="2"/>
  <c r="P207" i="2"/>
  <c r="G207" i="2"/>
  <c r="F207" i="2"/>
  <c r="E207" i="2"/>
  <c r="D207" i="2"/>
  <c r="C207" i="2"/>
  <c r="B207" i="2"/>
  <c r="A207" i="2"/>
  <c r="CI206" i="2"/>
  <c r="CH206" i="2"/>
  <c r="CG206" i="2"/>
  <c r="CF206" i="2"/>
  <c r="CE206" i="2"/>
  <c r="CD206" i="2"/>
  <c r="CC206" i="2"/>
  <c r="BZ206" i="2"/>
  <c r="BY206" i="2"/>
  <c r="BX206" i="2"/>
  <c r="BW206" i="2"/>
  <c r="V206" i="2"/>
  <c r="G206" i="2"/>
  <c r="F206" i="2"/>
  <c r="E206" i="2"/>
  <c r="D206" i="2"/>
  <c r="C206" i="2"/>
  <c r="B206" i="2"/>
  <c r="A206" i="2"/>
  <c r="CI205" i="2"/>
  <c r="CH205" i="2"/>
  <c r="CG205" i="2"/>
  <c r="CF205" i="2"/>
  <c r="CE205" i="2"/>
  <c r="CD205" i="2"/>
  <c r="CC205" i="2"/>
  <c r="BZ205" i="2"/>
  <c r="BY205" i="2"/>
  <c r="BX205" i="2"/>
  <c r="BW205" i="2"/>
  <c r="BG205" i="2"/>
  <c r="W205" i="2"/>
  <c r="G205" i="2"/>
  <c r="F205" i="2"/>
  <c r="E205" i="2"/>
  <c r="D205" i="2"/>
  <c r="C205" i="2"/>
  <c r="B205" i="2"/>
  <c r="A205" i="2"/>
  <c r="CI204" i="2"/>
  <c r="CH204" i="2"/>
  <c r="CG204" i="2"/>
  <c r="CF204" i="2"/>
  <c r="CE204" i="2"/>
  <c r="CD204" i="2"/>
  <c r="CC204" i="2"/>
  <c r="BZ204" i="2"/>
  <c r="BY204" i="2"/>
  <c r="BX204" i="2"/>
  <c r="BW204" i="2"/>
  <c r="U204" i="2"/>
  <c r="G204" i="2"/>
  <c r="F204" i="2"/>
  <c r="E204" i="2"/>
  <c r="D204" i="2"/>
  <c r="C204" i="2"/>
  <c r="B204" i="2"/>
  <c r="A204" i="2"/>
  <c r="CI203" i="2"/>
  <c r="CH203" i="2"/>
  <c r="CG203" i="2"/>
  <c r="CF203" i="2"/>
  <c r="CE203" i="2"/>
  <c r="CD203" i="2"/>
  <c r="CC203" i="2"/>
  <c r="BZ203" i="2"/>
  <c r="BY203" i="2"/>
  <c r="BX203" i="2"/>
  <c r="BW203" i="2"/>
  <c r="L203" i="2"/>
  <c r="G203" i="2"/>
  <c r="F203" i="2"/>
  <c r="E203" i="2"/>
  <c r="D203" i="2"/>
  <c r="C203" i="2"/>
  <c r="B203" i="2"/>
  <c r="A203" i="2"/>
  <c r="CI202" i="2"/>
  <c r="CH202" i="2"/>
  <c r="CG202" i="2"/>
  <c r="CF202" i="2"/>
  <c r="CE202" i="2"/>
  <c r="CD202" i="2"/>
  <c r="CC202" i="2"/>
  <c r="BZ202" i="2"/>
  <c r="BY202" i="2"/>
  <c r="BX202" i="2"/>
  <c r="BW202" i="2"/>
  <c r="H202" i="2"/>
  <c r="G202" i="2"/>
  <c r="F202" i="2"/>
  <c r="E202" i="2"/>
  <c r="D202" i="2"/>
  <c r="C202" i="2"/>
  <c r="B202" i="2"/>
  <c r="A202" i="2"/>
  <c r="CI201" i="2"/>
  <c r="CH201" i="2"/>
  <c r="CG201" i="2"/>
  <c r="CF201" i="2"/>
  <c r="CE201" i="2"/>
  <c r="CD201" i="2"/>
  <c r="CC201" i="2"/>
  <c r="BZ201" i="2"/>
  <c r="BY201" i="2"/>
  <c r="BX201" i="2"/>
  <c r="BW201" i="2"/>
  <c r="Q201" i="2"/>
  <c r="G201" i="2"/>
  <c r="F201" i="2"/>
  <c r="E201" i="2"/>
  <c r="D201" i="2"/>
  <c r="C201" i="2"/>
  <c r="B201" i="2"/>
  <c r="A201" i="2"/>
  <c r="CI200" i="2"/>
  <c r="CH200" i="2"/>
  <c r="CG200" i="2"/>
  <c r="CF200" i="2"/>
  <c r="CE200" i="2"/>
  <c r="CD200" i="2"/>
  <c r="CC200" i="2"/>
  <c r="BZ200" i="2"/>
  <c r="BY200" i="2"/>
  <c r="BX200" i="2"/>
  <c r="BW200" i="2"/>
  <c r="P200" i="2"/>
  <c r="G200" i="2"/>
  <c r="F200" i="2"/>
  <c r="E200" i="2"/>
  <c r="D200" i="2"/>
  <c r="C200" i="2"/>
  <c r="B200" i="2"/>
  <c r="A200" i="2"/>
  <c r="CI199" i="2"/>
  <c r="CH199" i="2"/>
  <c r="CG199" i="2"/>
  <c r="CC199" i="2"/>
  <c r="BZ199" i="2"/>
  <c r="BY199" i="2"/>
  <c r="BX199" i="2"/>
  <c r="BW199" i="2"/>
  <c r="H199" i="2"/>
  <c r="G199" i="2"/>
  <c r="F199" i="2"/>
  <c r="E199" i="2"/>
  <c r="D199" i="2"/>
  <c r="C199" i="2"/>
  <c r="B199" i="2"/>
  <c r="A199" i="2"/>
  <c r="CI198" i="2"/>
  <c r="CH198" i="2"/>
  <c r="CG198" i="2"/>
  <c r="CF198" i="2"/>
  <c r="CE198" i="2"/>
  <c r="CD198" i="2"/>
  <c r="CC198" i="2"/>
  <c r="BZ198" i="2"/>
  <c r="BY198" i="2"/>
  <c r="BX198" i="2"/>
  <c r="BW198" i="2"/>
  <c r="L198" i="2"/>
  <c r="G198" i="2"/>
  <c r="F198" i="2"/>
  <c r="E198" i="2"/>
  <c r="D198" i="2"/>
  <c r="C198" i="2"/>
  <c r="B198" i="2"/>
  <c r="A198" i="2"/>
  <c r="CI197" i="2"/>
  <c r="CH197" i="2"/>
  <c r="CG197" i="2"/>
  <c r="CF197" i="2"/>
  <c r="CE197" i="2"/>
  <c r="CD197" i="2"/>
  <c r="CC197" i="2"/>
  <c r="BZ197" i="2"/>
  <c r="BY197" i="2"/>
  <c r="BX197" i="2"/>
  <c r="BW197" i="2"/>
  <c r="H197" i="2"/>
  <c r="G197" i="2"/>
  <c r="F197" i="2"/>
  <c r="E197" i="2"/>
  <c r="D197" i="2"/>
  <c r="C197" i="2"/>
  <c r="B197" i="2"/>
  <c r="A197" i="2"/>
  <c r="CI196" i="2"/>
  <c r="CH196" i="2"/>
  <c r="CG196" i="2"/>
  <c r="CF196" i="2"/>
  <c r="CE196" i="2"/>
  <c r="CD196" i="2"/>
  <c r="CC196" i="2"/>
  <c r="BZ196" i="2"/>
  <c r="BY196" i="2"/>
  <c r="BX196" i="2"/>
  <c r="BW196" i="2"/>
  <c r="V196" i="2"/>
  <c r="G196" i="2"/>
  <c r="F196" i="2"/>
  <c r="E196" i="2"/>
  <c r="D196" i="2"/>
  <c r="C196" i="2"/>
  <c r="B196" i="2"/>
  <c r="A196" i="2"/>
  <c r="CI195" i="2"/>
  <c r="CH195" i="2"/>
  <c r="CG195" i="2"/>
  <c r="CF195" i="2"/>
  <c r="CE195" i="2"/>
  <c r="CD195" i="2"/>
  <c r="CC195" i="2"/>
  <c r="BZ195" i="2"/>
  <c r="BY195" i="2"/>
  <c r="BX195" i="2"/>
  <c r="BW195" i="2"/>
  <c r="M195" i="2"/>
  <c r="G195" i="2"/>
  <c r="F195" i="2"/>
  <c r="E195" i="2"/>
  <c r="D195" i="2"/>
  <c r="C195" i="2"/>
  <c r="B195" i="2"/>
  <c r="A195" i="2"/>
  <c r="CI194" i="2"/>
  <c r="CH194" i="2"/>
  <c r="CG194" i="2"/>
  <c r="CF194" i="2"/>
  <c r="CE194" i="2"/>
  <c r="CD194" i="2"/>
  <c r="CC194" i="2"/>
  <c r="BZ194" i="2"/>
  <c r="BY194" i="2"/>
  <c r="BX194" i="2"/>
  <c r="BW194" i="2"/>
  <c r="L194" i="2"/>
  <c r="G194" i="2"/>
  <c r="F194" i="2"/>
  <c r="E194" i="2"/>
  <c r="D194" i="2"/>
  <c r="C194" i="2"/>
  <c r="B194" i="2"/>
  <c r="A194" i="2"/>
  <c r="CI193" i="2"/>
  <c r="CH193" i="2"/>
  <c r="CG193" i="2"/>
  <c r="CF193" i="2"/>
  <c r="CE193" i="2"/>
  <c r="CD193" i="2"/>
  <c r="CC193" i="2"/>
  <c r="BZ193" i="2"/>
  <c r="BY193" i="2"/>
  <c r="BX193" i="2"/>
  <c r="BW193" i="2"/>
  <c r="J193" i="2"/>
  <c r="G193" i="2"/>
  <c r="F193" i="2"/>
  <c r="E193" i="2"/>
  <c r="D193" i="2"/>
  <c r="C193" i="2"/>
  <c r="B193" i="2"/>
  <c r="A193" i="2"/>
  <c r="CI192" i="2"/>
  <c r="CH192" i="2"/>
  <c r="CG192" i="2"/>
  <c r="CF192" i="2"/>
  <c r="CE192" i="2"/>
  <c r="CD192" i="2"/>
  <c r="CC192" i="2"/>
  <c r="BZ192" i="2"/>
  <c r="BY192" i="2"/>
  <c r="BX192" i="2"/>
  <c r="BW192" i="2"/>
  <c r="J192" i="2"/>
  <c r="G192" i="2"/>
  <c r="F192" i="2"/>
  <c r="E192" i="2"/>
  <c r="D192" i="2"/>
  <c r="C192" i="2"/>
  <c r="B192" i="2"/>
  <c r="A192" i="2"/>
  <c r="CI191" i="2"/>
  <c r="CH191" i="2"/>
  <c r="CG191" i="2"/>
  <c r="CF191" i="2"/>
  <c r="CE191" i="2"/>
  <c r="CD191" i="2"/>
  <c r="CC191" i="2"/>
  <c r="BZ191" i="2"/>
  <c r="BY191" i="2"/>
  <c r="BX191" i="2"/>
  <c r="BW191" i="2"/>
  <c r="H191" i="2"/>
  <c r="G191" i="2"/>
  <c r="F191" i="2"/>
  <c r="E191" i="2"/>
  <c r="D191" i="2"/>
  <c r="C191" i="2"/>
  <c r="B191" i="2"/>
  <c r="A191" i="2"/>
  <c r="CI190" i="2"/>
  <c r="CH190" i="2"/>
  <c r="CG190" i="2"/>
  <c r="CF190" i="2"/>
  <c r="CE190" i="2"/>
  <c r="CD190" i="2"/>
  <c r="CC190" i="2"/>
  <c r="BZ190" i="2"/>
  <c r="BY190" i="2"/>
  <c r="BX190" i="2"/>
  <c r="BW190" i="2"/>
  <c r="J190" i="2"/>
  <c r="G190" i="2"/>
  <c r="F190" i="2"/>
  <c r="E190" i="2"/>
  <c r="D190" i="2"/>
  <c r="C190" i="2"/>
  <c r="B190" i="2"/>
  <c r="A190" i="2"/>
  <c r="CI189" i="2"/>
  <c r="CH189" i="2"/>
  <c r="CG189" i="2"/>
  <c r="CF189" i="2"/>
  <c r="CE189" i="2"/>
  <c r="CD189" i="2"/>
  <c r="CC189" i="2"/>
  <c r="BZ189" i="2"/>
  <c r="BY189" i="2"/>
  <c r="BX189" i="2"/>
  <c r="BW189" i="2"/>
  <c r="U189" i="2"/>
  <c r="G189" i="2"/>
  <c r="F189" i="2"/>
  <c r="E189" i="2"/>
  <c r="D189" i="2"/>
  <c r="C189" i="2"/>
  <c r="B189" i="2"/>
  <c r="A189" i="2"/>
  <c r="CI188" i="2"/>
  <c r="CH188" i="2"/>
  <c r="CG188" i="2"/>
  <c r="CF188" i="2"/>
  <c r="CE188" i="2"/>
  <c r="CD188" i="2"/>
  <c r="CC188" i="2"/>
  <c r="BZ188" i="2"/>
  <c r="BY188" i="2"/>
  <c r="BX188" i="2"/>
  <c r="BW188" i="2"/>
  <c r="H188" i="2"/>
  <c r="G188" i="2"/>
  <c r="F188" i="2"/>
  <c r="E188" i="2"/>
  <c r="D188" i="2"/>
  <c r="C188" i="2"/>
  <c r="B188" i="2"/>
  <c r="A188" i="2"/>
  <c r="CI187" i="2"/>
  <c r="CH187" i="2"/>
  <c r="CG187" i="2"/>
  <c r="CF187" i="2"/>
  <c r="CE187" i="2"/>
  <c r="CD187" i="2"/>
  <c r="CC187" i="2"/>
  <c r="BZ187" i="2"/>
  <c r="BY187" i="2"/>
  <c r="BX187" i="2"/>
  <c r="BW187" i="2"/>
  <c r="L187" i="2"/>
  <c r="G187" i="2"/>
  <c r="F187" i="2"/>
  <c r="E187" i="2"/>
  <c r="D187" i="2"/>
  <c r="C187" i="2"/>
  <c r="B187" i="2"/>
  <c r="A187" i="2"/>
  <c r="CI186" i="2"/>
  <c r="CH186" i="2"/>
  <c r="CG186" i="2"/>
  <c r="CF186" i="2"/>
  <c r="CE186" i="2"/>
  <c r="CD186" i="2"/>
  <c r="CC186" i="2"/>
  <c r="BZ186" i="2"/>
  <c r="BY186" i="2"/>
  <c r="BX186" i="2"/>
  <c r="BW186" i="2"/>
  <c r="H186" i="2"/>
  <c r="G186" i="2"/>
  <c r="F186" i="2"/>
  <c r="E186" i="2"/>
  <c r="D186" i="2"/>
  <c r="C186" i="2"/>
  <c r="B186" i="2"/>
  <c r="A186" i="2"/>
  <c r="CI185" i="2"/>
  <c r="CH185" i="2"/>
  <c r="CG185" i="2"/>
  <c r="CF185" i="2"/>
  <c r="CE185" i="2"/>
  <c r="CD185" i="2"/>
  <c r="CC185" i="2"/>
  <c r="BZ185" i="2"/>
  <c r="BY185" i="2"/>
  <c r="BX185" i="2"/>
  <c r="BW185" i="2"/>
  <c r="H185" i="2"/>
  <c r="G185" i="2"/>
  <c r="F185" i="2"/>
  <c r="E185" i="2"/>
  <c r="D185" i="2"/>
  <c r="C185" i="2"/>
  <c r="B185" i="2"/>
  <c r="A185" i="2"/>
  <c r="CI184" i="2"/>
  <c r="CH184" i="2"/>
  <c r="CG184" i="2"/>
  <c r="CF184" i="2"/>
  <c r="CE184" i="2"/>
  <c r="CD184" i="2"/>
  <c r="CC184" i="2"/>
  <c r="BZ184" i="2"/>
  <c r="BY184" i="2"/>
  <c r="BX184" i="2"/>
  <c r="BW184" i="2"/>
  <c r="R184" i="2"/>
  <c r="G184" i="2"/>
  <c r="F184" i="2"/>
  <c r="E184" i="2"/>
  <c r="D184" i="2"/>
  <c r="C184" i="2"/>
  <c r="B184" i="2"/>
  <c r="A184" i="2"/>
  <c r="CI183" i="2"/>
  <c r="CH183" i="2"/>
  <c r="CG183" i="2"/>
  <c r="CF183" i="2"/>
  <c r="CE183" i="2"/>
  <c r="CD183" i="2"/>
  <c r="CC183" i="2"/>
  <c r="BZ183" i="2"/>
  <c r="BY183" i="2"/>
  <c r="BX183" i="2"/>
  <c r="BW183" i="2"/>
  <c r="P183" i="2"/>
  <c r="G183" i="2"/>
  <c r="F183" i="2"/>
  <c r="E183" i="2"/>
  <c r="D183" i="2"/>
  <c r="C183" i="2"/>
  <c r="B183" i="2"/>
  <c r="A183" i="2"/>
  <c r="CI182" i="2"/>
  <c r="CH182" i="2"/>
  <c r="CG182" i="2"/>
  <c r="CF182" i="2"/>
  <c r="CE182" i="2"/>
  <c r="CD182" i="2"/>
  <c r="CC182" i="2"/>
  <c r="BZ182" i="2"/>
  <c r="BY182" i="2"/>
  <c r="BX182" i="2"/>
  <c r="BW182" i="2"/>
  <c r="H182" i="2"/>
  <c r="G182" i="2"/>
  <c r="F182" i="2"/>
  <c r="E182" i="2"/>
  <c r="D182" i="2"/>
  <c r="C182" i="2"/>
  <c r="B182" i="2"/>
  <c r="A182" i="2"/>
  <c r="CI181" i="2"/>
  <c r="CH181" i="2"/>
  <c r="CG181" i="2"/>
  <c r="CF181" i="2"/>
  <c r="CE181" i="2"/>
  <c r="CD181" i="2"/>
  <c r="CC181" i="2"/>
  <c r="BZ181" i="2"/>
  <c r="BY181" i="2"/>
  <c r="BX181" i="2"/>
  <c r="BW181" i="2"/>
  <c r="R181" i="2"/>
  <c r="G181" i="2"/>
  <c r="F181" i="2"/>
  <c r="E181" i="2"/>
  <c r="D181" i="2"/>
  <c r="C181" i="2"/>
  <c r="B181" i="2"/>
  <c r="A181" i="2"/>
  <c r="CI180" i="2"/>
  <c r="CH180" i="2"/>
  <c r="CG180" i="2"/>
  <c r="CF180" i="2"/>
  <c r="CE180" i="2"/>
  <c r="CD180" i="2"/>
  <c r="CC180" i="2"/>
  <c r="BZ180" i="2"/>
  <c r="BY180" i="2"/>
  <c r="BX180" i="2"/>
  <c r="BW180" i="2"/>
  <c r="U180" i="2"/>
  <c r="G180" i="2"/>
  <c r="F180" i="2"/>
  <c r="E180" i="2"/>
  <c r="D180" i="2"/>
  <c r="C180" i="2"/>
  <c r="B180" i="2"/>
  <c r="A180" i="2"/>
  <c r="CI179" i="2"/>
  <c r="CH179" i="2"/>
  <c r="CG179" i="2"/>
  <c r="CF179" i="2"/>
  <c r="CE179" i="2"/>
  <c r="CD179" i="2"/>
  <c r="CC179" i="2"/>
  <c r="BZ179" i="2"/>
  <c r="BY179" i="2"/>
  <c r="BX179" i="2"/>
  <c r="BW179" i="2"/>
  <c r="V179" i="2"/>
  <c r="G179" i="2"/>
  <c r="F179" i="2"/>
  <c r="E179" i="2"/>
  <c r="D179" i="2"/>
  <c r="C179" i="2"/>
  <c r="B179" i="2"/>
  <c r="A179" i="2"/>
  <c r="CI178" i="2"/>
  <c r="CH178" i="2"/>
  <c r="CG178" i="2"/>
  <c r="CF178" i="2"/>
  <c r="CE178" i="2"/>
  <c r="CD178" i="2"/>
  <c r="CC178" i="2"/>
  <c r="BZ178" i="2"/>
  <c r="BY178" i="2"/>
  <c r="BX178" i="2"/>
  <c r="BW178" i="2"/>
  <c r="T178" i="2"/>
  <c r="G178" i="2"/>
  <c r="F178" i="2"/>
  <c r="E178" i="2"/>
  <c r="D178" i="2"/>
  <c r="C178" i="2"/>
  <c r="B178" i="2"/>
  <c r="A178" i="2"/>
  <c r="CI177" i="2"/>
  <c r="CH177" i="2"/>
  <c r="CG177" i="2"/>
  <c r="CF177" i="2"/>
  <c r="CE177" i="2"/>
  <c r="CD177" i="2"/>
  <c r="CC177" i="2"/>
  <c r="BZ177" i="2"/>
  <c r="BY177" i="2"/>
  <c r="BX177" i="2"/>
  <c r="BW177" i="2"/>
  <c r="L177" i="2"/>
  <c r="G177" i="2"/>
  <c r="F177" i="2"/>
  <c r="E177" i="2"/>
  <c r="D177" i="2"/>
  <c r="C177" i="2"/>
  <c r="B177" i="2"/>
  <c r="A177" i="2"/>
  <c r="CI176" i="2"/>
  <c r="CH176" i="2"/>
  <c r="CG176" i="2"/>
  <c r="CF176" i="2"/>
  <c r="CE176" i="2"/>
  <c r="CD176" i="2"/>
  <c r="CC176" i="2"/>
  <c r="BZ176" i="2"/>
  <c r="BY176" i="2"/>
  <c r="BX176" i="2"/>
  <c r="BW176" i="2"/>
  <c r="Q176" i="2"/>
  <c r="H176" i="2"/>
  <c r="G176" i="2"/>
  <c r="F176" i="2"/>
  <c r="E176" i="2"/>
  <c r="D176" i="2"/>
  <c r="C176" i="2"/>
  <c r="B176" i="2"/>
  <c r="A176" i="2"/>
  <c r="CI175" i="2"/>
  <c r="CH175" i="2"/>
  <c r="CG175" i="2"/>
  <c r="CF175" i="2"/>
  <c r="CE175" i="2"/>
  <c r="CD175" i="2"/>
  <c r="CC175" i="2"/>
  <c r="BZ175" i="2"/>
  <c r="BY175" i="2"/>
  <c r="BX175" i="2"/>
  <c r="BW175" i="2"/>
  <c r="M175" i="2"/>
  <c r="G175" i="2"/>
  <c r="F175" i="2"/>
  <c r="E175" i="2"/>
  <c r="D175" i="2"/>
  <c r="C175" i="2"/>
  <c r="B175" i="2"/>
  <c r="A175" i="2"/>
  <c r="CI174" i="2"/>
  <c r="CH174" i="2"/>
  <c r="CG174" i="2"/>
  <c r="CF174" i="2"/>
  <c r="CE174" i="2"/>
  <c r="CD174" i="2"/>
  <c r="CC174" i="2"/>
  <c r="BZ174" i="2"/>
  <c r="BY174" i="2"/>
  <c r="BX174" i="2"/>
  <c r="BW174" i="2"/>
  <c r="O174" i="2"/>
  <c r="G174" i="2"/>
  <c r="F174" i="2"/>
  <c r="E174" i="2"/>
  <c r="D174" i="2"/>
  <c r="C174" i="2"/>
  <c r="B174" i="2"/>
  <c r="A174" i="2"/>
  <c r="CI173" i="2"/>
  <c r="CH173" i="2"/>
  <c r="CG173" i="2"/>
  <c r="CF173" i="2"/>
  <c r="CE173" i="2"/>
  <c r="CD173" i="2"/>
  <c r="CC173" i="2"/>
  <c r="BZ173" i="2"/>
  <c r="BY173" i="2"/>
  <c r="BX173" i="2"/>
  <c r="BW173" i="2"/>
  <c r="V173" i="2"/>
  <c r="G173" i="2"/>
  <c r="F173" i="2"/>
  <c r="E173" i="2"/>
  <c r="D173" i="2"/>
  <c r="C173" i="2"/>
  <c r="B173" i="2"/>
  <c r="A173" i="2"/>
  <c r="CI172" i="2"/>
  <c r="CH172" i="2"/>
  <c r="CG172" i="2"/>
  <c r="CF172" i="2"/>
  <c r="CE172" i="2"/>
  <c r="CD172" i="2"/>
  <c r="CC172" i="2"/>
  <c r="BZ172" i="2"/>
  <c r="BY172" i="2"/>
  <c r="BX172" i="2"/>
  <c r="BW172" i="2"/>
  <c r="P172" i="2"/>
  <c r="G172" i="2"/>
  <c r="F172" i="2"/>
  <c r="E172" i="2"/>
  <c r="D172" i="2"/>
  <c r="C172" i="2"/>
  <c r="B172" i="2"/>
  <c r="A172" i="2"/>
  <c r="CI171" i="2"/>
  <c r="CH171" i="2"/>
  <c r="CG171" i="2"/>
  <c r="CF171" i="2"/>
  <c r="CE171" i="2"/>
  <c r="CD171" i="2"/>
  <c r="CC171" i="2"/>
  <c r="BZ171" i="2"/>
  <c r="BY171" i="2"/>
  <c r="BX171" i="2"/>
  <c r="BW171" i="2"/>
  <c r="H171" i="2"/>
  <c r="F171" i="2"/>
  <c r="E171" i="2"/>
  <c r="D171" i="2"/>
  <c r="C171" i="2"/>
  <c r="B171" i="2"/>
  <c r="A171" i="2"/>
  <c r="CI170" i="2"/>
  <c r="CH170" i="2"/>
  <c r="CG170" i="2"/>
  <c r="CF170" i="2"/>
  <c r="CE170" i="2"/>
  <c r="CD170" i="2"/>
  <c r="CC170" i="2"/>
  <c r="BZ170" i="2"/>
  <c r="BY170" i="2"/>
  <c r="BX170" i="2"/>
  <c r="BW170" i="2"/>
  <c r="V170" i="2"/>
  <c r="G170" i="2"/>
  <c r="F170" i="2"/>
  <c r="E170" i="2"/>
  <c r="D170" i="2"/>
  <c r="C170" i="2"/>
  <c r="B170" i="2"/>
  <c r="A170" i="2"/>
  <c r="CI169" i="2"/>
  <c r="CH169" i="2"/>
  <c r="CG169" i="2"/>
  <c r="CF169" i="2"/>
  <c r="CE169" i="2"/>
  <c r="CD169" i="2"/>
  <c r="CC169" i="2"/>
  <c r="BZ169" i="2"/>
  <c r="BY169" i="2"/>
  <c r="BX169" i="2"/>
  <c r="BW169" i="2"/>
  <c r="Q169" i="2"/>
  <c r="G169" i="2"/>
  <c r="F169" i="2"/>
  <c r="E169" i="2"/>
  <c r="D169" i="2"/>
  <c r="C169" i="2"/>
  <c r="B169" i="2"/>
  <c r="A169" i="2"/>
  <c r="CI168" i="2"/>
  <c r="CH168" i="2"/>
  <c r="CG168" i="2"/>
  <c r="CF168" i="2"/>
  <c r="CE168" i="2"/>
  <c r="CD168" i="2"/>
  <c r="CC168" i="2"/>
  <c r="BZ168" i="2"/>
  <c r="BY168" i="2"/>
  <c r="BX168" i="2"/>
  <c r="BW168" i="2"/>
  <c r="V168" i="2"/>
  <c r="G168" i="2"/>
  <c r="F168" i="2"/>
  <c r="E168" i="2"/>
  <c r="D168" i="2"/>
  <c r="C168" i="2"/>
  <c r="B168" i="2"/>
  <c r="A168" i="2"/>
  <c r="CI167" i="2"/>
  <c r="CH167" i="2"/>
  <c r="CG167" i="2"/>
  <c r="CF167" i="2"/>
  <c r="CE167" i="2"/>
  <c r="CD167" i="2"/>
  <c r="CC167" i="2"/>
  <c r="BZ167" i="2"/>
  <c r="BY167" i="2"/>
  <c r="BX167" i="2"/>
  <c r="BW167" i="2"/>
  <c r="P167" i="2"/>
  <c r="G167" i="2"/>
  <c r="F167" i="2"/>
  <c r="E167" i="2"/>
  <c r="D167" i="2"/>
  <c r="C167" i="2"/>
  <c r="B167" i="2"/>
  <c r="A167" i="2"/>
  <c r="CI166" i="2"/>
  <c r="CH166" i="2"/>
  <c r="CG166" i="2"/>
  <c r="CF166" i="2"/>
  <c r="CE166" i="2"/>
  <c r="CD166" i="2"/>
  <c r="CC166" i="2"/>
  <c r="BZ166" i="2"/>
  <c r="BY166" i="2"/>
  <c r="BX166" i="2"/>
  <c r="BW166" i="2"/>
  <c r="V166" i="2"/>
  <c r="G166" i="2"/>
  <c r="F166" i="2"/>
  <c r="E166" i="2"/>
  <c r="D166" i="2"/>
  <c r="C166" i="2"/>
  <c r="B166" i="2"/>
  <c r="A166" i="2"/>
  <c r="CI165" i="2"/>
  <c r="CH165" i="2"/>
  <c r="CG165" i="2"/>
  <c r="CF165" i="2"/>
  <c r="CE165" i="2"/>
  <c r="CD165" i="2"/>
  <c r="CC165" i="2"/>
  <c r="BZ165" i="2"/>
  <c r="BY165" i="2"/>
  <c r="BX165" i="2"/>
  <c r="BW165" i="2"/>
  <c r="L165" i="2"/>
  <c r="G165" i="2"/>
  <c r="F165" i="2"/>
  <c r="E165" i="2"/>
  <c r="D165" i="2"/>
  <c r="C165" i="2"/>
  <c r="B165" i="2"/>
  <c r="A165" i="2"/>
  <c r="CI164" i="2"/>
  <c r="CH164" i="2"/>
  <c r="CG164" i="2"/>
  <c r="CF164" i="2"/>
  <c r="CE164" i="2"/>
  <c r="CD164" i="2"/>
  <c r="CC164" i="2"/>
  <c r="BZ164" i="2"/>
  <c r="BY164" i="2"/>
  <c r="BX164" i="2"/>
  <c r="BW164" i="2"/>
  <c r="T164" i="2"/>
  <c r="G164" i="2"/>
  <c r="F164" i="2"/>
  <c r="D164" i="2"/>
  <c r="C164" i="2"/>
  <c r="B164" i="2"/>
  <c r="A164" i="2"/>
  <c r="CI163" i="2"/>
  <c r="CH163" i="2"/>
  <c r="CG163" i="2"/>
  <c r="CF163" i="2"/>
  <c r="CE163" i="2"/>
  <c r="CD163" i="2"/>
  <c r="CC163" i="2"/>
  <c r="BZ163" i="2"/>
  <c r="BY163" i="2"/>
  <c r="BX163" i="2"/>
  <c r="BW163" i="2"/>
  <c r="U163" i="2"/>
  <c r="G163" i="2"/>
  <c r="F163" i="2"/>
  <c r="E163" i="2"/>
  <c r="D163" i="2"/>
  <c r="C163" i="2"/>
  <c r="B163" i="2"/>
  <c r="A163" i="2"/>
  <c r="CI162" i="2"/>
  <c r="CH162" i="2"/>
  <c r="CG162" i="2"/>
  <c r="CF162" i="2"/>
  <c r="CE162" i="2"/>
  <c r="CD162" i="2"/>
  <c r="CC162" i="2"/>
  <c r="BZ162" i="2"/>
  <c r="BY162" i="2"/>
  <c r="BX162" i="2"/>
  <c r="BW162" i="2"/>
  <c r="V162" i="2"/>
  <c r="G162" i="2"/>
  <c r="F162" i="2"/>
  <c r="E162" i="2"/>
  <c r="D162" i="2"/>
  <c r="C162" i="2"/>
  <c r="B162" i="2"/>
  <c r="A162" i="2"/>
  <c r="CI161" i="2"/>
  <c r="CH161" i="2"/>
  <c r="CG161" i="2"/>
  <c r="CF161" i="2"/>
  <c r="CE161" i="2"/>
  <c r="CD161" i="2"/>
  <c r="CC161" i="2"/>
  <c r="BZ161" i="2"/>
  <c r="BY161" i="2"/>
  <c r="BX161" i="2"/>
  <c r="BW161" i="2"/>
  <c r="P161" i="2"/>
  <c r="G161" i="2"/>
  <c r="F161" i="2"/>
  <c r="E161" i="2"/>
  <c r="D161" i="2"/>
  <c r="C161" i="2"/>
  <c r="B161" i="2"/>
  <c r="A161" i="2"/>
  <c r="CI160" i="2"/>
  <c r="CH160" i="2"/>
  <c r="CG160" i="2"/>
  <c r="CF160" i="2"/>
  <c r="CE160" i="2"/>
  <c r="CD160" i="2"/>
  <c r="CC160" i="2"/>
  <c r="BZ160" i="2"/>
  <c r="BY160" i="2"/>
  <c r="BX160" i="2"/>
  <c r="BW160" i="2"/>
  <c r="T160" i="2"/>
  <c r="G160" i="2"/>
  <c r="F160" i="2"/>
  <c r="E160" i="2"/>
  <c r="D160" i="2"/>
  <c r="C160" i="2"/>
  <c r="B160" i="2"/>
  <c r="A160" i="2"/>
  <c r="CI159" i="2"/>
  <c r="CH159" i="2"/>
  <c r="CG159" i="2"/>
  <c r="CF159" i="2"/>
  <c r="CE159" i="2"/>
  <c r="CD159" i="2"/>
  <c r="CC159" i="2"/>
  <c r="BZ159" i="2"/>
  <c r="BY159" i="2"/>
  <c r="BX159" i="2"/>
  <c r="BW159" i="2"/>
  <c r="G159" i="2"/>
  <c r="F159" i="2"/>
  <c r="E159" i="2"/>
  <c r="D159" i="2"/>
  <c r="C159" i="2"/>
  <c r="B159" i="2"/>
  <c r="A159" i="2"/>
  <c r="CI158" i="2"/>
  <c r="CH158" i="2"/>
  <c r="CG158" i="2"/>
  <c r="CF158" i="2"/>
  <c r="CE158" i="2"/>
  <c r="CD158" i="2"/>
  <c r="CC158" i="2"/>
  <c r="BZ158" i="2"/>
  <c r="BY158" i="2"/>
  <c r="BX158" i="2"/>
  <c r="BW158" i="2"/>
  <c r="T158" i="2"/>
  <c r="G158" i="2"/>
  <c r="F158" i="2"/>
  <c r="E158" i="2"/>
  <c r="D158" i="2"/>
  <c r="C158" i="2"/>
  <c r="B158" i="2"/>
  <c r="A158" i="2"/>
  <c r="CI157" i="2"/>
  <c r="CH157" i="2"/>
  <c r="CG157" i="2"/>
  <c r="CF157" i="2"/>
  <c r="CE157" i="2"/>
  <c r="CD157" i="2"/>
  <c r="CC157" i="2"/>
  <c r="BZ157" i="2"/>
  <c r="BY157" i="2"/>
  <c r="BX157" i="2"/>
  <c r="BW157" i="2"/>
  <c r="G157" i="2"/>
  <c r="F157" i="2"/>
  <c r="E157" i="2"/>
  <c r="D157" i="2"/>
  <c r="C157" i="2"/>
  <c r="B157" i="2"/>
  <c r="A157" i="2"/>
  <c r="CI156" i="2"/>
  <c r="CH156" i="2"/>
  <c r="CG156" i="2"/>
  <c r="CF156" i="2"/>
  <c r="CE156" i="2"/>
  <c r="CD156" i="2"/>
  <c r="CC156" i="2"/>
  <c r="BZ156" i="2"/>
  <c r="BY156" i="2"/>
  <c r="BX156" i="2"/>
  <c r="BW156" i="2"/>
  <c r="H156" i="2"/>
  <c r="F156" i="2"/>
  <c r="E156" i="2"/>
  <c r="D156" i="2"/>
  <c r="C156" i="2"/>
  <c r="B156" i="2"/>
  <c r="A156" i="2"/>
  <c r="CI155" i="2"/>
  <c r="CH155" i="2"/>
  <c r="CG155" i="2"/>
  <c r="CF155" i="2"/>
  <c r="CE155" i="2"/>
  <c r="CD155" i="2"/>
  <c r="CC155" i="2"/>
  <c r="BZ155" i="2"/>
  <c r="BY155" i="2"/>
  <c r="BX155" i="2"/>
  <c r="BW155" i="2"/>
  <c r="T155" i="2"/>
  <c r="G155" i="2"/>
  <c r="F155" i="2"/>
  <c r="E155" i="2"/>
  <c r="D155" i="2"/>
  <c r="C155" i="2"/>
  <c r="B155" i="2"/>
  <c r="A155" i="2"/>
  <c r="CI154" i="2"/>
  <c r="CH154" i="2"/>
  <c r="CG154" i="2"/>
  <c r="CF154" i="2"/>
  <c r="CE154" i="2"/>
  <c r="CD154" i="2"/>
  <c r="CC154" i="2"/>
  <c r="BZ154" i="2"/>
  <c r="BY154" i="2"/>
  <c r="BX154" i="2"/>
  <c r="BW154" i="2"/>
  <c r="V154" i="2"/>
  <c r="G154" i="2"/>
  <c r="F154" i="2"/>
  <c r="E154" i="2"/>
  <c r="D154" i="2"/>
  <c r="C154" i="2"/>
  <c r="B154" i="2"/>
  <c r="A154" i="2"/>
  <c r="CI153" i="2"/>
  <c r="CH153" i="2"/>
  <c r="CG153" i="2"/>
  <c r="CF153" i="2"/>
  <c r="CE153" i="2"/>
  <c r="CD153" i="2"/>
  <c r="CC153" i="2"/>
  <c r="BZ153" i="2"/>
  <c r="BY153" i="2"/>
  <c r="BX153" i="2"/>
  <c r="BW153" i="2"/>
  <c r="L153" i="2"/>
  <c r="G153" i="2"/>
  <c r="F153" i="2"/>
  <c r="E153" i="2"/>
  <c r="D153" i="2"/>
  <c r="C153" i="2"/>
  <c r="B153" i="2"/>
  <c r="A153" i="2"/>
  <c r="CI152" i="2"/>
  <c r="CH152" i="2"/>
  <c r="CG152" i="2"/>
  <c r="CF152" i="2"/>
  <c r="CE152" i="2"/>
  <c r="CD152" i="2"/>
  <c r="CC152" i="2"/>
  <c r="BZ152" i="2"/>
  <c r="BY152" i="2"/>
  <c r="BX152" i="2"/>
  <c r="BW152" i="2"/>
  <c r="G152" i="2"/>
  <c r="F152" i="2"/>
  <c r="E152" i="2"/>
  <c r="D152" i="2"/>
  <c r="C152" i="2"/>
  <c r="B152" i="2"/>
  <c r="A152" i="2"/>
  <c r="CI151" i="2"/>
  <c r="CH151" i="2"/>
  <c r="CG151" i="2"/>
  <c r="CF151" i="2"/>
  <c r="CE151" i="2"/>
  <c r="CD151" i="2"/>
  <c r="CC151" i="2"/>
  <c r="BZ151" i="2"/>
  <c r="BY151" i="2"/>
  <c r="BX151" i="2"/>
  <c r="BW151" i="2"/>
  <c r="H151" i="2"/>
  <c r="G151" i="2"/>
  <c r="F151" i="2"/>
  <c r="E151" i="2"/>
  <c r="D151" i="2"/>
  <c r="C151" i="2"/>
  <c r="B151" i="2"/>
  <c r="A151" i="2"/>
  <c r="CI150" i="2"/>
  <c r="CH150" i="2"/>
  <c r="CG150" i="2"/>
  <c r="CF150" i="2"/>
  <c r="CE150" i="2"/>
  <c r="CD150" i="2"/>
  <c r="CC150" i="2"/>
  <c r="BZ150" i="2"/>
  <c r="BY150" i="2"/>
  <c r="BX150" i="2"/>
  <c r="BW150" i="2"/>
  <c r="L150" i="2"/>
  <c r="G150" i="2"/>
  <c r="F150" i="2"/>
  <c r="E150" i="2"/>
  <c r="D150" i="2"/>
  <c r="C150" i="2"/>
  <c r="B150" i="2"/>
  <c r="A150" i="2"/>
  <c r="CI149" i="2"/>
  <c r="CH149" i="2"/>
  <c r="CG149" i="2"/>
  <c r="CF149" i="2"/>
  <c r="CE149" i="2"/>
  <c r="CD149" i="2"/>
  <c r="CC149" i="2"/>
  <c r="BZ149" i="2"/>
  <c r="BY149" i="2"/>
  <c r="BX149" i="2"/>
  <c r="BW149" i="2"/>
  <c r="M149" i="2"/>
  <c r="G149" i="2"/>
  <c r="F149" i="2"/>
  <c r="E149" i="2"/>
  <c r="D149" i="2"/>
  <c r="C149" i="2"/>
  <c r="B149" i="2"/>
  <c r="A149" i="2"/>
  <c r="CI148" i="2"/>
  <c r="CH148" i="2"/>
  <c r="CG148" i="2"/>
  <c r="CF148" i="2"/>
  <c r="CE148" i="2"/>
  <c r="CD148" i="2"/>
  <c r="CC148" i="2"/>
  <c r="BZ148" i="2"/>
  <c r="BY148" i="2"/>
  <c r="BX148" i="2"/>
  <c r="BW148" i="2"/>
  <c r="L148" i="2"/>
  <c r="G148" i="2"/>
  <c r="F148" i="2"/>
  <c r="E148" i="2"/>
  <c r="D148" i="2"/>
  <c r="C148" i="2"/>
  <c r="B148" i="2"/>
  <c r="A148" i="2"/>
  <c r="CI147" i="2"/>
  <c r="CH147" i="2"/>
  <c r="CG147" i="2"/>
  <c r="CF147" i="2"/>
  <c r="CE147" i="2"/>
  <c r="CD147" i="2"/>
  <c r="CC147" i="2"/>
  <c r="BZ147" i="2"/>
  <c r="BY147" i="2"/>
  <c r="BX147" i="2"/>
  <c r="BW147" i="2"/>
  <c r="M147" i="2"/>
  <c r="G147" i="2"/>
  <c r="F147" i="2"/>
  <c r="E147" i="2"/>
  <c r="D147" i="2"/>
  <c r="C147" i="2"/>
  <c r="B147" i="2"/>
  <c r="A147" i="2"/>
  <c r="CI146" i="2"/>
  <c r="CH146" i="2"/>
  <c r="CG146" i="2"/>
  <c r="CF146" i="2"/>
  <c r="CE146" i="2"/>
  <c r="CD146" i="2"/>
  <c r="CC146" i="2"/>
  <c r="BZ146" i="2"/>
  <c r="BY146" i="2"/>
  <c r="BX146" i="2"/>
  <c r="BW146" i="2"/>
  <c r="O146" i="2"/>
  <c r="G146" i="2"/>
  <c r="F146" i="2"/>
  <c r="E146" i="2"/>
  <c r="D146" i="2"/>
  <c r="C146" i="2"/>
  <c r="B146" i="2"/>
  <c r="A146" i="2"/>
  <c r="CI145" i="2"/>
  <c r="CH145" i="2"/>
  <c r="CG145" i="2"/>
  <c r="CF145" i="2"/>
  <c r="CE145" i="2"/>
  <c r="CD145" i="2"/>
  <c r="CC145" i="2"/>
  <c r="BZ145" i="2"/>
  <c r="BY145" i="2"/>
  <c r="BX145" i="2"/>
  <c r="BW145" i="2"/>
  <c r="G145" i="2"/>
  <c r="F145" i="2"/>
  <c r="E145" i="2"/>
  <c r="D145" i="2"/>
  <c r="C145" i="2"/>
  <c r="B145" i="2"/>
  <c r="A145" i="2"/>
  <c r="CI144" i="2"/>
  <c r="CH144" i="2"/>
  <c r="CG144" i="2"/>
  <c r="CF144" i="2"/>
  <c r="CE144" i="2"/>
  <c r="CD144" i="2"/>
  <c r="CC144" i="2"/>
  <c r="BZ144" i="2"/>
  <c r="BY144" i="2"/>
  <c r="BX144" i="2"/>
  <c r="BW144" i="2"/>
  <c r="R144" i="2"/>
  <c r="G144" i="2"/>
  <c r="F144" i="2"/>
  <c r="E144" i="2"/>
  <c r="D144" i="2"/>
  <c r="C144" i="2"/>
  <c r="B144" i="2"/>
  <c r="A144" i="2"/>
  <c r="CI143" i="2"/>
  <c r="CH143" i="2"/>
  <c r="CG143" i="2"/>
  <c r="CF143" i="2"/>
  <c r="CE143" i="2"/>
  <c r="CD143" i="2"/>
  <c r="CC143" i="2"/>
  <c r="BZ143" i="2"/>
  <c r="BY143" i="2"/>
  <c r="BX143" i="2"/>
  <c r="BW143" i="2"/>
  <c r="T143" i="2"/>
  <c r="G143" i="2"/>
  <c r="F143" i="2"/>
  <c r="E143" i="2"/>
  <c r="D143" i="2"/>
  <c r="C143" i="2"/>
  <c r="B143" i="2"/>
  <c r="A143" i="2"/>
  <c r="CI142" i="2"/>
  <c r="CH142" i="2"/>
  <c r="CG142" i="2"/>
  <c r="CF142" i="2"/>
  <c r="CE142" i="2"/>
  <c r="CD142" i="2"/>
  <c r="CC142" i="2"/>
  <c r="BZ142" i="2"/>
  <c r="BY142" i="2"/>
  <c r="BX142" i="2"/>
  <c r="BW142" i="2"/>
  <c r="R142" i="2"/>
  <c r="G142" i="2"/>
  <c r="F142" i="2"/>
  <c r="E142" i="2"/>
  <c r="D142" i="2"/>
  <c r="C142" i="2"/>
  <c r="B142" i="2"/>
  <c r="A142" i="2"/>
  <c r="CI141" i="2"/>
  <c r="CH141" i="2"/>
  <c r="CG141" i="2"/>
  <c r="CF141" i="2"/>
  <c r="CE141" i="2"/>
  <c r="CD141" i="2"/>
  <c r="CC141" i="2"/>
  <c r="BZ141" i="2"/>
  <c r="BY141" i="2"/>
  <c r="BX141" i="2"/>
  <c r="BW141" i="2"/>
  <c r="P141" i="2"/>
  <c r="G141" i="2"/>
  <c r="F141" i="2"/>
  <c r="E141" i="2"/>
  <c r="D141" i="2"/>
  <c r="C141" i="2"/>
  <c r="B141" i="2"/>
  <c r="A141" i="2"/>
  <c r="CI140" i="2"/>
  <c r="CH140" i="2"/>
  <c r="CG140" i="2"/>
  <c r="CF140" i="2"/>
  <c r="CE140" i="2"/>
  <c r="CD140" i="2"/>
  <c r="CC140" i="2"/>
  <c r="BZ140" i="2"/>
  <c r="BY140" i="2"/>
  <c r="BX140" i="2"/>
  <c r="BW140" i="2"/>
  <c r="O140" i="2"/>
  <c r="G140" i="2"/>
  <c r="F140" i="2"/>
  <c r="E140" i="2"/>
  <c r="D140" i="2"/>
  <c r="C140" i="2"/>
  <c r="B140" i="2"/>
  <c r="A140" i="2"/>
  <c r="CI139" i="2"/>
  <c r="CH139" i="2"/>
  <c r="CG139" i="2"/>
  <c r="CF139" i="2"/>
  <c r="CE139" i="2"/>
  <c r="CD139" i="2"/>
  <c r="CC139" i="2"/>
  <c r="BZ139" i="2"/>
  <c r="BY139" i="2"/>
  <c r="BX139" i="2"/>
  <c r="BW139" i="2"/>
  <c r="S139" i="2"/>
  <c r="G139" i="2"/>
  <c r="F139" i="2"/>
  <c r="D139" i="2"/>
  <c r="C139" i="2"/>
  <c r="B139" i="2"/>
  <c r="A139" i="2"/>
  <c r="CI138" i="2"/>
  <c r="CH138" i="2"/>
  <c r="CG138" i="2"/>
  <c r="CF138" i="2"/>
  <c r="CE138" i="2"/>
  <c r="CD138" i="2"/>
  <c r="CC138" i="2"/>
  <c r="BZ138" i="2"/>
  <c r="BY138" i="2"/>
  <c r="BX138" i="2"/>
  <c r="BW138" i="2"/>
  <c r="T138" i="2"/>
  <c r="G138" i="2"/>
  <c r="F138" i="2"/>
  <c r="E138" i="2"/>
  <c r="D138" i="2"/>
  <c r="C138" i="2"/>
  <c r="B138" i="2"/>
  <c r="A138" i="2"/>
  <c r="CI137" i="2"/>
  <c r="CH137" i="2"/>
  <c r="CG137" i="2"/>
  <c r="CF137" i="2"/>
  <c r="CE137" i="2"/>
  <c r="CD137" i="2"/>
  <c r="CC137" i="2"/>
  <c r="BZ137" i="2"/>
  <c r="BY137" i="2"/>
  <c r="BX137" i="2"/>
  <c r="BW137" i="2"/>
  <c r="T137" i="2"/>
  <c r="G137" i="2"/>
  <c r="F137" i="2"/>
  <c r="E137" i="2"/>
  <c r="D137" i="2"/>
  <c r="C137" i="2"/>
  <c r="B137" i="2"/>
  <c r="A137" i="2"/>
  <c r="CI136" i="2"/>
  <c r="CH136" i="2"/>
  <c r="CG136" i="2"/>
  <c r="CF136" i="2"/>
  <c r="CE136" i="2"/>
  <c r="CD136" i="2"/>
  <c r="CC136" i="2"/>
  <c r="BZ136" i="2"/>
  <c r="BY136" i="2"/>
  <c r="BX136" i="2"/>
  <c r="BW136" i="2"/>
  <c r="G136" i="2"/>
  <c r="F136" i="2"/>
  <c r="E136" i="2"/>
  <c r="D136" i="2"/>
  <c r="C136" i="2"/>
  <c r="B136" i="2"/>
  <c r="A136" i="2"/>
  <c r="CI135" i="2"/>
  <c r="CH135" i="2"/>
  <c r="CG135" i="2"/>
  <c r="CF135" i="2"/>
  <c r="CE135" i="2"/>
  <c r="CD135" i="2"/>
  <c r="CC135" i="2"/>
  <c r="BZ135" i="2"/>
  <c r="BY135" i="2"/>
  <c r="BX135" i="2"/>
  <c r="BW135" i="2"/>
  <c r="R135" i="2"/>
  <c r="G135" i="2"/>
  <c r="F135" i="2"/>
  <c r="E135" i="2"/>
  <c r="D135" i="2"/>
  <c r="C135" i="2"/>
  <c r="B135" i="2"/>
  <c r="A135" i="2"/>
  <c r="CI134" i="2"/>
  <c r="CH134" i="2"/>
  <c r="CG134" i="2"/>
  <c r="CF134" i="2"/>
  <c r="CE134" i="2"/>
  <c r="CD134" i="2"/>
  <c r="CC134" i="2"/>
  <c r="BZ134" i="2"/>
  <c r="BY134" i="2"/>
  <c r="BX134" i="2"/>
  <c r="BW134" i="2"/>
  <c r="M134" i="2"/>
  <c r="G134" i="2"/>
  <c r="F134" i="2"/>
  <c r="E134" i="2"/>
  <c r="D134" i="2"/>
  <c r="C134" i="2"/>
  <c r="B134" i="2"/>
  <c r="A134" i="2"/>
  <c r="CI133" i="2"/>
  <c r="CH133" i="2"/>
  <c r="CG133" i="2"/>
  <c r="CF133" i="2"/>
  <c r="CE133" i="2"/>
  <c r="CD133" i="2"/>
  <c r="CC133" i="2"/>
  <c r="BZ133" i="2"/>
  <c r="BY133" i="2"/>
  <c r="BX133" i="2"/>
  <c r="BW133" i="2"/>
  <c r="H133" i="2"/>
  <c r="G133" i="2"/>
  <c r="F133" i="2"/>
  <c r="E133" i="2"/>
  <c r="D133" i="2"/>
  <c r="C133" i="2"/>
  <c r="B133" i="2"/>
  <c r="A133" i="2"/>
  <c r="CI132" i="2"/>
  <c r="CH132" i="2"/>
  <c r="CG132" i="2"/>
  <c r="CF132" i="2"/>
  <c r="CE132" i="2"/>
  <c r="CD132" i="2"/>
  <c r="CC132" i="2"/>
  <c r="BZ132" i="2"/>
  <c r="BY132" i="2"/>
  <c r="BX132" i="2"/>
  <c r="BW132" i="2"/>
  <c r="H132" i="2"/>
  <c r="G132" i="2"/>
  <c r="F132" i="2"/>
  <c r="E132" i="2"/>
  <c r="D132" i="2"/>
  <c r="C132" i="2"/>
  <c r="B132" i="2"/>
  <c r="A132" i="2"/>
  <c r="CI131" i="2"/>
  <c r="CH131" i="2"/>
  <c r="CG131" i="2"/>
  <c r="CF131" i="2"/>
  <c r="CE131" i="2"/>
  <c r="CD131" i="2"/>
  <c r="CC131" i="2"/>
  <c r="BZ131" i="2"/>
  <c r="BY131" i="2"/>
  <c r="BX131" i="2"/>
  <c r="BW131" i="2"/>
  <c r="T131" i="2"/>
  <c r="G131" i="2"/>
  <c r="F131" i="2"/>
  <c r="E131" i="2"/>
  <c r="D131" i="2"/>
  <c r="C131" i="2"/>
  <c r="B131" i="2"/>
  <c r="A131" i="2"/>
  <c r="CI130" i="2"/>
  <c r="CH130" i="2"/>
  <c r="CG130" i="2"/>
  <c r="CF130" i="2"/>
  <c r="CE130" i="2"/>
  <c r="CD130" i="2"/>
  <c r="CC130" i="2"/>
  <c r="BZ130" i="2"/>
  <c r="BY130" i="2"/>
  <c r="BX130" i="2"/>
  <c r="BW130" i="2"/>
  <c r="H130" i="2"/>
  <c r="G130" i="2"/>
  <c r="F130" i="2"/>
  <c r="E130" i="2"/>
  <c r="D130" i="2"/>
  <c r="C130" i="2"/>
  <c r="B130" i="2"/>
  <c r="A130" i="2"/>
  <c r="CI129" i="2"/>
  <c r="CH129" i="2"/>
  <c r="CG129" i="2"/>
  <c r="CF129" i="2"/>
  <c r="CE129" i="2"/>
  <c r="CD129" i="2"/>
  <c r="CC129" i="2"/>
  <c r="BZ129" i="2"/>
  <c r="BY129" i="2"/>
  <c r="BX129" i="2"/>
  <c r="BW129" i="2"/>
  <c r="R129" i="2"/>
  <c r="G129" i="2"/>
  <c r="F129" i="2"/>
  <c r="E129" i="2"/>
  <c r="D129" i="2"/>
  <c r="C129" i="2"/>
  <c r="B129" i="2"/>
  <c r="A129" i="2"/>
  <c r="CI128" i="2"/>
  <c r="CH128" i="2"/>
  <c r="CG128" i="2"/>
  <c r="CF128" i="2"/>
  <c r="CE128" i="2"/>
  <c r="CD128" i="2"/>
  <c r="CC128" i="2"/>
  <c r="BZ128" i="2"/>
  <c r="BY128" i="2"/>
  <c r="BX128" i="2"/>
  <c r="BW128" i="2"/>
  <c r="G128" i="2"/>
  <c r="F128" i="2"/>
  <c r="E128" i="2"/>
  <c r="D128" i="2"/>
  <c r="C128" i="2"/>
  <c r="B128" i="2"/>
  <c r="A128" i="2"/>
  <c r="CI127" i="2"/>
  <c r="CH127" i="2"/>
  <c r="CG127" i="2"/>
  <c r="CF127" i="2"/>
  <c r="CE127" i="2"/>
  <c r="CD127" i="2"/>
  <c r="CC127" i="2"/>
  <c r="BZ127" i="2"/>
  <c r="BY127" i="2"/>
  <c r="BX127" i="2"/>
  <c r="BW127" i="2"/>
  <c r="U127" i="2"/>
  <c r="G127" i="2"/>
  <c r="F127" i="2"/>
  <c r="E127" i="2"/>
  <c r="D127" i="2"/>
  <c r="C127" i="2"/>
  <c r="B127" i="2"/>
  <c r="A127" i="2"/>
  <c r="CI126" i="2"/>
  <c r="CH126" i="2"/>
  <c r="CG126" i="2"/>
  <c r="CF126" i="2"/>
  <c r="CE126" i="2"/>
  <c r="CD126" i="2"/>
  <c r="CC126" i="2"/>
  <c r="BZ126" i="2"/>
  <c r="BY126" i="2"/>
  <c r="BX126" i="2"/>
  <c r="BW126" i="2"/>
  <c r="H126" i="2"/>
  <c r="G126" i="2"/>
  <c r="F126" i="2"/>
  <c r="E126" i="2"/>
  <c r="D126" i="2"/>
  <c r="C126" i="2"/>
  <c r="B126" i="2"/>
  <c r="A126" i="2"/>
  <c r="CI125" i="2"/>
  <c r="CH125" i="2"/>
  <c r="CG125" i="2"/>
  <c r="CF125" i="2"/>
  <c r="CE125" i="2"/>
  <c r="CD125" i="2"/>
  <c r="CC125" i="2"/>
  <c r="BZ125" i="2"/>
  <c r="BY125" i="2"/>
  <c r="BX125" i="2"/>
  <c r="BW125" i="2"/>
  <c r="J125" i="2"/>
  <c r="G125" i="2"/>
  <c r="F125" i="2"/>
  <c r="E125" i="2"/>
  <c r="D125" i="2"/>
  <c r="C125" i="2"/>
  <c r="B125" i="2"/>
  <c r="A125" i="2"/>
  <c r="CI124" i="2"/>
  <c r="CH124" i="2"/>
  <c r="CG124" i="2"/>
  <c r="CF124" i="2"/>
  <c r="CE124" i="2"/>
  <c r="CD124" i="2"/>
  <c r="CC124" i="2"/>
  <c r="BZ124" i="2"/>
  <c r="BY124" i="2"/>
  <c r="BX124" i="2"/>
  <c r="BW124" i="2"/>
  <c r="BG124" i="2"/>
  <c r="W124" i="2"/>
  <c r="G124" i="2"/>
  <c r="F124" i="2"/>
  <c r="E124" i="2"/>
  <c r="D124" i="2"/>
  <c r="C124" i="2"/>
  <c r="B124" i="2"/>
  <c r="A124" i="2"/>
  <c r="CI123" i="2"/>
  <c r="CH123" i="2"/>
  <c r="CG123" i="2"/>
  <c r="CF123" i="2"/>
  <c r="CE123" i="2"/>
  <c r="CD123" i="2"/>
  <c r="CC123" i="2"/>
  <c r="BZ123" i="2"/>
  <c r="BY123" i="2"/>
  <c r="BX123" i="2"/>
  <c r="BW123" i="2"/>
  <c r="S123" i="2"/>
  <c r="G123" i="2"/>
  <c r="F123" i="2"/>
  <c r="E123" i="2"/>
  <c r="D123" i="2"/>
  <c r="C123" i="2"/>
  <c r="B123" i="2"/>
  <c r="A123" i="2"/>
  <c r="CI122" i="2"/>
  <c r="CH122" i="2"/>
  <c r="CG122" i="2"/>
  <c r="CF122" i="2"/>
  <c r="CE122" i="2"/>
  <c r="CD122" i="2"/>
  <c r="CC122" i="2"/>
  <c r="BZ122" i="2"/>
  <c r="BY122" i="2"/>
  <c r="BX122" i="2"/>
  <c r="BW122" i="2"/>
  <c r="G122" i="2"/>
  <c r="F122" i="2"/>
  <c r="E122" i="2"/>
  <c r="D122" i="2"/>
  <c r="C122" i="2"/>
  <c r="B122" i="2"/>
  <c r="A122" i="2"/>
  <c r="CI121" i="2"/>
  <c r="CH121" i="2"/>
  <c r="CG121" i="2"/>
  <c r="CF121" i="2"/>
  <c r="CE121" i="2"/>
  <c r="CD121" i="2"/>
  <c r="CC121" i="2"/>
  <c r="BZ121" i="2"/>
  <c r="BY121" i="2"/>
  <c r="BX121" i="2"/>
  <c r="BW121" i="2"/>
  <c r="BH121" i="2"/>
  <c r="W121" i="2"/>
  <c r="G121" i="2"/>
  <c r="F121" i="2"/>
  <c r="E121" i="2"/>
  <c r="D121" i="2"/>
  <c r="C121" i="2"/>
  <c r="B121" i="2"/>
  <c r="A121" i="2"/>
  <c r="CI120" i="2"/>
  <c r="CH120" i="2"/>
  <c r="CG120" i="2"/>
  <c r="CF120" i="2"/>
  <c r="CE120" i="2"/>
  <c r="CD120" i="2"/>
  <c r="CC120" i="2"/>
  <c r="BZ120" i="2"/>
  <c r="BY120" i="2"/>
  <c r="BX120" i="2"/>
  <c r="BW120" i="2"/>
  <c r="S120" i="2"/>
  <c r="G120" i="2"/>
  <c r="F120" i="2"/>
  <c r="E120" i="2"/>
  <c r="D120" i="2"/>
  <c r="C120" i="2"/>
  <c r="B120" i="2"/>
  <c r="A120" i="2"/>
  <c r="CI119" i="2"/>
  <c r="CH119" i="2"/>
  <c r="CG119" i="2"/>
  <c r="CF119" i="2"/>
  <c r="CE119" i="2"/>
  <c r="CD119" i="2"/>
  <c r="CC119" i="2"/>
  <c r="BZ119" i="2"/>
  <c r="BY119" i="2"/>
  <c r="BX119" i="2"/>
  <c r="BW119" i="2"/>
  <c r="U119" i="2"/>
  <c r="G119" i="2"/>
  <c r="F119" i="2"/>
  <c r="E119" i="2"/>
  <c r="D119" i="2"/>
  <c r="C119" i="2"/>
  <c r="B119" i="2"/>
  <c r="A119" i="2"/>
  <c r="CI118" i="2"/>
  <c r="CH118" i="2"/>
  <c r="CG118" i="2"/>
  <c r="CF118" i="2"/>
  <c r="CE118" i="2"/>
  <c r="CD118" i="2"/>
  <c r="CC118" i="2"/>
  <c r="BZ118" i="2"/>
  <c r="BY118" i="2"/>
  <c r="BX118" i="2"/>
  <c r="BW118" i="2"/>
  <c r="M118" i="2"/>
  <c r="G118" i="2"/>
  <c r="F118" i="2"/>
  <c r="E118" i="2"/>
  <c r="D118" i="2"/>
  <c r="C118" i="2"/>
  <c r="B118" i="2"/>
  <c r="A118" i="2"/>
  <c r="CI117" i="2"/>
  <c r="CH117" i="2"/>
  <c r="CG117" i="2"/>
  <c r="CF117" i="2"/>
  <c r="CE117" i="2"/>
  <c r="CD117" i="2"/>
  <c r="CC117" i="2"/>
  <c r="BZ117" i="2"/>
  <c r="BY117" i="2"/>
  <c r="BX117" i="2"/>
  <c r="BW117" i="2"/>
  <c r="H117" i="2"/>
  <c r="G117" i="2"/>
  <c r="F117" i="2"/>
  <c r="E117" i="2"/>
  <c r="D117" i="2"/>
  <c r="C117" i="2"/>
  <c r="B117" i="2"/>
  <c r="A117" i="2"/>
  <c r="CI116" i="2"/>
  <c r="CH116" i="2"/>
  <c r="CG116" i="2"/>
  <c r="CF116" i="2"/>
  <c r="CE116" i="2"/>
  <c r="CD116" i="2"/>
  <c r="CC116" i="2"/>
  <c r="BZ116" i="2"/>
  <c r="BY116" i="2"/>
  <c r="BX116" i="2"/>
  <c r="BW116" i="2"/>
  <c r="BG116" i="2"/>
  <c r="W116" i="2"/>
  <c r="G116" i="2"/>
  <c r="F116" i="2"/>
  <c r="E116" i="2"/>
  <c r="D116" i="2"/>
  <c r="C116" i="2"/>
  <c r="B116" i="2"/>
  <c r="A116" i="2"/>
  <c r="CI115" i="2"/>
  <c r="CH115" i="2"/>
  <c r="CG115" i="2"/>
  <c r="CF115" i="2"/>
  <c r="CE115" i="2"/>
  <c r="CD115" i="2"/>
  <c r="CC115" i="2"/>
  <c r="BZ115" i="2"/>
  <c r="BY115" i="2"/>
  <c r="BX115" i="2"/>
  <c r="BW115" i="2"/>
  <c r="H115" i="2"/>
  <c r="G115" i="2"/>
  <c r="F115" i="2"/>
  <c r="E115" i="2"/>
  <c r="D115" i="2"/>
  <c r="C115" i="2"/>
  <c r="B115" i="2"/>
  <c r="A115" i="2"/>
  <c r="CI114" i="2"/>
  <c r="CH114" i="2"/>
  <c r="CG114" i="2"/>
  <c r="CF114" i="2"/>
  <c r="CE114" i="2"/>
  <c r="CD114" i="2"/>
  <c r="CC114" i="2"/>
  <c r="BZ114" i="2"/>
  <c r="BY114" i="2"/>
  <c r="BX114" i="2"/>
  <c r="BW114" i="2"/>
  <c r="H114" i="2"/>
  <c r="G114" i="2"/>
  <c r="F114" i="2"/>
  <c r="E114" i="2"/>
  <c r="D114" i="2"/>
  <c r="C114" i="2"/>
  <c r="B114" i="2"/>
  <c r="A114" i="2"/>
  <c r="CI113" i="2"/>
  <c r="CH113" i="2"/>
  <c r="CG113" i="2"/>
  <c r="CF113" i="2"/>
  <c r="CE113" i="2"/>
  <c r="CD113" i="2"/>
  <c r="CC113" i="2"/>
  <c r="BZ113" i="2"/>
  <c r="BY113" i="2"/>
  <c r="BX113" i="2"/>
  <c r="BW113" i="2"/>
  <c r="M113" i="2"/>
  <c r="G113" i="2"/>
  <c r="F113" i="2"/>
  <c r="E113" i="2"/>
  <c r="D113" i="2"/>
  <c r="C113" i="2"/>
  <c r="B113" i="2"/>
  <c r="A113" i="2"/>
  <c r="CI112" i="2"/>
  <c r="CH112" i="2"/>
  <c r="CG112" i="2"/>
  <c r="CF112" i="2"/>
  <c r="CE112" i="2"/>
  <c r="CD112" i="2"/>
  <c r="CC112" i="2"/>
  <c r="BZ112" i="2"/>
  <c r="BY112" i="2"/>
  <c r="BX112" i="2"/>
  <c r="BW112" i="2"/>
  <c r="H112" i="2"/>
  <c r="F112" i="2"/>
  <c r="E112" i="2"/>
  <c r="D112" i="2"/>
  <c r="C112" i="2"/>
  <c r="B112" i="2"/>
  <c r="A112" i="2"/>
  <c r="CI111" i="2"/>
  <c r="CH111" i="2"/>
  <c r="CG111" i="2"/>
  <c r="CF111" i="2"/>
  <c r="CE111" i="2"/>
  <c r="CD111" i="2"/>
  <c r="CC111" i="2"/>
  <c r="BZ111" i="2"/>
  <c r="BY111" i="2"/>
  <c r="BX111" i="2"/>
  <c r="BW111" i="2"/>
  <c r="O111" i="2"/>
  <c r="G111" i="2"/>
  <c r="F111" i="2"/>
  <c r="E111" i="2"/>
  <c r="D111" i="2"/>
  <c r="C111" i="2"/>
  <c r="B111" i="2"/>
  <c r="A111" i="2"/>
  <c r="CI110" i="2"/>
  <c r="CH110" i="2"/>
  <c r="CG110" i="2"/>
  <c r="CF110" i="2"/>
  <c r="CE110" i="2"/>
  <c r="CD110" i="2"/>
  <c r="CC110" i="2"/>
  <c r="BZ110" i="2"/>
  <c r="BY110" i="2"/>
  <c r="BX110" i="2"/>
  <c r="BW110" i="2"/>
  <c r="BG110" i="2"/>
  <c r="W110" i="2"/>
  <c r="G110" i="2"/>
  <c r="F110" i="2"/>
  <c r="E110" i="2"/>
  <c r="D110" i="2"/>
  <c r="C110" i="2"/>
  <c r="B110" i="2"/>
  <c r="A110" i="2"/>
  <c r="CI109" i="2"/>
  <c r="CH109" i="2"/>
  <c r="CG109" i="2"/>
  <c r="CF109" i="2"/>
  <c r="CE109" i="2"/>
  <c r="CD109" i="2"/>
  <c r="CC109" i="2"/>
  <c r="BZ109" i="2"/>
  <c r="BY109" i="2"/>
  <c r="BX109" i="2"/>
  <c r="BW109" i="2"/>
  <c r="L109" i="2"/>
  <c r="G109" i="2"/>
  <c r="F109" i="2"/>
  <c r="E109" i="2"/>
  <c r="D109" i="2"/>
  <c r="C109" i="2"/>
  <c r="B109" i="2"/>
  <c r="A109" i="2"/>
  <c r="CI108" i="2"/>
  <c r="CH108" i="2"/>
  <c r="CG108" i="2"/>
  <c r="CF108" i="2"/>
  <c r="CE108" i="2"/>
  <c r="CD108" i="2"/>
  <c r="CC108" i="2"/>
  <c r="BZ108" i="2"/>
  <c r="BY108" i="2"/>
  <c r="BX108" i="2"/>
  <c r="BW108" i="2"/>
  <c r="G108" i="2"/>
  <c r="F108" i="2"/>
  <c r="E108" i="2"/>
  <c r="D108" i="2"/>
  <c r="C108" i="2"/>
  <c r="B108" i="2"/>
  <c r="A108" i="2"/>
  <c r="CI107" i="2"/>
  <c r="CH107" i="2"/>
  <c r="CG107" i="2"/>
  <c r="CF107" i="2"/>
  <c r="CE107" i="2"/>
  <c r="CD107" i="2"/>
  <c r="CC107" i="2"/>
  <c r="BZ107" i="2"/>
  <c r="BY107" i="2"/>
  <c r="BX107" i="2"/>
  <c r="BW107" i="2"/>
  <c r="L107" i="2"/>
  <c r="G107" i="2"/>
  <c r="F107" i="2"/>
  <c r="E107" i="2"/>
  <c r="D107" i="2"/>
  <c r="C107" i="2"/>
  <c r="B107" i="2"/>
  <c r="A107" i="2"/>
  <c r="CI106" i="2"/>
  <c r="CH106" i="2"/>
  <c r="CG106" i="2"/>
  <c r="CF106" i="2"/>
  <c r="CE106" i="2"/>
  <c r="CD106" i="2"/>
  <c r="CC106" i="2"/>
  <c r="BZ106" i="2"/>
  <c r="BY106" i="2"/>
  <c r="BX106" i="2"/>
  <c r="BW106" i="2"/>
  <c r="O106" i="2"/>
  <c r="G106" i="2"/>
  <c r="F106" i="2"/>
  <c r="E106" i="2"/>
  <c r="D106" i="2"/>
  <c r="C106" i="2"/>
  <c r="B106" i="2"/>
  <c r="A106" i="2"/>
  <c r="CI105" i="2"/>
  <c r="CH105" i="2"/>
  <c r="CG105" i="2"/>
  <c r="CF105" i="2"/>
  <c r="CE105" i="2"/>
  <c r="CD105" i="2"/>
  <c r="CC105" i="2"/>
  <c r="BZ105" i="2"/>
  <c r="BY105" i="2"/>
  <c r="BX105" i="2"/>
  <c r="BW105" i="2"/>
  <c r="U105" i="2"/>
  <c r="G105" i="2"/>
  <c r="F105" i="2"/>
  <c r="E105" i="2"/>
  <c r="D105" i="2"/>
  <c r="C105" i="2"/>
  <c r="B105" i="2"/>
  <c r="A105" i="2"/>
  <c r="CI104" i="2"/>
  <c r="CH104" i="2"/>
  <c r="CG104" i="2"/>
  <c r="CF104" i="2"/>
  <c r="CE104" i="2"/>
  <c r="CD104" i="2"/>
  <c r="CC104" i="2"/>
  <c r="BZ104" i="2"/>
  <c r="BY104" i="2"/>
  <c r="BX104" i="2"/>
  <c r="BW104" i="2"/>
  <c r="L104" i="2"/>
  <c r="G104" i="2"/>
  <c r="F104" i="2"/>
  <c r="E104" i="2"/>
  <c r="D104" i="2"/>
  <c r="C104" i="2"/>
  <c r="B104" i="2"/>
  <c r="A104" i="2"/>
  <c r="CI103" i="2"/>
  <c r="CH103" i="2"/>
  <c r="CG103" i="2"/>
  <c r="CF103" i="2"/>
  <c r="CE103" i="2"/>
  <c r="CD103" i="2"/>
  <c r="CC103" i="2"/>
  <c r="BZ103" i="2"/>
  <c r="BY103" i="2"/>
  <c r="BX103" i="2"/>
  <c r="BW103" i="2"/>
  <c r="H103" i="2"/>
  <c r="G103" i="2"/>
  <c r="F103" i="2"/>
  <c r="E103" i="2"/>
  <c r="D103" i="2"/>
  <c r="C103" i="2"/>
  <c r="B103" i="2"/>
  <c r="A103" i="2"/>
  <c r="CI102" i="2"/>
  <c r="CH102" i="2"/>
  <c r="CG102" i="2"/>
  <c r="CF102" i="2"/>
  <c r="CE102" i="2"/>
  <c r="CD102" i="2"/>
  <c r="CC102" i="2"/>
  <c r="BZ102" i="2"/>
  <c r="BY102" i="2"/>
  <c r="BX102" i="2"/>
  <c r="BW102" i="2"/>
  <c r="J102" i="2"/>
  <c r="G102" i="2"/>
  <c r="F102" i="2"/>
  <c r="E102" i="2"/>
  <c r="D102" i="2"/>
  <c r="C102" i="2"/>
  <c r="B102" i="2"/>
  <c r="A102" i="2"/>
  <c r="CI101" i="2"/>
  <c r="CH101" i="2"/>
  <c r="CG101" i="2"/>
  <c r="CF101" i="2"/>
  <c r="CE101" i="2"/>
  <c r="CD101" i="2"/>
  <c r="CC101" i="2"/>
  <c r="BZ101" i="2"/>
  <c r="BY101" i="2"/>
  <c r="BX101" i="2"/>
  <c r="BW101" i="2"/>
  <c r="U101" i="2"/>
  <c r="G101" i="2"/>
  <c r="F101" i="2"/>
  <c r="E101" i="2"/>
  <c r="D101" i="2"/>
  <c r="C101" i="2"/>
  <c r="B101" i="2"/>
  <c r="A101" i="2"/>
  <c r="CI100" i="2"/>
  <c r="CH100" i="2"/>
  <c r="CG100" i="2"/>
  <c r="CF100" i="2"/>
  <c r="CE100" i="2"/>
  <c r="CD100" i="2"/>
  <c r="CC100" i="2"/>
  <c r="BZ100" i="2"/>
  <c r="BY100" i="2"/>
  <c r="BX100" i="2"/>
  <c r="BW100" i="2"/>
  <c r="BG100" i="2"/>
  <c r="W100" i="2"/>
  <c r="G100" i="2"/>
  <c r="F100" i="2"/>
  <c r="E100" i="2"/>
  <c r="D100" i="2"/>
  <c r="C100" i="2"/>
  <c r="B100" i="2"/>
  <c r="A100" i="2"/>
  <c r="CI99" i="2"/>
  <c r="CH99" i="2"/>
  <c r="CG99" i="2"/>
  <c r="CF99" i="2"/>
  <c r="CE99" i="2"/>
  <c r="CD99" i="2"/>
  <c r="CC99" i="2"/>
  <c r="BZ99" i="2"/>
  <c r="BY99" i="2"/>
  <c r="BX99" i="2"/>
  <c r="BW99" i="2"/>
  <c r="L99" i="2"/>
  <c r="G99" i="2"/>
  <c r="F99" i="2"/>
  <c r="E99" i="2"/>
  <c r="D99" i="2"/>
  <c r="C99" i="2"/>
  <c r="B99" i="2"/>
  <c r="A99" i="2"/>
  <c r="CI98" i="2"/>
  <c r="CH98" i="2"/>
  <c r="CG98" i="2"/>
  <c r="CF98" i="2"/>
  <c r="CE98" i="2"/>
  <c r="CD98" i="2"/>
  <c r="CC98" i="2"/>
  <c r="BZ98" i="2"/>
  <c r="BY98" i="2"/>
  <c r="BX98" i="2"/>
  <c r="BW98" i="2"/>
  <c r="BI98" i="2"/>
  <c r="W98" i="2"/>
  <c r="G98" i="2"/>
  <c r="F98" i="2"/>
  <c r="E98" i="2"/>
  <c r="D98" i="2"/>
  <c r="C98" i="2"/>
  <c r="B98" i="2"/>
  <c r="A98" i="2"/>
  <c r="CI97" i="2"/>
  <c r="CH97" i="2"/>
  <c r="CG97" i="2"/>
  <c r="CF97" i="2"/>
  <c r="CE97" i="2"/>
  <c r="CD97" i="2"/>
  <c r="BZ97" i="2"/>
  <c r="BY97" i="2"/>
  <c r="BX97" i="2"/>
  <c r="BW97" i="2"/>
  <c r="J97" i="2"/>
  <c r="G97" i="2"/>
  <c r="F97" i="2"/>
  <c r="E97" i="2"/>
  <c r="D97" i="2"/>
  <c r="C97" i="2"/>
  <c r="B97" i="2"/>
  <c r="A97" i="2"/>
  <c r="CI96" i="2"/>
  <c r="CH96" i="2"/>
  <c r="CG96" i="2"/>
  <c r="CF96" i="2"/>
  <c r="CE96" i="2"/>
  <c r="CD96" i="2"/>
  <c r="CC96" i="2"/>
  <c r="BZ96" i="2"/>
  <c r="BY96" i="2"/>
  <c r="BX96" i="2"/>
  <c r="BW96" i="2"/>
  <c r="BG96" i="2"/>
  <c r="W96" i="2"/>
  <c r="G96" i="2"/>
  <c r="F96" i="2"/>
  <c r="E96" i="2"/>
  <c r="D96" i="2"/>
  <c r="C96" i="2"/>
  <c r="B96" i="2"/>
  <c r="A96" i="2"/>
  <c r="CI95" i="2"/>
  <c r="CH95" i="2"/>
  <c r="CG95" i="2"/>
  <c r="CF95" i="2"/>
  <c r="CE95" i="2"/>
  <c r="CD95" i="2"/>
  <c r="CC95" i="2"/>
  <c r="BZ95" i="2"/>
  <c r="BY95" i="2"/>
  <c r="BX95" i="2"/>
  <c r="BW95" i="2"/>
  <c r="H95" i="2"/>
  <c r="G95" i="2"/>
  <c r="F95" i="2"/>
  <c r="E95" i="2"/>
  <c r="D95" i="2"/>
  <c r="C95" i="2"/>
  <c r="B95" i="2"/>
  <c r="A95" i="2"/>
  <c r="CI94" i="2"/>
  <c r="CH94" i="2"/>
  <c r="CG94" i="2"/>
  <c r="CF94" i="2"/>
  <c r="CE94" i="2"/>
  <c r="CD94" i="2"/>
  <c r="CC94" i="2"/>
  <c r="BZ94" i="2"/>
  <c r="BY94" i="2"/>
  <c r="BX94" i="2"/>
  <c r="BW94" i="2"/>
  <c r="L94" i="2"/>
  <c r="G94" i="2"/>
  <c r="F94" i="2"/>
  <c r="E94" i="2"/>
  <c r="D94" i="2"/>
  <c r="C94" i="2"/>
  <c r="B94" i="2"/>
  <c r="A94" i="2"/>
  <c r="CG93" i="2"/>
  <c r="CF93" i="2"/>
  <c r="CE93" i="2"/>
  <c r="CD93" i="2"/>
  <c r="CC93" i="2"/>
  <c r="BZ93" i="2"/>
  <c r="BY93" i="2"/>
  <c r="BX93" i="2"/>
  <c r="BW93" i="2"/>
  <c r="T93" i="2"/>
  <c r="G93" i="2"/>
  <c r="F93" i="2"/>
  <c r="E93" i="2"/>
  <c r="D93" i="2"/>
  <c r="C93" i="2"/>
  <c r="B93" i="2"/>
  <c r="A93" i="2"/>
  <c r="CG92" i="2"/>
  <c r="CF92" i="2"/>
  <c r="CE92" i="2"/>
  <c r="CD92" i="2"/>
  <c r="CC92" i="2"/>
  <c r="BZ92" i="2"/>
  <c r="BY92" i="2"/>
  <c r="BX92" i="2"/>
  <c r="BW92" i="2"/>
  <c r="S92" i="2"/>
  <c r="G92" i="2"/>
  <c r="F92" i="2"/>
  <c r="E92" i="2"/>
  <c r="D92" i="2"/>
  <c r="C92" i="2"/>
  <c r="B92" i="2"/>
  <c r="A92" i="2"/>
  <c r="CG91" i="2"/>
  <c r="CF91" i="2"/>
  <c r="CE91" i="2"/>
  <c r="CD91" i="2"/>
  <c r="CC91" i="2"/>
  <c r="BZ91" i="2"/>
  <c r="BY91" i="2"/>
  <c r="BX91" i="2"/>
  <c r="BW91" i="2"/>
  <c r="Q91" i="2"/>
  <c r="G91" i="2"/>
  <c r="F91" i="2"/>
  <c r="E91" i="2"/>
  <c r="D91" i="2"/>
  <c r="C91" i="2"/>
  <c r="B91" i="2"/>
  <c r="A91" i="2"/>
  <c r="CI90" i="2"/>
  <c r="CH90" i="2"/>
  <c r="CG90" i="2"/>
  <c r="CF90" i="2"/>
  <c r="CE90" i="2"/>
  <c r="CD90" i="2"/>
  <c r="CC90" i="2"/>
  <c r="BZ90" i="2"/>
  <c r="BY90" i="2"/>
  <c r="BX90" i="2"/>
  <c r="BW90" i="2"/>
  <c r="P90" i="2"/>
  <c r="G90" i="2"/>
  <c r="F90" i="2"/>
  <c r="E90" i="2"/>
  <c r="D90" i="2"/>
  <c r="C90" i="2"/>
  <c r="B90" i="2"/>
  <c r="A90" i="2"/>
  <c r="CI89" i="2"/>
  <c r="CH89" i="2"/>
  <c r="CG89" i="2"/>
  <c r="CF89" i="2"/>
  <c r="CE89" i="2"/>
  <c r="CD89" i="2"/>
  <c r="CC89" i="2"/>
  <c r="BZ89" i="2"/>
  <c r="BY89" i="2"/>
  <c r="BX89" i="2"/>
  <c r="BW89" i="2"/>
  <c r="BG89" i="2"/>
  <c r="W89" i="2"/>
  <c r="G89" i="2"/>
  <c r="F89" i="2"/>
  <c r="E89" i="2"/>
  <c r="D89" i="2"/>
  <c r="C89" i="2"/>
  <c r="B89" i="2"/>
  <c r="A89" i="2"/>
  <c r="CI88" i="2"/>
  <c r="CH88" i="2"/>
  <c r="CG88" i="2"/>
  <c r="CF88" i="2"/>
  <c r="CE88" i="2"/>
  <c r="CD88" i="2"/>
  <c r="CC88" i="2"/>
  <c r="BZ88" i="2"/>
  <c r="BY88" i="2"/>
  <c r="BX88" i="2"/>
  <c r="BW88" i="2"/>
  <c r="M88" i="2"/>
  <c r="G88" i="2"/>
  <c r="F88" i="2"/>
  <c r="E88" i="2"/>
  <c r="D88" i="2"/>
  <c r="C88" i="2"/>
  <c r="B88" i="2"/>
  <c r="A88" i="2"/>
  <c r="CG87" i="2"/>
  <c r="CF87" i="2"/>
  <c r="CE87" i="2"/>
  <c r="CD87" i="2"/>
  <c r="CC87" i="2"/>
  <c r="BZ87" i="2"/>
  <c r="BY87" i="2"/>
  <c r="BX87" i="2"/>
  <c r="BW87" i="2"/>
  <c r="Q87" i="2"/>
  <c r="G87" i="2"/>
  <c r="F87" i="2"/>
  <c r="E87" i="2"/>
  <c r="D87" i="2"/>
  <c r="C87" i="2"/>
  <c r="B87" i="2"/>
  <c r="A87" i="2"/>
  <c r="CG86" i="2"/>
  <c r="CF86" i="2"/>
  <c r="CE86" i="2"/>
  <c r="CD86" i="2"/>
  <c r="CC86" i="2"/>
  <c r="BZ86" i="2"/>
  <c r="BY86" i="2"/>
  <c r="BX86" i="2"/>
  <c r="BW86" i="2"/>
  <c r="H86" i="2"/>
  <c r="G86" i="2"/>
  <c r="F86" i="2"/>
  <c r="E86" i="2"/>
  <c r="D86" i="2"/>
  <c r="C86" i="2"/>
  <c r="B86" i="2"/>
  <c r="A86" i="2"/>
  <c r="CG85" i="2"/>
  <c r="CF85" i="2"/>
  <c r="CE85" i="2"/>
  <c r="CD85" i="2"/>
  <c r="CC85" i="2"/>
  <c r="BZ85" i="2"/>
  <c r="BY85" i="2"/>
  <c r="BX85" i="2"/>
  <c r="BW85" i="2"/>
  <c r="M85" i="2"/>
  <c r="G85" i="2"/>
  <c r="F85" i="2"/>
  <c r="E85" i="2"/>
  <c r="D85" i="2"/>
  <c r="C85" i="2"/>
  <c r="B85" i="2"/>
  <c r="A85" i="2"/>
  <c r="CG84" i="2"/>
  <c r="CF84" i="2"/>
  <c r="CE84" i="2"/>
  <c r="CD84" i="2"/>
  <c r="CC84" i="2"/>
  <c r="BZ84" i="2"/>
  <c r="BY84" i="2"/>
  <c r="BX84" i="2"/>
  <c r="BW84" i="2"/>
  <c r="BJ84" i="2"/>
  <c r="W84" i="2"/>
  <c r="G84" i="2"/>
  <c r="F84" i="2"/>
  <c r="E84" i="2"/>
  <c r="D84" i="2"/>
  <c r="C84" i="2"/>
  <c r="B84" i="2"/>
  <c r="A84" i="2"/>
  <c r="CG83" i="2"/>
  <c r="CF83" i="2"/>
  <c r="CE83" i="2"/>
  <c r="CD83" i="2"/>
  <c r="CC83" i="2"/>
  <c r="BZ83" i="2"/>
  <c r="BY83" i="2"/>
  <c r="BX83" i="2"/>
  <c r="BW83" i="2"/>
  <c r="O83" i="2"/>
  <c r="G83" i="2"/>
  <c r="F83" i="2"/>
  <c r="E83" i="2"/>
  <c r="D83" i="2"/>
  <c r="C83" i="2"/>
  <c r="B83" i="2"/>
  <c r="A83" i="2"/>
  <c r="CG82" i="2"/>
  <c r="CF82" i="2"/>
  <c r="CE82" i="2"/>
  <c r="CD82" i="2"/>
  <c r="CC82" i="2"/>
  <c r="BZ82" i="2"/>
  <c r="BY82" i="2"/>
  <c r="BX82" i="2"/>
  <c r="BW82" i="2"/>
  <c r="U82" i="2"/>
  <c r="G82" i="2"/>
  <c r="F82" i="2"/>
  <c r="E82" i="2"/>
  <c r="D82" i="2"/>
  <c r="C82" i="2"/>
  <c r="B82" i="2"/>
  <c r="A82" i="2"/>
  <c r="CG81" i="2"/>
  <c r="CF81" i="2"/>
  <c r="CE81" i="2"/>
  <c r="CD81" i="2"/>
  <c r="CC81" i="2"/>
  <c r="BZ81" i="2"/>
  <c r="BY81" i="2"/>
  <c r="BX81" i="2"/>
  <c r="BW81" i="2"/>
  <c r="L81" i="2"/>
  <c r="G81" i="2"/>
  <c r="F81" i="2"/>
  <c r="E81" i="2"/>
  <c r="D81" i="2"/>
  <c r="C81" i="2"/>
  <c r="B81" i="2"/>
  <c r="A81" i="2"/>
  <c r="CH80" i="2"/>
  <c r="CG80" i="2"/>
  <c r="CF80" i="2"/>
  <c r="CE80" i="2"/>
  <c r="CD80" i="2"/>
  <c r="CC80" i="2"/>
  <c r="BZ80" i="2"/>
  <c r="BY80" i="2"/>
  <c r="BX80" i="2"/>
  <c r="BW80" i="2"/>
  <c r="R80" i="2"/>
  <c r="G80" i="2"/>
  <c r="F80" i="2"/>
  <c r="E80" i="2"/>
  <c r="D80" i="2"/>
  <c r="C80" i="2"/>
  <c r="B80" i="2"/>
  <c r="A80" i="2"/>
  <c r="CH79" i="2"/>
  <c r="CG79" i="2"/>
  <c r="CF79" i="2"/>
  <c r="CE79" i="2"/>
  <c r="CD79" i="2"/>
  <c r="CC79" i="2"/>
  <c r="BZ79" i="2"/>
  <c r="BY79" i="2"/>
  <c r="BX79" i="2"/>
  <c r="BW79" i="2"/>
  <c r="G79" i="2"/>
  <c r="F79" i="2"/>
  <c r="E79" i="2"/>
  <c r="D79" i="2"/>
  <c r="C79" i="2"/>
  <c r="B79" i="2"/>
  <c r="A79" i="2"/>
  <c r="CH78" i="2"/>
  <c r="CG78" i="2"/>
  <c r="CF78" i="2"/>
  <c r="CE78" i="2"/>
  <c r="CD78" i="2"/>
  <c r="CC78" i="2"/>
  <c r="BZ78" i="2"/>
  <c r="BY78" i="2"/>
  <c r="BX78" i="2"/>
  <c r="BW78" i="2"/>
  <c r="O78" i="2"/>
  <c r="G78" i="2"/>
  <c r="F78" i="2"/>
  <c r="E78" i="2"/>
  <c r="D78" i="2"/>
  <c r="C78" i="2"/>
  <c r="B78" i="2"/>
  <c r="A78" i="2"/>
  <c r="CH77" i="2"/>
  <c r="CG77" i="2"/>
  <c r="CF77" i="2"/>
  <c r="CE77" i="2"/>
  <c r="CD77" i="2"/>
  <c r="CC77" i="2"/>
  <c r="BZ77" i="2"/>
  <c r="BY77" i="2"/>
  <c r="BX77" i="2"/>
  <c r="BW77" i="2"/>
  <c r="G77" i="2"/>
  <c r="F77" i="2"/>
  <c r="E77" i="2"/>
  <c r="D77" i="2"/>
  <c r="C77" i="2"/>
  <c r="B77" i="2"/>
  <c r="A77" i="2"/>
  <c r="CH76" i="2"/>
  <c r="CG76" i="2"/>
  <c r="CF76" i="2"/>
  <c r="CE76" i="2"/>
  <c r="CD76" i="2"/>
  <c r="CC76" i="2"/>
  <c r="BZ76" i="2"/>
  <c r="BY76" i="2"/>
  <c r="BX76" i="2"/>
  <c r="BW76" i="2"/>
  <c r="Q76" i="2"/>
  <c r="G76" i="2"/>
  <c r="F76" i="2"/>
  <c r="E76" i="2"/>
  <c r="D76" i="2"/>
  <c r="C76" i="2"/>
  <c r="B76" i="2"/>
  <c r="A76" i="2"/>
  <c r="CH75" i="2"/>
  <c r="CG75" i="2"/>
  <c r="CF75" i="2"/>
  <c r="CE75" i="2"/>
  <c r="CD75" i="2"/>
  <c r="CC75" i="2"/>
  <c r="BZ75" i="2"/>
  <c r="BY75" i="2"/>
  <c r="BX75" i="2"/>
  <c r="BW75" i="2"/>
  <c r="H75" i="2"/>
  <c r="G75" i="2"/>
  <c r="F75" i="2"/>
  <c r="E75" i="2"/>
  <c r="D75" i="2"/>
  <c r="C75" i="2"/>
  <c r="B75" i="2"/>
  <c r="A75" i="2"/>
  <c r="CG74" i="2"/>
  <c r="CF74" i="2"/>
  <c r="CE74" i="2"/>
  <c r="CD74" i="2"/>
  <c r="CC74" i="2"/>
  <c r="BZ74" i="2"/>
  <c r="BY74" i="2"/>
  <c r="BX74" i="2"/>
  <c r="BW74" i="2"/>
  <c r="P74" i="2"/>
  <c r="G74" i="2"/>
  <c r="F74" i="2"/>
  <c r="E74" i="2"/>
  <c r="D74" i="2"/>
  <c r="C74" i="2"/>
  <c r="B74" i="2"/>
  <c r="A74" i="2"/>
  <c r="CI73" i="2"/>
  <c r="CH73" i="2"/>
  <c r="CG73" i="2"/>
  <c r="CF73" i="2"/>
  <c r="CE73" i="2"/>
  <c r="CD73" i="2"/>
  <c r="CC73" i="2"/>
  <c r="BZ73" i="2"/>
  <c r="BY73" i="2"/>
  <c r="BX73" i="2"/>
  <c r="BW73" i="2"/>
  <c r="H73" i="2"/>
  <c r="G73" i="2"/>
  <c r="F73" i="2"/>
  <c r="E73" i="2"/>
  <c r="D73" i="2"/>
  <c r="C73" i="2"/>
  <c r="B73" i="2"/>
  <c r="A73" i="2"/>
  <c r="CI72" i="2"/>
  <c r="CH72" i="2"/>
  <c r="CG72" i="2"/>
  <c r="CF72" i="2"/>
  <c r="CE72" i="2"/>
  <c r="CD72" i="2"/>
  <c r="CC72" i="2"/>
  <c r="BZ72" i="2"/>
  <c r="BY72" i="2"/>
  <c r="BX72" i="2"/>
  <c r="BW72" i="2"/>
  <c r="L72" i="2"/>
  <c r="G72" i="2"/>
  <c r="F72" i="2"/>
  <c r="E72" i="2"/>
  <c r="D72" i="2"/>
  <c r="C72" i="2"/>
  <c r="B72" i="2"/>
  <c r="A72" i="2"/>
  <c r="CI71" i="2"/>
  <c r="CH71" i="2"/>
  <c r="CG71" i="2"/>
  <c r="CF71" i="2"/>
  <c r="CE71" i="2"/>
  <c r="CD71" i="2"/>
  <c r="CC71" i="2"/>
  <c r="BZ71" i="2"/>
  <c r="BY71" i="2"/>
  <c r="BX71" i="2"/>
  <c r="BW71" i="2"/>
  <c r="N71" i="2"/>
  <c r="G71" i="2"/>
  <c r="F71" i="2"/>
  <c r="E71" i="2"/>
  <c r="D71" i="2"/>
  <c r="C71" i="2"/>
  <c r="B71" i="2"/>
  <c r="A71" i="2"/>
  <c r="CI70" i="2"/>
  <c r="CH70" i="2"/>
  <c r="CG70" i="2"/>
  <c r="CF70" i="2"/>
  <c r="CE70" i="2"/>
  <c r="CD70" i="2"/>
  <c r="CC70" i="2"/>
  <c r="BZ70" i="2"/>
  <c r="BY70" i="2"/>
  <c r="BX70" i="2"/>
  <c r="BW70" i="2"/>
  <c r="S70" i="2"/>
  <c r="G70" i="2"/>
  <c r="F70" i="2"/>
  <c r="D70" i="2"/>
  <c r="C70" i="2"/>
  <c r="B70" i="2"/>
  <c r="A70" i="2"/>
  <c r="CI69" i="2"/>
  <c r="CH69" i="2"/>
  <c r="CG69" i="2"/>
  <c r="CF69" i="2"/>
  <c r="CE69" i="2"/>
  <c r="CD69" i="2"/>
  <c r="CC69" i="2"/>
  <c r="BZ69" i="2"/>
  <c r="BY69" i="2"/>
  <c r="BX69" i="2"/>
  <c r="BW69" i="2"/>
  <c r="H69" i="2"/>
  <c r="G69" i="2"/>
  <c r="F69" i="2"/>
  <c r="E69" i="2"/>
  <c r="D69" i="2"/>
  <c r="C69" i="2"/>
  <c r="B69" i="2"/>
  <c r="A69" i="2"/>
  <c r="CI68" i="2"/>
  <c r="CH68" i="2"/>
  <c r="CG68" i="2"/>
  <c r="CF68" i="2"/>
  <c r="CE68" i="2"/>
  <c r="CD68" i="2"/>
  <c r="CC68" i="2"/>
  <c r="BZ68" i="2"/>
  <c r="BY68" i="2"/>
  <c r="BX68" i="2"/>
  <c r="BW68" i="2"/>
  <c r="G68" i="2"/>
  <c r="F68" i="2"/>
  <c r="E68" i="2"/>
  <c r="D68" i="2"/>
  <c r="C68" i="2"/>
  <c r="B68" i="2"/>
  <c r="A68" i="2"/>
  <c r="CI67" i="2"/>
  <c r="CH67" i="2"/>
  <c r="CG67" i="2"/>
  <c r="CF67" i="2"/>
  <c r="CE67" i="2"/>
  <c r="CD67" i="2"/>
  <c r="CC67" i="2"/>
  <c r="BZ67" i="2"/>
  <c r="BY67" i="2"/>
  <c r="BX67" i="2"/>
  <c r="BW67" i="2"/>
  <c r="L67" i="2"/>
  <c r="G67" i="2"/>
  <c r="F67" i="2"/>
  <c r="E67" i="2"/>
  <c r="D67" i="2"/>
  <c r="C67" i="2"/>
  <c r="B67" i="2"/>
  <c r="A67" i="2"/>
  <c r="CI66" i="2"/>
  <c r="CH66" i="2"/>
  <c r="CG66" i="2"/>
  <c r="CF66" i="2"/>
  <c r="CE66" i="2"/>
  <c r="CD66" i="2"/>
  <c r="CC66" i="2"/>
  <c r="BZ66" i="2"/>
  <c r="BY66" i="2"/>
  <c r="BX66" i="2"/>
  <c r="BW66" i="2"/>
  <c r="L66" i="2"/>
  <c r="G66" i="2"/>
  <c r="F66" i="2"/>
  <c r="E66" i="2"/>
  <c r="D66" i="2"/>
  <c r="C66" i="2"/>
  <c r="B66" i="2"/>
  <c r="A66" i="2"/>
  <c r="CI65" i="2"/>
  <c r="CH65" i="2"/>
  <c r="CG65" i="2"/>
  <c r="CF65" i="2"/>
  <c r="CE65" i="2"/>
  <c r="CD65" i="2"/>
  <c r="CC65" i="2"/>
  <c r="BZ65" i="2"/>
  <c r="BY65" i="2"/>
  <c r="BX65" i="2"/>
  <c r="BW65" i="2"/>
  <c r="H65" i="2"/>
  <c r="G65" i="2"/>
  <c r="F65" i="2"/>
  <c r="E65" i="2"/>
  <c r="D65" i="2"/>
  <c r="C65" i="2"/>
  <c r="B65" i="2"/>
  <c r="A65" i="2"/>
  <c r="CI64" i="2"/>
  <c r="CH64" i="2"/>
  <c r="CG64" i="2"/>
  <c r="CF64" i="2"/>
  <c r="CE64" i="2"/>
  <c r="CD64" i="2"/>
  <c r="CC64" i="2"/>
  <c r="BZ64" i="2"/>
  <c r="BY64" i="2"/>
  <c r="BX64" i="2"/>
  <c r="BW64" i="2"/>
  <c r="BG64" i="2"/>
  <c r="W64" i="2"/>
  <c r="G64" i="2"/>
  <c r="F64" i="2"/>
  <c r="E64" i="2"/>
  <c r="D64" i="2"/>
  <c r="C64" i="2"/>
  <c r="B64" i="2"/>
  <c r="A64" i="2"/>
  <c r="CI63" i="2"/>
  <c r="CH63" i="2"/>
  <c r="CG63" i="2"/>
  <c r="CF63" i="2"/>
  <c r="CE63" i="2"/>
  <c r="CD63" i="2"/>
  <c r="CC63" i="2"/>
  <c r="BZ63" i="2"/>
  <c r="BY63" i="2"/>
  <c r="BX63" i="2"/>
  <c r="BW63" i="2"/>
  <c r="BG63" i="2"/>
  <c r="W63" i="2"/>
  <c r="G63" i="2"/>
  <c r="F63" i="2"/>
  <c r="E63" i="2"/>
  <c r="D63" i="2"/>
  <c r="C63" i="2"/>
  <c r="B63" i="2"/>
  <c r="A63" i="2"/>
  <c r="CI62" i="2"/>
  <c r="CH62" i="2"/>
  <c r="CG62" i="2"/>
  <c r="CF62" i="2"/>
  <c r="CE62" i="2"/>
  <c r="CD62" i="2"/>
  <c r="CC62" i="2"/>
  <c r="BZ62" i="2"/>
  <c r="BY62" i="2"/>
  <c r="BX62" i="2"/>
  <c r="BW62" i="2"/>
  <c r="V62" i="2"/>
  <c r="G62" i="2"/>
  <c r="F62" i="2"/>
  <c r="E62" i="2"/>
  <c r="D62" i="2"/>
  <c r="C62" i="2"/>
  <c r="B62" i="2"/>
  <c r="A62" i="2"/>
  <c r="CI61" i="2"/>
  <c r="CH61" i="2"/>
  <c r="CG61" i="2"/>
  <c r="CF61" i="2"/>
  <c r="CE61" i="2"/>
  <c r="CD61" i="2"/>
  <c r="CC61" i="2"/>
  <c r="BZ61" i="2"/>
  <c r="BY61" i="2"/>
  <c r="BX61" i="2"/>
  <c r="BW61" i="2"/>
  <c r="L61" i="2"/>
  <c r="G61" i="2"/>
  <c r="F61" i="2"/>
  <c r="E61" i="2"/>
  <c r="D61" i="2"/>
  <c r="C61" i="2"/>
  <c r="B61" i="2"/>
  <c r="A61" i="2"/>
  <c r="CI60" i="2"/>
  <c r="CH60" i="2"/>
  <c r="CG60" i="2"/>
  <c r="CF60" i="2"/>
  <c r="CE60" i="2"/>
  <c r="CD60" i="2"/>
  <c r="CC60" i="2"/>
  <c r="BZ60" i="2"/>
  <c r="BY60" i="2"/>
  <c r="BX60" i="2"/>
  <c r="BW60" i="2"/>
  <c r="H60" i="2"/>
  <c r="G60" i="2"/>
  <c r="F60" i="2"/>
  <c r="E60" i="2"/>
  <c r="D60" i="2"/>
  <c r="C60" i="2"/>
  <c r="B60" i="2"/>
  <c r="A60" i="2"/>
  <c r="CI59" i="2"/>
  <c r="CH59" i="2"/>
  <c r="CG59" i="2"/>
  <c r="CF59" i="2"/>
  <c r="CE59" i="2"/>
  <c r="CD59" i="2"/>
  <c r="CC59" i="2"/>
  <c r="BZ59" i="2"/>
  <c r="BY59" i="2"/>
  <c r="BX59" i="2"/>
  <c r="BW59" i="2"/>
  <c r="U59" i="2"/>
  <c r="G59" i="2"/>
  <c r="F59" i="2"/>
  <c r="E59" i="2"/>
  <c r="D59" i="2"/>
  <c r="C59" i="2"/>
  <c r="B59" i="2"/>
  <c r="A59" i="2"/>
  <c r="CI58" i="2"/>
  <c r="CH58" i="2"/>
  <c r="CG58" i="2"/>
  <c r="CF58" i="2"/>
  <c r="CE58" i="2"/>
  <c r="CD58" i="2"/>
  <c r="CC58" i="2"/>
  <c r="BZ58" i="2"/>
  <c r="BY58" i="2"/>
  <c r="BX58" i="2"/>
  <c r="BW58" i="2"/>
  <c r="R58" i="2"/>
  <c r="G58" i="2"/>
  <c r="F58" i="2"/>
  <c r="E58" i="2"/>
  <c r="D58" i="2"/>
  <c r="C58" i="2"/>
  <c r="B58" i="2"/>
  <c r="A58" i="2"/>
  <c r="CI57" i="2"/>
  <c r="CH57" i="2"/>
  <c r="CG57" i="2"/>
  <c r="CF57" i="2"/>
  <c r="CE57" i="2"/>
  <c r="CD57" i="2"/>
  <c r="CC57" i="2"/>
  <c r="BZ57" i="2"/>
  <c r="BY57" i="2"/>
  <c r="BX57" i="2"/>
  <c r="BW57" i="2"/>
  <c r="O57" i="2"/>
  <c r="G57" i="2"/>
  <c r="F57" i="2"/>
  <c r="E57" i="2"/>
  <c r="D57" i="2"/>
  <c r="C57" i="2"/>
  <c r="B57" i="2"/>
  <c r="A57" i="2"/>
  <c r="CI56" i="2"/>
  <c r="CH56" i="2"/>
  <c r="CG56" i="2"/>
  <c r="CF56" i="2"/>
  <c r="CE56" i="2"/>
  <c r="CD56" i="2"/>
  <c r="CC56" i="2"/>
  <c r="BZ56" i="2"/>
  <c r="BY56" i="2"/>
  <c r="BX56" i="2"/>
  <c r="BW56" i="2"/>
  <c r="R56" i="2"/>
  <c r="G56" i="2"/>
  <c r="F56" i="2"/>
  <c r="E56" i="2"/>
  <c r="D56" i="2"/>
  <c r="C56" i="2"/>
  <c r="B56" i="2"/>
  <c r="A56" i="2"/>
  <c r="CI55" i="2"/>
  <c r="CH55" i="2"/>
  <c r="CG55" i="2"/>
  <c r="CF55" i="2"/>
  <c r="CE55" i="2"/>
  <c r="CD55" i="2"/>
  <c r="CC55" i="2"/>
  <c r="BZ55" i="2"/>
  <c r="BY55" i="2"/>
  <c r="BX55" i="2"/>
  <c r="BW55" i="2"/>
  <c r="U55" i="2"/>
  <c r="G55" i="2"/>
  <c r="F55" i="2"/>
  <c r="E55" i="2"/>
  <c r="D55" i="2"/>
  <c r="C55" i="2"/>
  <c r="B55" i="2"/>
  <c r="A55" i="2"/>
  <c r="CI54" i="2"/>
  <c r="CH54" i="2"/>
  <c r="CG54" i="2"/>
  <c r="CF54" i="2"/>
  <c r="CE54" i="2"/>
  <c r="CD54" i="2"/>
  <c r="CC54" i="2"/>
  <c r="BZ54" i="2"/>
  <c r="BY54" i="2"/>
  <c r="BX54" i="2"/>
  <c r="BW54" i="2"/>
  <c r="L54" i="2"/>
  <c r="G54" i="2"/>
  <c r="F54" i="2"/>
  <c r="E54" i="2"/>
  <c r="D54" i="2"/>
  <c r="C54" i="2"/>
  <c r="B54" i="2"/>
  <c r="A54" i="2"/>
  <c r="CI53" i="2"/>
  <c r="CH53" i="2"/>
  <c r="CG53" i="2"/>
  <c r="CF53" i="2"/>
  <c r="CE53" i="2"/>
  <c r="CD53" i="2"/>
  <c r="CC53" i="2"/>
  <c r="BZ53" i="2"/>
  <c r="BY53" i="2"/>
  <c r="BX53" i="2"/>
  <c r="BW53" i="2"/>
  <c r="H53" i="2"/>
  <c r="G53" i="2"/>
  <c r="F53" i="2"/>
  <c r="E53" i="2"/>
  <c r="D53" i="2"/>
  <c r="C53" i="2"/>
  <c r="B53" i="2"/>
  <c r="A53" i="2"/>
  <c r="CI52" i="2"/>
  <c r="CH52" i="2"/>
  <c r="CG52" i="2"/>
  <c r="CF52" i="2"/>
  <c r="CE52" i="2"/>
  <c r="CD52" i="2"/>
  <c r="CC52" i="2"/>
  <c r="BZ52" i="2"/>
  <c r="BY52" i="2"/>
  <c r="BX52" i="2"/>
  <c r="BW52" i="2"/>
  <c r="V52" i="2"/>
  <c r="G52" i="2"/>
  <c r="F52" i="2"/>
  <c r="E52" i="2"/>
  <c r="D52" i="2"/>
  <c r="C52" i="2"/>
  <c r="B52" i="2"/>
  <c r="A52" i="2"/>
  <c r="CI51" i="2"/>
  <c r="CH51" i="2"/>
  <c r="CG51" i="2"/>
  <c r="CF51" i="2"/>
  <c r="CE51" i="2"/>
  <c r="CD51" i="2"/>
  <c r="CC51" i="2"/>
  <c r="BZ51" i="2"/>
  <c r="BY51" i="2"/>
  <c r="BX51" i="2"/>
  <c r="BW51" i="2"/>
  <c r="F51" i="2"/>
  <c r="E51" i="2"/>
  <c r="D51" i="2"/>
  <c r="C51" i="2"/>
  <c r="B51" i="2"/>
  <c r="A51" i="2"/>
  <c r="CI50" i="2"/>
  <c r="CH50" i="2"/>
  <c r="CG50" i="2"/>
  <c r="CF50" i="2"/>
  <c r="CE50" i="2"/>
  <c r="CD50" i="2"/>
  <c r="CC50" i="2"/>
  <c r="BZ50" i="2"/>
  <c r="BY50" i="2"/>
  <c r="BX50" i="2"/>
  <c r="BW50" i="2"/>
  <c r="N50" i="2"/>
  <c r="G50" i="2"/>
  <c r="F50" i="2"/>
  <c r="E50" i="2"/>
  <c r="D50" i="2"/>
  <c r="C50" i="2"/>
  <c r="B50" i="2"/>
  <c r="A50" i="2"/>
  <c r="CI49" i="2"/>
  <c r="CH49" i="2"/>
  <c r="CG49" i="2"/>
  <c r="CF49" i="2"/>
  <c r="CE49" i="2"/>
  <c r="CD49" i="2"/>
  <c r="CC49" i="2"/>
  <c r="BZ49" i="2"/>
  <c r="BY49" i="2"/>
  <c r="BX49" i="2"/>
  <c r="BW49" i="2"/>
  <c r="V49" i="2"/>
  <c r="G49" i="2"/>
  <c r="F49" i="2"/>
  <c r="E49" i="2"/>
  <c r="D49" i="2"/>
  <c r="C49" i="2"/>
  <c r="B49" i="2"/>
  <c r="A49" i="2"/>
  <c r="CI48" i="2"/>
  <c r="CH48" i="2"/>
  <c r="CG48" i="2"/>
  <c r="CF48" i="2"/>
  <c r="CE48" i="2"/>
  <c r="CD48" i="2"/>
  <c r="CC48" i="2"/>
  <c r="BZ48" i="2"/>
  <c r="BY48" i="2"/>
  <c r="BX48" i="2"/>
  <c r="BW48" i="2"/>
  <c r="Q48" i="2"/>
  <c r="G48" i="2"/>
  <c r="F48" i="2"/>
  <c r="E48" i="2"/>
  <c r="D48" i="2"/>
  <c r="C48" i="2"/>
  <c r="B48" i="2"/>
  <c r="A48" i="2"/>
  <c r="CI47" i="2"/>
  <c r="CH47" i="2"/>
  <c r="CG47" i="2"/>
  <c r="CF47" i="2"/>
  <c r="CE47" i="2"/>
  <c r="CD47" i="2"/>
  <c r="CC47" i="2"/>
  <c r="BZ47" i="2"/>
  <c r="BY47" i="2"/>
  <c r="BX47" i="2"/>
  <c r="BW47" i="2"/>
  <c r="Q47" i="2"/>
  <c r="G47" i="2"/>
  <c r="F47" i="2"/>
  <c r="E47" i="2"/>
  <c r="D47" i="2"/>
  <c r="C47" i="2"/>
  <c r="B47" i="2"/>
  <c r="A47" i="2"/>
  <c r="CI46" i="2"/>
  <c r="CH46" i="2"/>
  <c r="CG46" i="2"/>
  <c r="CF46" i="2"/>
  <c r="CE46" i="2"/>
  <c r="CD46" i="2"/>
  <c r="CC46" i="2"/>
  <c r="BZ46" i="2"/>
  <c r="BY46" i="2"/>
  <c r="BX46" i="2"/>
  <c r="BW46" i="2"/>
  <c r="J46" i="2"/>
  <c r="G46" i="2"/>
  <c r="F46" i="2"/>
  <c r="E46" i="2"/>
  <c r="D46" i="2"/>
  <c r="C46" i="2"/>
  <c r="B46" i="2"/>
  <c r="A46" i="2"/>
  <c r="CI45" i="2"/>
  <c r="CH45" i="2"/>
  <c r="CG45" i="2"/>
  <c r="CF45" i="2"/>
  <c r="CE45" i="2"/>
  <c r="CD45" i="2"/>
  <c r="CC45" i="2"/>
  <c r="BZ45" i="2"/>
  <c r="BY45" i="2"/>
  <c r="BX45" i="2"/>
  <c r="BW45" i="2"/>
  <c r="O45" i="2"/>
  <c r="G45" i="2"/>
  <c r="F45" i="2"/>
  <c r="E45" i="2"/>
  <c r="D45" i="2"/>
  <c r="C45" i="2"/>
  <c r="B45" i="2"/>
  <c r="A45" i="2"/>
  <c r="CI44" i="2"/>
  <c r="CH44" i="2"/>
  <c r="CG44" i="2"/>
  <c r="CF44" i="2"/>
  <c r="CE44" i="2"/>
  <c r="CD44" i="2"/>
  <c r="CC44" i="2"/>
  <c r="BZ44" i="2"/>
  <c r="BY44" i="2"/>
  <c r="BX44" i="2"/>
  <c r="BW44" i="2"/>
  <c r="S44" i="2"/>
  <c r="G44" i="2"/>
  <c r="F44" i="2"/>
  <c r="E44" i="2"/>
  <c r="D44" i="2"/>
  <c r="C44" i="2"/>
  <c r="B44" i="2"/>
  <c r="A44" i="2"/>
  <c r="CI43" i="2"/>
  <c r="CH43" i="2"/>
  <c r="CG43" i="2"/>
  <c r="CF43" i="2"/>
  <c r="CE43" i="2"/>
  <c r="CD43" i="2"/>
  <c r="CC43" i="2"/>
  <c r="BZ43" i="2"/>
  <c r="BY43" i="2"/>
  <c r="BX43" i="2"/>
  <c r="BW43" i="2"/>
  <c r="N43" i="2"/>
  <c r="G43" i="2"/>
  <c r="F43" i="2"/>
  <c r="E43" i="2"/>
  <c r="D43" i="2"/>
  <c r="C43" i="2"/>
  <c r="B43" i="2"/>
  <c r="A43" i="2"/>
  <c r="CI42" i="2"/>
  <c r="CH42" i="2"/>
  <c r="CG42" i="2"/>
  <c r="CF42" i="2"/>
  <c r="CE42" i="2"/>
  <c r="CD42" i="2"/>
  <c r="CC42" i="2"/>
  <c r="BZ42" i="2"/>
  <c r="BY42" i="2"/>
  <c r="BX42" i="2"/>
  <c r="BW42" i="2"/>
  <c r="M42" i="2"/>
  <c r="G42" i="2"/>
  <c r="F42" i="2"/>
  <c r="E42" i="2"/>
  <c r="D42" i="2"/>
  <c r="C42" i="2"/>
  <c r="B42" i="2"/>
  <c r="A42" i="2"/>
  <c r="CI41" i="2"/>
  <c r="CH41" i="2"/>
  <c r="CG41" i="2"/>
  <c r="CF41" i="2"/>
  <c r="CE41" i="2"/>
  <c r="CD41" i="2"/>
  <c r="CC41" i="2"/>
  <c r="BZ41" i="2"/>
  <c r="BY41" i="2"/>
  <c r="BX41" i="2"/>
  <c r="BW41" i="2"/>
  <c r="Q41" i="2"/>
  <c r="G41" i="2"/>
  <c r="F41" i="2"/>
  <c r="E41" i="2"/>
  <c r="D41" i="2"/>
  <c r="C41" i="2"/>
  <c r="B41" i="2"/>
  <c r="A41" i="2"/>
  <c r="CI40" i="2"/>
  <c r="CH40" i="2"/>
  <c r="CG40" i="2"/>
  <c r="CF40" i="2"/>
  <c r="CE40" i="2"/>
  <c r="CD40" i="2"/>
  <c r="CC40" i="2"/>
  <c r="BZ40" i="2"/>
  <c r="BY40" i="2"/>
  <c r="BX40" i="2"/>
  <c r="BW40" i="2"/>
  <c r="L40" i="2"/>
  <c r="G40" i="2"/>
  <c r="F40" i="2"/>
  <c r="E40" i="2"/>
  <c r="D40" i="2"/>
  <c r="C40" i="2"/>
  <c r="B40" i="2"/>
  <c r="A40" i="2"/>
  <c r="CI39" i="2"/>
  <c r="CH39" i="2"/>
  <c r="CG39" i="2"/>
  <c r="CF39" i="2"/>
  <c r="CE39" i="2"/>
  <c r="CD39" i="2"/>
  <c r="CC39" i="2"/>
  <c r="BZ39" i="2"/>
  <c r="BY39" i="2"/>
  <c r="BX39" i="2"/>
  <c r="BW39" i="2"/>
  <c r="O39" i="2"/>
  <c r="G39" i="2"/>
  <c r="F39" i="2"/>
  <c r="E39" i="2"/>
  <c r="D39" i="2"/>
  <c r="C39" i="2"/>
  <c r="B39" i="2"/>
  <c r="A39" i="2"/>
  <c r="CI38" i="2"/>
  <c r="CH38" i="2"/>
  <c r="CG38" i="2"/>
  <c r="CF38" i="2"/>
  <c r="CE38" i="2"/>
  <c r="CD38" i="2"/>
  <c r="CC38" i="2"/>
  <c r="BZ38" i="2"/>
  <c r="BY38" i="2"/>
  <c r="BX38" i="2"/>
  <c r="BW38" i="2"/>
  <c r="G38" i="2"/>
  <c r="F38" i="2"/>
  <c r="E38" i="2"/>
  <c r="D38" i="2"/>
  <c r="C38" i="2"/>
  <c r="B38" i="2"/>
  <c r="A38" i="2"/>
  <c r="CI37" i="2"/>
  <c r="CH37" i="2"/>
  <c r="CG37" i="2"/>
  <c r="CF37" i="2"/>
  <c r="CE37" i="2"/>
  <c r="CD37" i="2"/>
  <c r="CC37" i="2"/>
  <c r="BZ37" i="2"/>
  <c r="BY37" i="2"/>
  <c r="BX37" i="2"/>
  <c r="BW37" i="2"/>
  <c r="U37" i="2"/>
  <c r="G37" i="2"/>
  <c r="F37" i="2"/>
  <c r="E37" i="2"/>
  <c r="D37" i="2"/>
  <c r="C37" i="2"/>
  <c r="B37" i="2"/>
  <c r="A37" i="2"/>
  <c r="CI36" i="2"/>
  <c r="CH36" i="2"/>
  <c r="CG36" i="2"/>
  <c r="CF36" i="2"/>
  <c r="CE36" i="2"/>
  <c r="CD36" i="2"/>
  <c r="CC36" i="2"/>
  <c r="BZ36" i="2"/>
  <c r="BY36" i="2"/>
  <c r="BX36" i="2"/>
  <c r="BW36" i="2"/>
  <c r="G36" i="2"/>
  <c r="F36" i="2"/>
  <c r="E36" i="2"/>
  <c r="D36" i="2"/>
  <c r="C36" i="2"/>
  <c r="B36" i="2"/>
  <c r="A36" i="2"/>
  <c r="CI35" i="2"/>
  <c r="CH35" i="2"/>
  <c r="CG35" i="2"/>
  <c r="CF35" i="2"/>
  <c r="CE35" i="2"/>
  <c r="CD35" i="2"/>
  <c r="CC35" i="2"/>
  <c r="BZ35" i="2"/>
  <c r="BY35" i="2"/>
  <c r="BX35" i="2"/>
  <c r="BW35" i="2"/>
  <c r="N35" i="2"/>
  <c r="G35" i="2"/>
  <c r="F35" i="2"/>
  <c r="E35" i="2"/>
  <c r="D35" i="2"/>
  <c r="C35" i="2"/>
  <c r="B35" i="2"/>
  <c r="A35" i="2"/>
  <c r="CI34" i="2"/>
  <c r="CH34" i="2"/>
  <c r="CG34" i="2"/>
  <c r="CF34" i="2"/>
  <c r="CE34" i="2"/>
  <c r="CD34" i="2"/>
  <c r="CC34" i="2"/>
  <c r="BZ34" i="2"/>
  <c r="BY34" i="2"/>
  <c r="BX34" i="2"/>
  <c r="BW34" i="2"/>
  <c r="J34" i="2"/>
  <c r="G34" i="2"/>
  <c r="F34" i="2"/>
  <c r="E34" i="2"/>
  <c r="D34" i="2"/>
  <c r="C34" i="2"/>
  <c r="B34" i="2"/>
  <c r="A34" i="2"/>
  <c r="CI33" i="2"/>
  <c r="CH33" i="2"/>
  <c r="CG33" i="2"/>
  <c r="CF33" i="2"/>
  <c r="CE33" i="2"/>
  <c r="CD33" i="2"/>
  <c r="CC33" i="2"/>
  <c r="BZ33" i="2"/>
  <c r="BY33" i="2"/>
  <c r="BX33" i="2"/>
  <c r="BW33" i="2"/>
  <c r="U33" i="2"/>
  <c r="G33" i="2"/>
  <c r="F33" i="2"/>
  <c r="E33" i="2"/>
  <c r="D33" i="2"/>
  <c r="C33" i="2"/>
  <c r="B33" i="2"/>
  <c r="A33" i="2"/>
  <c r="CI32" i="2"/>
  <c r="CH32" i="2"/>
  <c r="CG32" i="2"/>
  <c r="CF32" i="2"/>
  <c r="CE32" i="2"/>
  <c r="CD32" i="2"/>
  <c r="CC32" i="2"/>
  <c r="BZ32" i="2"/>
  <c r="BY32" i="2"/>
  <c r="BX32" i="2"/>
  <c r="BW32" i="2"/>
  <c r="T32" i="2"/>
  <c r="G32" i="2"/>
  <c r="F32" i="2"/>
  <c r="E32" i="2"/>
  <c r="D32" i="2"/>
  <c r="C32" i="2"/>
  <c r="B32" i="2"/>
  <c r="A32" i="2"/>
  <c r="CI31" i="2"/>
  <c r="CH31" i="2"/>
  <c r="CG31" i="2"/>
  <c r="CF31" i="2"/>
  <c r="CE31" i="2"/>
  <c r="CD31" i="2"/>
  <c r="CC31" i="2"/>
  <c r="BZ31" i="2"/>
  <c r="BY31" i="2"/>
  <c r="BX31" i="2"/>
  <c r="BW31" i="2"/>
  <c r="H31" i="2"/>
  <c r="G31" i="2"/>
  <c r="F31" i="2"/>
  <c r="E31" i="2"/>
  <c r="D31" i="2"/>
  <c r="C31" i="2"/>
  <c r="B31" i="2"/>
  <c r="A31" i="2"/>
  <c r="CI30" i="2"/>
  <c r="CH30" i="2"/>
  <c r="CG30" i="2"/>
  <c r="CF30" i="2"/>
  <c r="CE30" i="2"/>
  <c r="CD30" i="2"/>
  <c r="CC30" i="2"/>
  <c r="BZ30" i="2"/>
  <c r="BY30" i="2"/>
  <c r="BX30" i="2"/>
  <c r="BW30" i="2"/>
  <c r="T30" i="2"/>
  <c r="G30" i="2"/>
  <c r="F30" i="2"/>
  <c r="E30" i="2"/>
  <c r="D30" i="2"/>
  <c r="C30" i="2"/>
  <c r="B30" i="2"/>
  <c r="A30" i="2"/>
  <c r="CI29" i="2"/>
  <c r="CH29" i="2"/>
  <c r="CG29" i="2"/>
  <c r="CF29" i="2"/>
  <c r="CE29" i="2"/>
  <c r="CD29" i="2"/>
  <c r="CC29" i="2"/>
  <c r="BZ29" i="2"/>
  <c r="BY29" i="2"/>
  <c r="BX29" i="2"/>
  <c r="BW29" i="2"/>
  <c r="H29" i="2"/>
  <c r="G29" i="2"/>
  <c r="F29" i="2"/>
  <c r="E29" i="2"/>
  <c r="D29" i="2"/>
  <c r="C29" i="2"/>
  <c r="B29" i="2"/>
  <c r="A29" i="2"/>
  <c r="CI28" i="2"/>
  <c r="CH28" i="2"/>
  <c r="CG28" i="2"/>
  <c r="CF28" i="2"/>
  <c r="CE28" i="2"/>
  <c r="CD28" i="2"/>
  <c r="CC28" i="2"/>
  <c r="BZ28" i="2"/>
  <c r="BY28" i="2"/>
  <c r="BX28" i="2"/>
  <c r="BW28" i="2"/>
  <c r="P28" i="2"/>
  <c r="G28" i="2"/>
  <c r="F28" i="2"/>
  <c r="E28" i="2"/>
  <c r="D28" i="2"/>
  <c r="C28" i="2"/>
  <c r="B28" i="2"/>
  <c r="A28" i="2"/>
  <c r="CI27" i="2"/>
  <c r="CH27" i="2"/>
  <c r="CG27" i="2"/>
  <c r="CF27" i="2"/>
  <c r="CE27" i="2"/>
  <c r="CD27" i="2"/>
  <c r="CC27" i="2"/>
  <c r="BZ27" i="2"/>
  <c r="BY27" i="2"/>
  <c r="BX27" i="2"/>
  <c r="BW27" i="2"/>
  <c r="L27" i="2"/>
  <c r="G27" i="2"/>
  <c r="F27" i="2"/>
  <c r="E27" i="2"/>
  <c r="D27" i="2"/>
  <c r="C27" i="2"/>
  <c r="B27" i="2"/>
  <c r="A27" i="2"/>
  <c r="CI26" i="2"/>
  <c r="CH26" i="2"/>
  <c r="CG26" i="2"/>
  <c r="CF26" i="2"/>
  <c r="CE26" i="2"/>
  <c r="CD26" i="2"/>
  <c r="CC26" i="2"/>
  <c r="BZ26" i="2"/>
  <c r="BY26" i="2"/>
  <c r="BX26" i="2"/>
  <c r="BW26" i="2"/>
  <c r="R26" i="2"/>
  <c r="G26" i="2"/>
  <c r="F26" i="2"/>
  <c r="E26" i="2"/>
  <c r="D26" i="2"/>
  <c r="C26" i="2"/>
  <c r="B26" i="2"/>
  <c r="A26" i="2"/>
  <c r="CI25" i="2"/>
  <c r="CH25" i="2"/>
  <c r="CG25" i="2"/>
  <c r="CF25" i="2"/>
  <c r="CE25" i="2"/>
  <c r="CD25" i="2"/>
  <c r="CC25" i="2"/>
  <c r="BZ25" i="2"/>
  <c r="BY25" i="2"/>
  <c r="BX25" i="2"/>
  <c r="BW25" i="2"/>
  <c r="G25" i="2"/>
  <c r="F25" i="2"/>
  <c r="E25" i="2"/>
  <c r="D25" i="2"/>
  <c r="C25" i="2"/>
  <c r="B25" i="2"/>
  <c r="A25" i="2"/>
  <c r="CI24" i="2"/>
  <c r="CH24" i="2"/>
  <c r="CG24" i="2"/>
  <c r="CF24" i="2"/>
  <c r="CE24" i="2"/>
  <c r="CD24" i="2"/>
  <c r="CC24" i="2"/>
  <c r="BZ24" i="2"/>
  <c r="BY24" i="2"/>
  <c r="BX24" i="2"/>
  <c r="BW24" i="2"/>
  <c r="Q24" i="2"/>
  <c r="G24" i="2"/>
  <c r="F24" i="2"/>
  <c r="E24" i="2"/>
  <c r="D24" i="2"/>
  <c r="C24" i="2"/>
  <c r="B24" i="2"/>
  <c r="A24" i="2"/>
  <c r="CI23" i="2"/>
  <c r="CH23" i="2"/>
  <c r="CG23" i="2"/>
  <c r="CF23" i="2"/>
  <c r="CE23" i="2"/>
  <c r="CD23" i="2"/>
  <c r="CC23" i="2"/>
  <c r="BZ23" i="2"/>
  <c r="BY23" i="2"/>
  <c r="BX23" i="2"/>
  <c r="BW23" i="2"/>
  <c r="U23" i="2"/>
  <c r="G23" i="2"/>
  <c r="F23" i="2"/>
  <c r="E23" i="2"/>
  <c r="D23" i="2"/>
  <c r="C23" i="2"/>
  <c r="B23" i="2"/>
  <c r="A23" i="2"/>
  <c r="CI22" i="2"/>
  <c r="CH22" i="2"/>
  <c r="CG22" i="2"/>
  <c r="CF22" i="2"/>
  <c r="CE22" i="2"/>
  <c r="CD22" i="2"/>
  <c r="CC22" i="2"/>
  <c r="BZ22" i="2"/>
  <c r="BY22" i="2"/>
  <c r="BX22" i="2"/>
  <c r="BW22" i="2"/>
  <c r="U22" i="2"/>
  <c r="G22" i="2"/>
  <c r="F22" i="2"/>
  <c r="E22" i="2"/>
  <c r="D22" i="2"/>
  <c r="C22" i="2"/>
  <c r="B22" i="2"/>
  <c r="A22" i="2"/>
  <c r="CI21" i="2"/>
  <c r="CH21" i="2"/>
  <c r="CG21" i="2"/>
  <c r="CF21" i="2"/>
  <c r="CE21" i="2"/>
  <c r="CD21" i="2"/>
  <c r="CC21" i="2"/>
  <c r="BZ21" i="2"/>
  <c r="BY21" i="2"/>
  <c r="BX21" i="2"/>
  <c r="BW21" i="2"/>
  <c r="P21" i="2"/>
  <c r="G21" i="2"/>
  <c r="F21" i="2"/>
  <c r="E21" i="2"/>
  <c r="D21" i="2"/>
  <c r="C21" i="2"/>
  <c r="B21" i="2"/>
  <c r="A21" i="2"/>
  <c r="CI20" i="2"/>
  <c r="CH20" i="2"/>
  <c r="CG20" i="2"/>
  <c r="CF20" i="2"/>
  <c r="CE20" i="2"/>
  <c r="CD20" i="2"/>
  <c r="CC20" i="2"/>
  <c r="BZ20" i="2"/>
  <c r="BY20" i="2"/>
  <c r="BX20" i="2"/>
  <c r="BW20" i="2"/>
  <c r="G20" i="2"/>
  <c r="F20" i="2"/>
  <c r="D20" i="2"/>
  <c r="C20" i="2"/>
  <c r="B20" i="2"/>
  <c r="A20" i="2"/>
  <c r="CI19" i="2"/>
  <c r="CH19" i="2"/>
  <c r="CG19" i="2"/>
  <c r="CF19" i="2"/>
  <c r="CE19" i="2"/>
  <c r="CD19" i="2"/>
  <c r="CC19" i="2"/>
  <c r="BZ19" i="2"/>
  <c r="BY19" i="2"/>
  <c r="BX19" i="2"/>
  <c r="BW19" i="2"/>
  <c r="R19" i="2"/>
  <c r="G19" i="2"/>
  <c r="F19" i="2"/>
  <c r="E19" i="2"/>
  <c r="D19" i="2"/>
  <c r="C19" i="2"/>
  <c r="B19" i="2"/>
  <c r="A19" i="2"/>
  <c r="CI18" i="2"/>
  <c r="CH18" i="2"/>
  <c r="CG18" i="2"/>
  <c r="CF18" i="2"/>
  <c r="CE18" i="2"/>
  <c r="CD18" i="2"/>
  <c r="CC18" i="2"/>
  <c r="BZ18" i="2"/>
  <c r="BY18" i="2"/>
  <c r="BX18" i="2"/>
  <c r="BW18" i="2"/>
  <c r="O18" i="2"/>
  <c r="G18" i="2"/>
  <c r="F18" i="2"/>
  <c r="E18" i="2"/>
  <c r="D18" i="2"/>
  <c r="C18" i="2"/>
  <c r="B18" i="2"/>
  <c r="A18" i="2"/>
  <c r="CI17" i="2"/>
  <c r="CH17" i="2"/>
  <c r="CG17" i="2"/>
  <c r="CF17" i="2"/>
  <c r="CE17" i="2"/>
  <c r="CD17" i="2"/>
  <c r="CC17" i="2"/>
  <c r="BZ17" i="2"/>
  <c r="BY17" i="2"/>
  <c r="BX17" i="2"/>
  <c r="BW17" i="2"/>
  <c r="O17" i="2"/>
  <c r="G17" i="2"/>
  <c r="F17" i="2"/>
  <c r="E17" i="2"/>
  <c r="D17" i="2"/>
  <c r="C17" i="2"/>
  <c r="B17" i="2"/>
  <c r="A17" i="2"/>
  <c r="CI16" i="2"/>
  <c r="CH16" i="2"/>
  <c r="CG16" i="2"/>
  <c r="CF16" i="2"/>
  <c r="CE16" i="2"/>
  <c r="CD16" i="2"/>
  <c r="CC16" i="2"/>
  <c r="BZ16" i="2"/>
  <c r="BY16" i="2"/>
  <c r="BX16" i="2"/>
  <c r="BW16" i="2"/>
  <c r="H16" i="2"/>
  <c r="G16" i="2"/>
  <c r="F16" i="2"/>
  <c r="E16" i="2"/>
  <c r="D16" i="2"/>
  <c r="C16" i="2"/>
  <c r="B16" i="2"/>
  <c r="A16" i="2"/>
  <c r="CI15" i="2"/>
  <c r="CH15" i="2"/>
  <c r="CG15" i="2"/>
  <c r="CF15" i="2"/>
  <c r="CE15" i="2"/>
  <c r="CD15" i="2"/>
  <c r="CC15" i="2"/>
  <c r="BZ15" i="2"/>
  <c r="BY15" i="2"/>
  <c r="BX15" i="2"/>
  <c r="BW15" i="2"/>
  <c r="P15" i="2"/>
  <c r="G15" i="2"/>
  <c r="F15" i="2"/>
  <c r="E15" i="2"/>
  <c r="D15" i="2"/>
  <c r="C15" i="2"/>
  <c r="B15" i="2"/>
  <c r="A15" i="2"/>
  <c r="CI14" i="2"/>
  <c r="CH14" i="2"/>
  <c r="CG14" i="2"/>
  <c r="CF14" i="2"/>
  <c r="CE14" i="2"/>
  <c r="CD14" i="2"/>
  <c r="CC14" i="2"/>
  <c r="BZ14" i="2"/>
  <c r="BY14" i="2"/>
  <c r="BX14" i="2"/>
  <c r="BW14" i="2"/>
  <c r="U14" i="2"/>
  <c r="G14" i="2"/>
  <c r="F14" i="2"/>
  <c r="E14" i="2"/>
  <c r="D14" i="2"/>
  <c r="C14" i="2"/>
  <c r="B14" i="2"/>
  <c r="A14" i="2"/>
  <c r="CI13" i="2"/>
  <c r="CH13" i="2"/>
  <c r="CG13" i="2"/>
  <c r="CF13" i="2"/>
  <c r="CE13" i="2"/>
  <c r="CD13" i="2"/>
  <c r="CC13" i="2"/>
  <c r="BZ13" i="2"/>
  <c r="BY13" i="2"/>
  <c r="BX13" i="2"/>
  <c r="BW13" i="2"/>
  <c r="Q13" i="2"/>
  <c r="G13" i="2"/>
  <c r="F13" i="2"/>
  <c r="E13" i="2"/>
  <c r="D13" i="2"/>
  <c r="C13" i="2"/>
  <c r="B13" i="2"/>
  <c r="A13" i="2"/>
  <c r="CI12" i="2"/>
  <c r="CH12" i="2"/>
  <c r="CG12" i="2"/>
  <c r="CF12" i="2"/>
  <c r="CE12" i="2"/>
  <c r="CD12" i="2"/>
  <c r="CC12" i="2"/>
  <c r="BZ12" i="2"/>
  <c r="BY12" i="2"/>
  <c r="BX12" i="2"/>
  <c r="BW12" i="2"/>
  <c r="P12" i="2"/>
  <c r="G12" i="2"/>
  <c r="F12" i="2"/>
  <c r="E12" i="2"/>
  <c r="D12" i="2"/>
  <c r="C12" i="2"/>
  <c r="B12" i="2"/>
  <c r="A12" i="2"/>
  <c r="CI11" i="2"/>
  <c r="CH11" i="2"/>
  <c r="CG11" i="2"/>
  <c r="CF11" i="2"/>
  <c r="CE11" i="2"/>
  <c r="CD11" i="2"/>
  <c r="CC11" i="2"/>
  <c r="BZ11" i="2"/>
  <c r="BY11" i="2"/>
  <c r="BX11" i="2"/>
  <c r="BW11" i="2"/>
  <c r="N11" i="2"/>
  <c r="G11" i="2"/>
  <c r="F11" i="2"/>
  <c r="E11" i="2"/>
  <c r="D11" i="2"/>
  <c r="C11" i="2"/>
  <c r="B11" i="2"/>
  <c r="A11" i="2"/>
  <c r="CI10" i="2"/>
  <c r="CH10" i="2"/>
  <c r="CG10" i="2"/>
  <c r="CF10" i="2"/>
  <c r="CE10" i="2"/>
  <c r="CD10" i="2"/>
  <c r="CC10" i="2"/>
  <c r="BZ10" i="2"/>
  <c r="BY10" i="2"/>
  <c r="BX10" i="2"/>
  <c r="BW10" i="2"/>
  <c r="S10" i="2"/>
  <c r="G10" i="2"/>
  <c r="F10" i="2"/>
  <c r="E10" i="2"/>
  <c r="D10" i="2"/>
  <c r="C10" i="2"/>
  <c r="B10" i="2"/>
  <c r="A10" i="2"/>
  <c r="CI9" i="2"/>
  <c r="CH9" i="2"/>
  <c r="CG9" i="2"/>
  <c r="CF9" i="2"/>
  <c r="CE9" i="2"/>
  <c r="CD9" i="2"/>
  <c r="CC9" i="2"/>
  <c r="BZ9" i="2"/>
  <c r="BY9" i="2"/>
  <c r="BX9" i="2"/>
  <c r="BW9" i="2"/>
  <c r="R9" i="2"/>
  <c r="G9" i="2"/>
  <c r="F9" i="2"/>
  <c r="E9" i="2"/>
  <c r="D9" i="2"/>
  <c r="C9" i="2"/>
  <c r="B9" i="2"/>
  <c r="A9" i="2"/>
  <c r="CI8" i="2"/>
  <c r="CH8" i="2"/>
  <c r="CG8" i="2"/>
  <c r="CF8" i="2"/>
  <c r="CE8" i="2"/>
  <c r="CD8" i="2"/>
  <c r="CC8" i="2"/>
  <c r="BZ8" i="2"/>
  <c r="BY8" i="2"/>
  <c r="BX8" i="2"/>
  <c r="BW8" i="2"/>
  <c r="P8" i="2"/>
  <c r="G8" i="2"/>
  <c r="F8" i="2"/>
  <c r="E8" i="2"/>
  <c r="D8" i="2"/>
  <c r="C8" i="2"/>
  <c r="B8" i="2"/>
  <c r="A8" i="2"/>
  <c r="CI7" i="2"/>
  <c r="CH7" i="2"/>
  <c r="CG7" i="2"/>
  <c r="CF7" i="2"/>
  <c r="CE7" i="2"/>
  <c r="CD7" i="2"/>
  <c r="CC7" i="2"/>
  <c r="BZ7" i="2"/>
  <c r="BY7" i="2"/>
  <c r="BX7" i="2"/>
  <c r="BW7" i="2"/>
  <c r="P7" i="2"/>
  <c r="G7" i="2"/>
  <c r="F7" i="2"/>
  <c r="E7" i="2"/>
  <c r="D7" i="2"/>
  <c r="C7" i="2"/>
  <c r="B7" i="2"/>
  <c r="A7" i="2"/>
  <c r="CI6" i="2"/>
  <c r="CH6" i="2"/>
  <c r="CG6" i="2"/>
  <c r="CF6" i="2"/>
  <c r="CE6" i="2"/>
  <c r="CD6" i="2"/>
  <c r="CC6" i="2"/>
  <c r="BZ6" i="2"/>
  <c r="BY6" i="2"/>
  <c r="BX6" i="2"/>
  <c r="BW6" i="2"/>
  <c r="H6" i="2"/>
  <c r="G6" i="2"/>
  <c r="F6" i="2"/>
  <c r="E6" i="2"/>
  <c r="D6" i="2"/>
  <c r="C6" i="2"/>
  <c r="B6" i="2"/>
  <c r="A6" i="2"/>
  <c r="CI5" i="2"/>
  <c r="CH5" i="2"/>
  <c r="CG5" i="2"/>
  <c r="CF5" i="2"/>
  <c r="CE5" i="2"/>
  <c r="CD5" i="2"/>
  <c r="CC5" i="2"/>
  <c r="BZ5" i="2"/>
  <c r="BY5" i="2"/>
  <c r="BX5" i="2"/>
  <c r="BW5" i="2"/>
  <c r="P5" i="2"/>
  <c r="G5" i="2"/>
  <c r="F5" i="2"/>
  <c r="E5" i="2"/>
  <c r="D5" i="2"/>
  <c r="C5" i="2"/>
  <c r="B5" i="2"/>
  <c r="A5" i="2"/>
  <c r="CI4" i="2"/>
  <c r="CH4" i="2"/>
  <c r="CG4" i="2"/>
  <c r="CF4" i="2"/>
  <c r="CE4" i="2"/>
  <c r="CD4" i="2"/>
  <c r="CC4" i="2"/>
  <c r="BZ4" i="2"/>
  <c r="BY4" i="2"/>
  <c r="BX4" i="2"/>
  <c r="BW4" i="2"/>
  <c r="U4" i="2"/>
  <c r="G4" i="2"/>
  <c r="F4" i="2"/>
  <c r="E4" i="2"/>
  <c r="D4" i="2"/>
  <c r="C4" i="2"/>
  <c r="B4" i="2"/>
  <c r="A4" i="2"/>
  <c r="CI3" i="2"/>
  <c r="CH3" i="2"/>
  <c r="CG3" i="2"/>
  <c r="CF3" i="2"/>
  <c r="CE3" i="2"/>
  <c r="CD3" i="2"/>
  <c r="CC3" i="2"/>
  <c r="BZ3" i="2"/>
  <c r="BY3" i="2"/>
  <c r="BX3" i="2"/>
  <c r="BW3" i="2"/>
  <c r="P3" i="2"/>
  <c r="G3" i="2"/>
  <c r="F3" i="2"/>
  <c r="E3" i="2"/>
  <c r="D3" i="2"/>
  <c r="C3" i="2"/>
  <c r="B3" i="2"/>
  <c r="A3" i="2"/>
  <c r="CI2" i="2"/>
  <c r="CH2" i="2"/>
  <c r="CG2" i="2"/>
  <c r="CF2" i="2"/>
  <c r="CE2" i="2"/>
  <c r="CD2" i="2"/>
  <c r="CC2" i="2"/>
  <c r="BZ2" i="2"/>
  <c r="BY2" i="2"/>
  <c r="BX2" i="2"/>
  <c r="BW2" i="2"/>
  <c r="R2" i="2"/>
  <c r="G2" i="2"/>
  <c r="F2" i="2"/>
  <c r="E2" i="2"/>
  <c r="D2" i="2"/>
  <c r="C2" i="2"/>
  <c r="B2" i="2"/>
  <c r="A2" i="2"/>
  <c r="CI1" i="2"/>
  <c r="CH1" i="2"/>
  <c r="CG1" i="2"/>
  <c r="CF1" i="2"/>
  <c r="CE1" i="2"/>
  <c r="CD1" i="2"/>
  <c r="CC1" i="2"/>
  <c r="CB1" i="2"/>
  <c r="CA1" i="2"/>
  <c r="BZ1" i="2"/>
  <c r="BY1" i="2"/>
  <c r="BX1" i="2"/>
  <c r="BW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1" i="2"/>
  <c r="H109" i="1"/>
  <c r="G109" i="1"/>
  <c r="F109" i="1"/>
  <c r="C109" i="1"/>
  <c r="B109" i="1"/>
  <c r="A109" i="1"/>
  <c r="H108" i="1"/>
  <c r="G108" i="1"/>
  <c r="F108" i="1"/>
  <c r="C108" i="1"/>
  <c r="B108" i="1"/>
  <c r="A108" i="1"/>
  <c r="H107" i="1"/>
  <c r="G107" i="1"/>
  <c r="F107" i="1"/>
  <c r="C107" i="1"/>
  <c r="B107" i="1"/>
  <c r="A107" i="1"/>
  <c r="H106" i="1"/>
  <c r="G106" i="1"/>
  <c r="F106" i="1"/>
  <c r="C106" i="1"/>
  <c r="B106" i="1"/>
  <c r="A106" i="1"/>
  <c r="H105" i="1"/>
  <c r="G105" i="1"/>
  <c r="F105" i="1"/>
  <c r="C105" i="1"/>
  <c r="B105" i="1"/>
  <c r="A105" i="1"/>
  <c r="H104" i="1"/>
  <c r="G104" i="1"/>
  <c r="F104" i="1"/>
  <c r="C104" i="1"/>
  <c r="B104" i="1"/>
  <c r="A104" i="1"/>
  <c r="H103" i="1"/>
  <c r="G103" i="1"/>
  <c r="F103" i="1"/>
  <c r="C103" i="1"/>
  <c r="B103" i="1"/>
  <c r="A103" i="1"/>
  <c r="H102" i="1"/>
  <c r="G102" i="1"/>
  <c r="F102" i="1"/>
  <c r="C102" i="1"/>
  <c r="B102" i="1"/>
  <c r="A102" i="1"/>
  <c r="H101" i="1"/>
  <c r="G101" i="1"/>
  <c r="F101" i="1"/>
  <c r="C101" i="1"/>
  <c r="B101" i="1"/>
  <c r="A101" i="1"/>
  <c r="H100" i="1"/>
  <c r="G100" i="1"/>
  <c r="F100" i="1"/>
  <c r="C100" i="1"/>
  <c r="B100" i="1"/>
  <c r="A100" i="1"/>
  <c r="H99" i="1"/>
  <c r="G99" i="1"/>
  <c r="F99" i="1"/>
  <c r="C99" i="1"/>
  <c r="B99" i="1"/>
  <c r="A99" i="1"/>
  <c r="H98" i="1"/>
  <c r="G98" i="1"/>
  <c r="F98" i="1"/>
  <c r="C98" i="1"/>
  <c r="B98" i="1"/>
  <c r="A98" i="1"/>
  <c r="H97" i="1"/>
  <c r="G97" i="1"/>
  <c r="F97" i="1"/>
  <c r="C97" i="1"/>
  <c r="B97" i="1"/>
  <c r="A97" i="1"/>
  <c r="H96" i="1"/>
  <c r="G96" i="1"/>
  <c r="F96" i="1"/>
  <c r="C96" i="1"/>
  <c r="B96" i="1"/>
  <c r="A96" i="1"/>
  <c r="H95" i="1"/>
  <c r="G95" i="1"/>
  <c r="F95" i="1"/>
  <c r="C95" i="1"/>
  <c r="B95" i="1"/>
  <c r="A95" i="1"/>
  <c r="H94" i="1"/>
  <c r="G94" i="1"/>
  <c r="F94" i="1"/>
  <c r="C94" i="1"/>
  <c r="B94" i="1"/>
  <c r="A94" i="1"/>
  <c r="H93" i="1"/>
  <c r="G93" i="1"/>
  <c r="F93" i="1"/>
  <c r="C93" i="1"/>
  <c r="B93" i="1"/>
  <c r="A93" i="1"/>
  <c r="H92" i="1"/>
  <c r="G92" i="1"/>
  <c r="F92" i="1"/>
  <c r="C92" i="1"/>
  <c r="B92" i="1"/>
  <c r="A92" i="1"/>
  <c r="H91" i="1"/>
  <c r="G91" i="1"/>
  <c r="F91" i="1"/>
  <c r="C91" i="1"/>
  <c r="B91" i="1"/>
  <c r="A91" i="1"/>
  <c r="H90" i="1"/>
  <c r="G90" i="1"/>
  <c r="F90" i="1"/>
  <c r="C90" i="1"/>
  <c r="B90" i="1"/>
  <c r="A90" i="1"/>
  <c r="H89" i="1"/>
  <c r="G89" i="1"/>
  <c r="F89" i="1"/>
  <c r="C89" i="1"/>
  <c r="B89" i="1"/>
  <c r="A89" i="1"/>
  <c r="H88" i="1"/>
  <c r="G88" i="1"/>
  <c r="F88" i="1"/>
  <c r="C88" i="1"/>
  <c r="B88" i="1"/>
  <c r="A88" i="1"/>
  <c r="H87" i="1"/>
  <c r="G87" i="1"/>
  <c r="F87" i="1"/>
  <c r="B87" i="1"/>
  <c r="A87" i="1"/>
  <c r="H86" i="1"/>
  <c r="G86" i="1"/>
  <c r="F86" i="1"/>
  <c r="C86" i="1"/>
  <c r="B86" i="1"/>
  <c r="A86" i="1"/>
  <c r="H85" i="1"/>
  <c r="G85" i="1"/>
  <c r="F85" i="1"/>
  <c r="C85" i="1"/>
  <c r="B85" i="1"/>
  <c r="A85" i="1"/>
  <c r="H84" i="1"/>
  <c r="G84" i="1"/>
  <c r="F84" i="1"/>
  <c r="C84" i="1"/>
  <c r="B84" i="1"/>
  <c r="A84" i="1"/>
  <c r="H83" i="1"/>
  <c r="G83" i="1"/>
  <c r="F83" i="1"/>
  <c r="C83" i="1"/>
  <c r="B83" i="1"/>
  <c r="A83" i="1"/>
  <c r="H82" i="1"/>
  <c r="G82" i="1"/>
  <c r="F82" i="1"/>
  <c r="C82" i="1"/>
  <c r="B82" i="1"/>
  <c r="A82" i="1"/>
  <c r="H81" i="1"/>
  <c r="G81" i="1"/>
  <c r="F81" i="1"/>
  <c r="C81" i="1"/>
  <c r="B81" i="1"/>
  <c r="A81" i="1"/>
  <c r="H80" i="1"/>
  <c r="G80" i="1"/>
  <c r="F80" i="1"/>
  <c r="C80" i="1"/>
  <c r="B80" i="1"/>
  <c r="A80" i="1"/>
  <c r="H79" i="1"/>
  <c r="G79" i="1"/>
  <c r="F79" i="1"/>
  <c r="C79" i="1"/>
  <c r="B79" i="1"/>
  <c r="A79" i="1"/>
  <c r="H78" i="1"/>
  <c r="G78" i="1"/>
  <c r="F78" i="1"/>
  <c r="C78" i="1"/>
  <c r="B78" i="1"/>
  <c r="A78" i="1"/>
  <c r="H77" i="1"/>
  <c r="G77" i="1"/>
  <c r="F77" i="1"/>
  <c r="C77" i="1"/>
  <c r="B77" i="1"/>
  <c r="A77" i="1"/>
  <c r="H76" i="1"/>
  <c r="G76" i="1"/>
  <c r="F76" i="1"/>
  <c r="C76" i="1"/>
  <c r="B76" i="1"/>
  <c r="A76" i="1"/>
  <c r="H75" i="1"/>
  <c r="G75" i="1"/>
  <c r="F75" i="1"/>
  <c r="C75" i="1"/>
  <c r="B75" i="1"/>
  <c r="A75" i="1"/>
  <c r="H74" i="1"/>
  <c r="G74" i="1"/>
  <c r="F74" i="1"/>
  <c r="C74" i="1"/>
  <c r="B74" i="1"/>
  <c r="A74" i="1"/>
  <c r="H73" i="1"/>
  <c r="G73" i="1"/>
  <c r="F73" i="1"/>
  <c r="C73" i="1"/>
  <c r="B73" i="1"/>
  <c r="A73" i="1"/>
  <c r="H72" i="1"/>
  <c r="G72" i="1"/>
  <c r="F72" i="1"/>
  <c r="C72" i="1"/>
  <c r="B72" i="1"/>
  <c r="A72" i="1"/>
  <c r="H71" i="1"/>
  <c r="G71" i="1"/>
  <c r="F71" i="1"/>
  <c r="C71" i="1"/>
  <c r="B71" i="1"/>
  <c r="A71" i="1"/>
  <c r="H70" i="1"/>
  <c r="G70" i="1"/>
  <c r="F70" i="1"/>
  <c r="C70" i="1"/>
  <c r="B70" i="1"/>
  <c r="A70" i="1"/>
  <c r="H69" i="1"/>
  <c r="G69" i="1"/>
  <c r="F69" i="1"/>
  <c r="C69" i="1"/>
  <c r="B69" i="1"/>
  <c r="A69" i="1"/>
  <c r="H68" i="1"/>
  <c r="G68" i="1"/>
  <c r="F68" i="1"/>
  <c r="C68" i="1"/>
  <c r="B68" i="1"/>
  <c r="A68" i="1"/>
  <c r="H67" i="1"/>
  <c r="G67" i="1"/>
  <c r="F67" i="1"/>
  <c r="C67" i="1"/>
  <c r="B67" i="1"/>
  <c r="A67" i="1"/>
  <c r="H66" i="1"/>
  <c r="G66" i="1"/>
  <c r="F66" i="1"/>
  <c r="C66" i="1"/>
  <c r="B66" i="1"/>
  <c r="A66" i="1"/>
  <c r="H65" i="1"/>
  <c r="G65" i="1"/>
  <c r="F65" i="1"/>
  <c r="C65" i="1"/>
  <c r="B65" i="1"/>
  <c r="A65" i="1"/>
  <c r="H64" i="1"/>
  <c r="G64" i="1"/>
  <c r="F64" i="1"/>
  <c r="C64" i="1"/>
  <c r="B64" i="1"/>
  <c r="A64" i="1"/>
  <c r="H63" i="1"/>
  <c r="G63" i="1"/>
  <c r="F63" i="1"/>
  <c r="C63" i="1"/>
  <c r="B63" i="1"/>
  <c r="A63" i="1"/>
  <c r="H62" i="1"/>
  <c r="G62" i="1"/>
  <c r="F62" i="1"/>
  <c r="C62" i="1"/>
  <c r="B62" i="1"/>
  <c r="A62" i="1"/>
  <c r="H61" i="1"/>
  <c r="G61" i="1"/>
  <c r="F61" i="1"/>
  <c r="C61" i="1"/>
  <c r="B61" i="1"/>
  <c r="A61" i="1"/>
  <c r="H60" i="1"/>
  <c r="G60" i="1"/>
  <c r="F60" i="1"/>
  <c r="C60" i="1"/>
  <c r="B60" i="1"/>
  <c r="A60" i="1"/>
  <c r="H59" i="1"/>
  <c r="G59" i="1"/>
  <c r="F59" i="1"/>
  <c r="C59" i="1"/>
  <c r="B59" i="1"/>
  <c r="A59" i="1"/>
  <c r="H58" i="1"/>
  <c r="G58" i="1"/>
  <c r="F58" i="1"/>
  <c r="C58" i="1"/>
  <c r="B58" i="1"/>
  <c r="A58" i="1"/>
  <c r="H57" i="1"/>
  <c r="G57" i="1"/>
  <c r="F57" i="1"/>
  <c r="C57" i="1"/>
  <c r="B57" i="1"/>
  <c r="A57" i="1"/>
  <c r="H56" i="1"/>
  <c r="G56" i="1"/>
  <c r="F56" i="1"/>
  <c r="C56" i="1"/>
  <c r="B56" i="1"/>
  <c r="A56" i="1"/>
  <c r="H55" i="1"/>
  <c r="G55" i="1"/>
  <c r="F55" i="1"/>
  <c r="C55" i="1"/>
  <c r="B55" i="1"/>
  <c r="A55" i="1"/>
  <c r="H54" i="1"/>
  <c r="G54" i="1"/>
  <c r="F54" i="1"/>
  <c r="C54" i="1"/>
  <c r="B54" i="1"/>
  <c r="A54" i="1"/>
  <c r="H53" i="1"/>
  <c r="G53" i="1"/>
  <c r="F53" i="1"/>
  <c r="C53" i="1"/>
  <c r="B53" i="1"/>
  <c r="A53" i="1"/>
  <c r="H52" i="1"/>
  <c r="G52" i="1"/>
  <c r="F52" i="1"/>
  <c r="C52" i="1"/>
  <c r="B52" i="1"/>
  <c r="A52" i="1"/>
  <c r="H51" i="1"/>
  <c r="G51" i="1"/>
  <c r="F51" i="1"/>
  <c r="C51" i="1"/>
  <c r="B51" i="1"/>
  <c r="A51" i="1"/>
  <c r="H50" i="1"/>
  <c r="G50" i="1"/>
  <c r="F50" i="1"/>
  <c r="C50" i="1"/>
  <c r="B50" i="1"/>
  <c r="A50" i="1"/>
  <c r="H49" i="1"/>
  <c r="G49" i="1"/>
  <c r="F49" i="1"/>
  <c r="C49" i="1"/>
  <c r="B49" i="1"/>
  <c r="A49" i="1"/>
  <c r="H48" i="1"/>
  <c r="G48" i="1"/>
  <c r="F48" i="1"/>
  <c r="C48" i="1"/>
  <c r="B48" i="1"/>
  <c r="A48" i="1"/>
  <c r="H47" i="1"/>
  <c r="G47" i="1"/>
  <c r="F47" i="1"/>
  <c r="C47" i="1"/>
  <c r="B47" i="1"/>
  <c r="A47" i="1"/>
  <c r="H46" i="1"/>
  <c r="G46" i="1"/>
  <c r="F46" i="1"/>
  <c r="C46" i="1"/>
  <c r="B46" i="1"/>
  <c r="A46" i="1"/>
  <c r="H45" i="1"/>
  <c r="G45" i="1"/>
  <c r="F45" i="1"/>
  <c r="C45" i="1"/>
  <c r="B45" i="1"/>
  <c r="A45" i="1"/>
  <c r="H44" i="1"/>
  <c r="G44" i="1"/>
  <c r="F44" i="1"/>
  <c r="C44" i="1"/>
  <c r="B44" i="1"/>
  <c r="A44" i="1"/>
  <c r="H43" i="1"/>
  <c r="G43" i="1"/>
  <c r="F43" i="1"/>
  <c r="C43" i="1"/>
  <c r="B43" i="1"/>
  <c r="A43" i="1"/>
  <c r="H42" i="1"/>
  <c r="G42" i="1"/>
  <c r="F42" i="1"/>
  <c r="C42" i="1"/>
  <c r="B42" i="1"/>
  <c r="A42" i="1"/>
  <c r="H41" i="1"/>
  <c r="G41" i="1"/>
  <c r="F41" i="1"/>
  <c r="C41" i="1"/>
  <c r="B41" i="1"/>
  <c r="A41" i="1"/>
  <c r="H40" i="1"/>
  <c r="G40" i="1"/>
  <c r="F40" i="1"/>
  <c r="C40" i="1"/>
  <c r="B40" i="1"/>
  <c r="A40" i="1"/>
  <c r="H39" i="1"/>
  <c r="G39" i="1"/>
  <c r="F39" i="1"/>
  <c r="C39" i="1"/>
  <c r="B39" i="1"/>
  <c r="A39" i="1"/>
  <c r="H38" i="1"/>
  <c r="G38" i="1"/>
  <c r="F38" i="1"/>
  <c r="C38" i="1"/>
  <c r="B38" i="1"/>
  <c r="A38" i="1"/>
  <c r="H37" i="1"/>
  <c r="G37" i="1"/>
  <c r="F37" i="1"/>
  <c r="C37" i="1"/>
  <c r="B37" i="1"/>
  <c r="A37" i="1"/>
  <c r="H36" i="1"/>
  <c r="G36" i="1"/>
  <c r="F36" i="1"/>
  <c r="C36" i="1"/>
  <c r="B36" i="1"/>
  <c r="A36" i="1"/>
  <c r="H35" i="1"/>
  <c r="G35" i="1"/>
  <c r="F35" i="1"/>
  <c r="C35" i="1"/>
  <c r="B35" i="1"/>
  <c r="A35" i="1"/>
  <c r="H34" i="1"/>
  <c r="G34" i="1"/>
  <c r="F34" i="1"/>
  <c r="C34" i="1"/>
  <c r="B34" i="1"/>
  <c r="A34" i="1"/>
  <c r="H33" i="1"/>
  <c r="G33" i="1"/>
  <c r="F33" i="1"/>
  <c r="C33" i="1"/>
  <c r="B33" i="1"/>
  <c r="A33" i="1"/>
  <c r="H32" i="1"/>
  <c r="G32" i="1"/>
  <c r="F32" i="1"/>
  <c r="C32" i="1"/>
  <c r="B32" i="1"/>
  <c r="A32" i="1"/>
  <c r="H31" i="1"/>
  <c r="G31" i="1"/>
  <c r="F31" i="1"/>
  <c r="C31" i="1"/>
  <c r="B31" i="1"/>
  <c r="A31" i="1"/>
  <c r="H30" i="1"/>
  <c r="G30" i="1"/>
  <c r="F30" i="1"/>
  <c r="C30" i="1"/>
  <c r="B30" i="1"/>
  <c r="A30" i="1"/>
  <c r="H29" i="1"/>
  <c r="G29" i="1"/>
  <c r="F29" i="1"/>
  <c r="C29" i="1"/>
  <c r="B29" i="1"/>
  <c r="A29" i="1"/>
  <c r="H28" i="1"/>
  <c r="G28" i="1"/>
  <c r="F28" i="1"/>
  <c r="C28" i="1"/>
  <c r="B28" i="1"/>
  <c r="A28" i="1"/>
  <c r="H27" i="1"/>
  <c r="G27" i="1"/>
  <c r="F27" i="1"/>
  <c r="C27" i="1"/>
  <c r="B27" i="1"/>
  <c r="A27" i="1"/>
  <c r="H26" i="1"/>
  <c r="G26" i="1"/>
  <c r="F26" i="1"/>
  <c r="C26" i="1"/>
  <c r="B26" i="1"/>
  <c r="A26" i="1"/>
  <c r="H25" i="1"/>
  <c r="G25" i="1"/>
  <c r="F25" i="1"/>
  <c r="C25" i="1"/>
  <c r="B25" i="1"/>
  <c r="A25" i="1"/>
  <c r="H24" i="1"/>
  <c r="G24" i="1"/>
  <c r="F24" i="1"/>
  <c r="C24" i="1"/>
  <c r="B24" i="1"/>
  <c r="A24" i="1"/>
  <c r="H23" i="1"/>
  <c r="G23" i="1"/>
  <c r="F23" i="1"/>
  <c r="C23" i="1"/>
  <c r="B23" i="1"/>
  <c r="A23" i="1"/>
  <c r="H22" i="1"/>
  <c r="G22" i="1"/>
  <c r="F22" i="1"/>
  <c r="C22" i="1"/>
  <c r="B22" i="1"/>
  <c r="A22" i="1"/>
  <c r="H21" i="1"/>
  <c r="G21" i="1"/>
  <c r="F21" i="1"/>
  <c r="C21" i="1"/>
  <c r="B21" i="1"/>
  <c r="A21" i="1"/>
  <c r="H20" i="1"/>
  <c r="G20" i="1"/>
  <c r="F20" i="1"/>
  <c r="C20" i="1"/>
  <c r="B20" i="1"/>
  <c r="A20" i="1"/>
  <c r="H19" i="1"/>
  <c r="G19" i="1"/>
  <c r="F19" i="1"/>
  <c r="C19" i="1"/>
  <c r="B19" i="1"/>
  <c r="A19" i="1"/>
  <c r="H18" i="1"/>
  <c r="G18" i="1"/>
  <c r="F18" i="1"/>
  <c r="C18" i="1"/>
  <c r="B18" i="1"/>
  <c r="A18" i="1"/>
  <c r="H17" i="1"/>
  <c r="G17" i="1"/>
  <c r="F17" i="1"/>
  <c r="C17" i="1"/>
  <c r="B17" i="1"/>
  <c r="A17" i="1"/>
  <c r="H16" i="1"/>
  <c r="G16" i="1"/>
  <c r="F16" i="1"/>
  <c r="C16" i="1"/>
  <c r="B16" i="1"/>
  <c r="A16" i="1"/>
  <c r="H15" i="1"/>
  <c r="G15" i="1"/>
  <c r="F15" i="1"/>
  <c r="C15" i="1"/>
  <c r="B15" i="1"/>
  <c r="A15" i="1"/>
  <c r="H14" i="1"/>
  <c r="G14" i="1"/>
  <c r="F14" i="1"/>
  <c r="C14" i="1"/>
  <c r="B14" i="1"/>
  <c r="A14" i="1"/>
  <c r="H13" i="1"/>
  <c r="G13" i="1"/>
  <c r="F13" i="1"/>
  <c r="C13" i="1"/>
  <c r="B13" i="1"/>
  <c r="A13" i="1"/>
  <c r="H12" i="1"/>
  <c r="G12" i="1"/>
  <c r="F12" i="1"/>
  <c r="C12" i="1"/>
  <c r="B12" i="1"/>
  <c r="A12" i="1"/>
  <c r="H11" i="1"/>
  <c r="G11" i="1"/>
  <c r="F11" i="1"/>
  <c r="C11" i="1"/>
  <c r="B11" i="1"/>
  <c r="A11" i="1"/>
  <c r="H10" i="1"/>
  <c r="G10" i="1"/>
  <c r="F10" i="1"/>
  <c r="C10" i="1"/>
  <c r="B10" i="1"/>
  <c r="A10" i="1"/>
  <c r="H9" i="1"/>
  <c r="G9" i="1"/>
  <c r="F9" i="1"/>
  <c r="C9" i="1"/>
  <c r="B9" i="1"/>
  <c r="A9" i="1"/>
  <c r="H8" i="1"/>
  <c r="G8" i="1"/>
  <c r="F8" i="1"/>
  <c r="C8" i="1"/>
  <c r="B8" i="1"/>
  <c r="A8" i="1"/>
  <c r="H7" i="1"/>
  <c r="G7" i="1"/>
  <c r="F7" i="1"/>
  <c r="C7" i="1"/>
  <c r="B7" i="1"/>
  <c r="A7" i="1"/>
  <c r="H6" i="1"/>
  <c r="G6" i="1"/>
  <c r="F6" i="1"/>
  <c r="C6" i="1"/>
  <c r="B6" i="1"/>
  <c r="A6" i="1"/>
  <c r="H5" i="1"/>
  <c r="G5" i="1"/>
  <c r="F5" i="1"/>
  <c r="C5" i="1"/>
  <c r="B5" i="1"/>
  <c r="A5" i="1"/>
  <c r="H4" i="1"/>
  <c r="G4" i="1"/>
  <c r="F4" i="1"/>
  <c r="C4" i="1"/>
  <c r="B4" i="1"/>
  <c r="A4" i="1"/>
  <c r="H2" i="1"/>
  <c r="G2" i="1"/>
  <c r="F2" i="1"/>
  <c r="C2" i="1"/>
  <c r="B2" i="1"/>
  <c r="A2" i="1"/>
  <c r="H1" i="1"/>
  <c r="G1" i="1"/>
  <c r="F1" i="1"/>
  <c r="E1" i="1"/>
  <c r="D1" i="1"/>
  <c r="C1" i="1"/>
  <c r="B1" i="1"/>
  <c r="A1" i="1"/>
</calcChain>
</file>

<file path=xl/sharedStrings.xml><?xml version="1.0" encoding="utf-8"?>
<sst xmlns="http://schemas.openxmlformats.org/spreadsheetml/2006/main" count="216" uniqueCount="13">
  <si>
    <t xml:space="preserve">Epoch Change-Idea Revolution </t>
  </si>
  <si>
    <t>Family Building</t>
  </si>
  <si>
    <t>Person-Building, Youth/Students &amp; Teachers</t>
  </si>
  <si>
    <t>The Formulation of Scientific Spiritualism</t>
  </si>
  <si>
    <t>Epoch Change-Idea Revolution</t>
  </si>
  <si>
    <t>Overall Health</t>
  </si>
  <si>
    <t>Nation Building</t>
  </si>
  <si>
    <t>Spirituality, Religion &amp; Philosophy</t>
  </si>
  <si>
    <t>Life Management</t>
  </si>
  <si>
    <t>The books revealed to the ancient sages</t>
  </si>
  <si>
    <t>Building Society</t>
  </si>
  <si>
    <t>Indian Culture</t>
  </si>
  <si>
    <t>Spirituality, Religion &amp; Theism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</si>
</sst>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00439]0"/>
    <numFmt numFmtId="165" formatCode="m/d/yyyy\ h:mm:ss"/>
    <numFmt numFmtId="166" formatCode="d\ mmm\ yy"/>
    <numFmt numFmtId="167" formatCode="d\ mmmm\ yy"/>
    <numFmt numFmtId="168" formatCode="d\ mmm\ yyyy"/>
  </numFmts>
  <fonts count="5" x14ac:knownFonts="1">
    <font>
      <sz val="10"/>
      <color rgb="FF000000"/>
      <name val="Arial"/>
      <scheme val="minor"/>
    </font>
    <font>
      <sz val="10"/>
      <color theme="1"/>
      <name val="Arial"/>
      <scheme val="minor"/>
    </font>
    <font>
      <u/>
      <sz val="10"/>
      <color rgb="FF0000FF"/>
      <name val="Arial"/>
    </font>
    <font>
      <sz val="12"/>
      <color rgb="FF000000"/>
      <name val="Segoe UI"/>
      <family val="2"/>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49" fontId="1" fillId="0" borderId="0" xfId="0" applyNumberFormat="1" applyFont="1"/>
    <xf numFmtId="0" fontId="2" fillId="0" borderId="0" xfId="0" applyFont="1"/>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168" fontId="1" fillId="0" borderId="0" xfId="0" applyNumberFormat="1" applyFont="1"/>
    <xf numFmtId="3" fontId="1" fillId="0" borderId="0" xfId="0" applyNumberFormat="1"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vicharkrantibooks.org/productdetail?book_name=ENGPE098_FOUR_PILLARS_OF_SELF_DEVELOPMENTS_xxyyyy&amp;product_id=3490" TargetMode="External"/><Relationship Id="rId21" Type="http://schemas.openxmlformats.org/officeDocument/2006/relationships/hyperlink" Target="http://literature.awgp.org/book/Eternity_of_Sound_and_The_Science_of_Mantras/v1" TargetMode="External"/><Relationship Id="rId42" Type="http://schemas.openxmlformats.org/officeDocument/2006/relationships/hyperlink" Target="https://vicharkrantibooks.org/productdetail?book_name=EP_152_HOW_TO_OBTAIN_MAXIMUM_MARKS_xxyyyy&amp;product_id=3537" TargetMode="External"/><Relationship Id="rId47" Type="http://schemas.openxmlformats.org/officeDocument/2006/relationships/hyperlink" Target="https://vicharkrantibooks.org/productdetail?book_name=ENGP0713_IN_THE_ANGELIC_LIGHT_OF_RISHI_THOUGHTS_2_xxyyyy&amp;product_id=3461" TargetMode="External"/><Relationship Id="rId63" Type="http://schemas.openxmlformats.org/officeDocument/2006/relationships/hyperlink" Target="https://vicharkrantibooks.org/productdetail?book_name=ENGB0208_MOTHER%E2%80%99S_TEACHINGS_1st2013&amp;product_id=3526" TargetMode="External"/><Relationship Id="rId68" Type="http://schemas.openxmlformats.org/officeDocument/2006/relationships/hyperlink" Target="https://vicharkrantibooks.org/productdetail?book_name=ENGP0609_OBSERVE_AND_ENFORCE_IN_LIFE_xxyyyy&amp;product_id=3509" TargetMode="External"/><Relationship Id="rId84" Type="http://schemas.openxmlformats.org/officeDocument/2006/relationships/hyperlink" Target="https://vicharkrantibooks.org/productdetail?book_name=ENGRE106_RELIGION_AND_SCIENCE_COMPLEMENTARY_NOT_CONTRADICTORY_1st2011&amp;product_id=3493" TargetMode="External"/><Relationship Id="rId89" Type="http://schemas.openxmlformats.org/officeDocument/2006/relationships/hyperlink" Target="http://literature.awgp.org/book/reviving_the_vedic_cultue_of_yagya/v1" TargetMode="External"/><Relationship Id="rId16" Type="http://schemas.openxmlformats.org/officeDocument/2006/relationships/hyperlink" Target="https://vicharkrantibooks.org/productdetail?book_name=ENGP0009_DON%E2%80%99T_BE_TRAPPED_BY_THE_EVILS_OF_MODERNISATION_xxyyyy&amp;product_id=3503" TargetMode="External"/><Relationship Id="rId107" Type="http://schemas.openxmlformats.org/officeDocument/2006/relationships/hyperlink" Target="http://literature.awgp.org/book/Folly_of_the_wise/v2" TargetMode="External"/><Relationship Id="rId11" Type="http://schemas.openxmlformats.org/officeDocument/2006/relationships/hyperlink" Target="http://literature.awgp.org/book/deep_yagya/v1" TargetMode="External"/><Relationship Id="rId32" Type="http://schemas.openxmlformats.org/officeDocument/2006/relationships/hyperlink" Target="http://literature.awgp.org/book/Gayatri_Sadhana_Why_How/v2" TargetMode="External"/><Relationship Id="rId37" Type="http://schemas.openxmlformats.org/officeDocument/2006/relationships/hyperlink" Target="https://vicharkrantibooks.org/productdetail?book_name=ENGR0742_GUIDELINES_FOR_THE_ASPIRING_LOKSEVI_1st2008&amp;product_id=3482" TargetMode="External"/><Relationship Id="rId53" Type="http://schemas.openxmlformats.org/officeDocument/2006/relationships/hyperlink" Target="https://vicharkrantibooks.org/productdetail?book_name=EP_52_INFLUX_OF_GANGA_xxyyyy&amp;product_id=3445" TargetMode="External"/><Relationship Id="rId58" Type="http://schemas.openxmlformats.org/officeDocument/2006/relationships/hyperlink" Target="https://vicharkrantibooks.org/productdetail?book_name=ENGP0343_LOOSE_NOT_YOUR_HEART_xxyyyy&amp;product_id=3434" TargetMode="External"/><Relationship Id="rId74" Type="http://schemas.openxmlformats.org/officeDocument/2006/relationships/hyperlink" Target="https://vicharkrantibooks.org/productdetail?book_name=ENGB0212_PEARLS_OF_OCEAN_1st2013&amp;product_id=3535" TargetMode="External"/><Relationship Id="rId79" Type="http://schemas.openxmlformats.org/officeDocument/2006/relationships/hyperlink" Target="http://literature.awgp.org/book/Prepare_Yourself_to_Excel/v1" TargetMode="External"/><Relationship Id="rId102" Type="http://schemas.openxmlformats.org/officeDocument/2006/relationships/hyperlink" Target="http://literature.awgp.org/book/Super_Science_of_Gayatri/v1" TargetMode="External"/><Relationship Id="rId5" Type="http://schemas.openxmlformats.org/officeDocument/2006/relationships/hyperlink" Target="https://vicharkrantibooks.org/productdetail?book_name=ENGRE043_AWAKE_O%27TALENTED_AND_COME_FORWARD_RE2012&amp;product_id=3436" TargetMode="External"/><Relationship Id="rId90" Type="http://schemas.openxmlformats.org/officeDocument/2006/relationships/hyperlink" Target="https://vicharkrantibooks.org/productdetail?book_name=ENGB0207_ROAD_TO_PROGRESS_1st2013&amp;product_id=3531" TargetMode="External"/><Relationship Id="rId95" Type="http://schemas.openxmlformats.org/officeDocument/2006/relationships/hyperlink" Target="http://literature.awgp.org/book/sensitization_program_for_parents/v1" TargetMode="External"/><Relationship Id="rId22" Type="http://schemas.openxmlformats.org/officeDocument/2006/relationships/hyperlink" Target="http://literature.awgp.org/book/The_ExtraSensory_Potentials_of_mind/v1" TargetMode="External"/><Relationship Id="rId27" Type="http://schemas.openxmlformats.org/officeDocument/2006/relationships/hyperlink" Target="https://vicharkrantibooks.org/productdetail?book_name=ENGB0215_FRUITS_OF_CONTENTMENT_1st2013&amp;product_id=3534" TargetMode="External"/><Relationship Id="rId43" Type="http://schemas.openxmlformats.org/officeDocument/2006/relationships/hyperlink" Target="https://vicharkrantibooks.org/productdetail?book_name=ENGRE010_HUMAN_BRAIN_APPARENT_BOON_OF_THE_OMNIPOTENT_RE2011&amp;product_id=3403" TargetMode="External"/><Relationship Id="rId48" Type="http://schemas.openxmlformats.org/officeDocument/2006/relationships/hyperlink" Target="https://vicharkrantibooks.org/productdetail?book_name=ENGP0714_IN_THE_ANGELIC_LIGHT_OF_RISHI_THOUGHTS_3_xxyyyy&amp;product_id=3462" TargetMode="External"/><Relationship Id="rId64" Type="http://schemas.openxmlformats.org/officeDocument/2006/relationships/hyperlink" Target="https://vicharkrantibooks.org/productdetail?book_name=ENGP0817_MOTHERHOOD_REVERED_EVERY_WHERE_xxyyyy&amp;product_id=3502" TargetMode="External"/><Relationship Id="rId69" Type="http://schemas.openxmlformats.org/officeDocument/2006/relationships/hyperlink" Target="http://literature.awgp.org/book/Old_New_Herbal_Remedies/v1" TargetMode="External"/><Relationship Id="rId80" Type="http://schemas.openxmlformats.org/officeDocument/2006/relationships/hyperlink" Target="http://literature.awgp.org/book/PROBLEMS_OF_TODAY_SOLUTIONS_FOR_TOMORROW/v1" TargetMode="External"/><Relationship Id="rId85" Type="http://schemas.openxmlformats.org/officeDocument/2006/relationships/hyperlink" Target="https://vicharkrantibooks.org/productdetail?book_name=ENGB0219_RELY_ON_PRUDENCE_1st2013&amp;product_id=3528" TargetMode="External"/><Relationship Id="rId12" Type="http://schemas.openxmlformats.org/officeDocument/2006/relationships/hyperlink" Target="https://vicharkrantibooks.org/productdetail?book_name=ENGP0810_DETERMINATION_PAVES_THE_WAY_TO_SUCCESS_xxyyyy&amp;product_id=3508" TargetMode="External"/><Relationship Id="rId17" Type="http://schemas.openxmlformats.org/officeDocument/2006/relationships/hyperlink" Target="https://vicharkrantibooks.org/productdetail?book_name=ENGP0981_DON%E2%80%99T_SCARE_BUT_FIGHT_THE_ADVERSITIES_xxyyyy&amp;product_id=3514" TargetMode="External"/><Relationship Id="rId33" Type="http://schemas.openxmlformats.org/officeDocument/2006/relationships/hyperlink" Target="https://vicharkrantibooks.org/productdetail?product_id=3417" TargetMode="External"/><Relationship Id="rId38" Type="http://schemas.openxmlformats.org/officeDocument/2006/relationships/hyperlink" Target="https://vicharkrantibooks.org/productdetail?book_name=ENGP0863_HAMSA_YOGA_THE_ELIXIR_OF_SELF_REALIZATION_RE2011&amp;product_id=3440" TargetMode="External"/><Relationship Id="rId59" Type="http://schemas.openxmlformats.org/officeDocument/2006/relationships/hyperlink" Target="https://vicharkrantibooks.org/productdetail?book_name=ENGPE078_LOOSE_NOT_YOUR_HEART_COLOUR_RE2012&amp;product_id=3473" TargetMode="External"/><Relationship Id="rId103" Type="http://schemas.openxmlformats.org/officeDocument/2006/relationships/hyperlink" Target="http://literature.awgp.org/book/support_is_needed_for_self_evolution/v1" TargetMode="External"/><Relationship Id="rId108" Type="http://schemas.openxmlformats.org/officeDocument/2006/relationships/hyperlink" Target="http://literature.awgp.org/book/a_manual_of_hindu_marriage/v1" TargetMode="External"/><Relationship Id="rId20" Type="http://schemas.openxmlformats.org/officeDocument/2006/relationships/hyperlink" Target="https://vicharkrantibooks.org/productdetail?book_name=ENGR0976_ELITE_SHOULD_COME_FORWARD_TO_MANAGE_THE_RELIGIOUS_SET_UP_RE2011&amp;product_id=3402" TargetMode="External"/><Relationship Id="rId41" Type="http://schemas.openxmlformats.org/officeDocument/2006/relationships/hyperlink" Target="https://vicharkrantibooks.org/productdetail?book_name=ENGB0217_HONOURABLE_INCOME_1st2013&amp;product_id=3527" TargetMode="External"/><Relationship Id="rId54" Type="http://schemas.openxmlformats.org/officeDocument/2006/relationships/hyperlink" Target="https://vicharkrantibooks.org/productdetail?book_name=ENGB0211_INSPIRING_STORIES_1st2013&amp;product_id=3529" TargetMode="External"/><Relationship Id="rId62" Type="http://schemas.openxmlformats.org/officeDocument/2006/relationships/hyperlink" Target="https://vicharkrantibooks.org/productdetail?book_name=ENGRE059_MIRACLES_OF_CHARISMATIC_PRAYER_xxyyyy&amp;product_id=3451" TargetMode="External"/><Relationship Id="rId70" Type="http://schemas.openxmlformats.org/officeDocument/2006/relationships/hyperlink" Target="https://vicharkrantibooks.org/productdetail?book_name=ENGPE115_OVERALL_PROGRESS_OF_WOMEN_xxyyyy&amp;product_id=3500" TargetMode="External"/><Relationship Id="rId75" Type="http://schemas.openxmlformats.org/officeDocument/2006/relationships/hyperlink" Target="https://vicharkrantibooks.org/productdetail?book_name=ENGR0280_PRACTICAL_WAYS_TO_SHARPEN_THE_MEMORY_AND_INTALIC_(NEW)_2nd2016&amp;product_id=3496" TargetMode="External"/><Relationship Id="rId83" Type="http://schemas.openxmlformats.org/officeDocument/2006/relationships/hyperlink" Target="https://vicharkrantibooks.org/productdetail?book_name=ENGR0263_REJUVENATION_WITHOUT_MEDICINES_RE2014&amp;product_id=3480" TargetMode="External"/><Relationship Id="rId88" Type="http://schemas.openxmlformats.org/officeDocument/2006/relationships/hyperlink" Target="http://literature.awgp.org/book/The_Revival_of_Satyug_The_Golden_Age/v1" TargetMode="External"/><Relationship Id="rId91" Type="http://schemas.openxmlformats.org/officeDocument/2006/relationships/hyperlink" Target="https://vicharkrantibooks.org/productdetail?book_name=ENGP0480_SAGACIOUS_WOMEN_SHOULD_LEAD_WOMEN_LIBERATION_xxyyyy&amp;product_id=3504" TargetMode="External"/><Relationship Id="rId96" Type="http://schemas.openxmlformats.org/officeDocument/2006/relationships/hyperlink" Target="http://literature.awgp.org/book/Sleep_Dreams_Spiritual/v1" TargetMode="External"/><Relationship Id="rId1" Type="http://schemas.openxmlformats.org/officeDocument/2006/relationships/hyperlink" Target="http://literature.awgp.org/book/glimpse_of_golden_future/v2" TargetMode="External"/><Relationship Id="rId6" Type="http://schemas.openxmlformats.org/officeDocument/2006/relationships/hyperlink" Target="https://vicharkrantibooks.org/productdetail?book_name=ENGB0206_BE_GOOD_1st2013&amp;product_id=3519" TargetMode="External"/><Relationship Id="rId15" Type="http://schemas.openxmlformats.org/officeDocument/2006/relationships/hyperlink" Target="https://vicharkrantibooks.org/productdetail?product_id=3446" TargetMode="External"/><Relationship Id="rId23" Type="http://schemas.openxmlformats.org/officeDocument/2006/relationships/hyperlink" Target="https://vicharkrantibooks.org/productdetail?book_name=ENGP0069_FIGHT_YOUR_WEAKNESSES_BE_STRONG_xxyyyy&amp;product_id=3512" TargetMode="External"/><Relationship Id="rId28" Type="http://schemas.openxmlformats.org/officeDocument/2006/relationships/hyperlink" Target="https://vicharkrantibooks.org/productdetail?book_name=ENGPE035_GAYATRI_A_UNIQUE_SOLUTIONS_FOR_PROBLEMS_xxyyyy&amp;product_id=3428" TargetMode="External"/><Relationship Id="rId36" Type="http://schemas.openxmlformats.org/officeDocument/2006/relationships/hyperlink" Target="https://vicharkrantibooks.org/productdetail?book_name=ENGB0201_GOOD_THOUGHTS_1st2013&amp;product_id=3522" TargetMode="External"/><Relationship Id="rId49" Type="http://schemas.openxmlformats.org/officeDocument/2006/relationships/hyperlink" Target="https://vicharkrantibooks.org/productdetail?book_name=ENGP0715_IN_THE_ANGELIC_LIGHT_OF_RISHI_THOUGHTS_4_xxyyyy&amp;product_id=3463" TargetMode="External"/><Relationship Id="rId57" Type="http://schemas.openxmlformats.org/officeDocument/2006/relationships/hyperlink" Target="https://vicharkrantibooks.org/productdetail?book_name=ENGPE044_LISTEN_TO_MAHAKALS_CALL_xxyyyy&amp;product_id=3437" TargetMode="External"/><Relationship Id="rId106" Type="http://schemas.openxmlformats.org/officeDocument/2006/relationships/hyperlink" Target="https://vicharkrantibooks.org/productdetail?book_name=ENGR1423_THE_DEMAND_OF_THE_TIMES_xxyyyy&amp;product_id=3429" TargetMode="External"/><Relationship Id="rId10" Type="http://schemas.openxmlformats.org/officeDocument/2006/relationships/hyperlink" Target="https://vicharkrantibooks.org/productdetail?product_id=3497" TargetMode="External"/><Relationship Id="rId31" Type="http://schemas.openxmlformats.org/officeDocument/2006/relationships/hyperlink" Target="https://vicharkrantibooks.org/productdetail?product_id=3399" TargetMode="External"/><Relationship Id="rId44" Type="http://schemas.openxmlformats.org/officeDocument/2006/relationships/hyperlink" Target="https://vicharkrantibooks.org/productdetail?product_id=3454" TargetMode="External"/><Relationship Id="rId52" Type="http://schemas.openxmlformats.org/officeDocument/2006/relationships/hyperlink" Target="https://vicharkrantibooks.org/productdetail?book_name=ENGP0733_INCREASE_YOUR_MERITS_AND_OBSERVE_CIVILITY_xxyyyy&amp;product_id=3511" TargetMode="External"/><Relationship Id="rId60" Type="http://schemas.openxmlformats.org/officeDocument/2006/relationships/hyperlink" Target="http://literature.awgp.org/book/Married_Life_A_Perfect_Yoga/v1" TargetMode="External"/><Relationship Id="rId65" Type="http://schemas.openxmlformats.org/officeDocument/2006/relationships/hyperlink" Target="http://literature.awgp.org/book/music_the_nectar_of_life/v1" TargetMode="External"/><Relationship Id="rId73" Type="http://schemas.openxmlformats.org/officeDocument/2006/relationships/hyperlink" Target="https://vicharkrantibooks.org/productdetail?book_name=ENGPE042_PAUSE_AND_THINK_xxyyyy&amp;product_id=3435" TargetMode="External"/><Relationship Id="rId78" Type="http://schemas.openxmlformats.org/officeDocument/2006/relationships/hyperlink" Target="https://vicharkrantibooks.org/productdetail?book_name=ENGR0988_PRAGYA_YOGA_FOR_HAPPY_AND_HEALTHY_LIFE_RE2014&amp;product_id=3476" TargetMode="External"/><Relationship Id="rId81" Type="http://schemas.openxmlformats.org/officeDocument/2006/relationships/hyperlink" Target="https://vicharkrantibooks.org/productdetail?book_name=ENGR1584_REFINEMENT_OF_TALENTS_NEED_OF_THE_PRESENT_ERA_PART_1_RE2010&amp;product_id=3400" TargetMode="External"/><Relationship Id="rId86" Type="http://schemas.openxmlformats.org/officeDocument/2006/relationships/hyperlink" Target="https://vicharkrantibooks.org/productdetail?book_name=ENGP1015_RENOUNCE_THE_DEMONIAC_ADDICTION_xxyyyy&amp;product_id=3506" TargetMode="External"/><Relationship Id="rId94" Type="http://schemas.openxmlformats.org/officeDocument/2006/relationships/hyperlink" Target="https://vicharkrantibooks.org/productdetail?book_name=ENGP0676_SCIENTIFIC_APPROACH_TO_TALENT_GROWTH_xxyyyy&amp;product_id=3515" TargetMode="External"/><Relationship Id="rId99" Type="http://schemas.openxmlformats.org/officeDocument/2006/relationships/hyperlink" Target="https://vicharkrantibooks.org/productdetail?book_name=ENGP0605_STEER_THE_LIFE_FOR_DEFINITE_REWARDS_xxyyyy&amp;product_id=3513" TargetMode="External"/><Relationship Id="rId101" Type="http://schemas.openxmlformats.org/officeDocument/2006/relationships/hyperlink" Target="https://vicharkrantibooks.org/productdetail?book_name=ENGB0214_STORIES_OF_SAINTS_1st2013&amp;product_id=3530" TargetMode="External"/><Relationship Id="rId4" Type="http://schemas.openxmlformats.org/officeDocument/2006/relationships/hyperlink" Target="http://literature.awgp.org/book/astonishing_power_of_physical_subtle_energy_of_human/v1" TargetMode="External"/><Relationship Id="rId9" Type="http://schemas.openxmlformats.org/officeDocument/2006/relationships/hyperlink" Target="https://vicharkrantibooks.org/productdetail?book_name=ENGP0957_CHANGE_OF_THOUGHTS_CHANGES_THE_ERA_xxyyyy&amp;product_id=3486" TargetMode="External"/><Relationship Id="rId13" Type="http://schemas.openxmlformats.org/officeDocument/2006/relationships/hyperlink" Target="https://vicharkrantibooks.org/productdetail?book_name=ENGR1378_DIAGNOSE_CURE_AND_EMPOWER_YOUR_SELF_BY_CURRENT_OF_BREATH_RE2011&amp;product_id=3457" TargetMode="External"/><Relationship Id="rId18" Type="http://schemas.openxmlformats.org/officeDocument/2006/relationships/hyperlink" Target="https://vicharkrantibooks.org/productdetail?book_name=ENGR1152_DONATION_OF_TIME_THE_SUPREME_CHARITY_RE2011&amp;product_id=3411" TargetMode="External"/><Relationship Id="rId39" Type="http://schemas.openxmlformats.org/officeDocument/2006/relationships/hyperlink" Target="https://vicharkrantibooks.org/productdetail?book_name=ENGRE075_HEALTH_TIPS_FROM_THE_VEDAS_2nd2011&amp;product_id=3470" TargetMode="External"/><Relationship Id="rId34" Type="http://schemas.openxmlformats.org/officeDocument/2006/relationships/hyperlink" Target="https://vicharkrantibooks.org/productdetail?product_id=3453" TargetMode="External"/><Relationship Id="rId50" Type="http://schemas.openxmlformats.org/officeDocument/2006/relationships/hyperlink" Target="https://vicharkrantibooks.org/productdetail?book_name=ENGP0716_IN_THE_ANGELIC_LIGHT_OF_RISHI_THOUGHTS_5_xxyyyy&amp;product_id=3464" TargetMode="External"/><Relationship Id="rId55" Type="http://schemas.openxmlformats.org/officeDocument/2006/relationships/hyperlink" Target="http://literature.awgp.org/book/A_noble_Art_of_Living/v1" TargetMode="External"/><Relationship Id="rId76" Type="http://schemas.openxmlformats.org/officeDocument/2006/relationships/hyperlink" Target="https://vicharkrantibooks.org/productdetail?book_name=ENGBE073_PRAGYA_TALES_FOR_CHILDREN_PART_1_xx2011&amp;product_id=3468" TargetMode="External"/><Relationship Id="rId97" Type="http://schemas.openxmlformats.org/officeDocument/2006/relationships/hyperlink" Target="https://vicharkrantibooks.org/productdetail?book_name=ENGRE005_SPECTRUM_OF_KNOWLEDGE_KEY_TO_THE_ART_OF_LIVING_RE2010&amp;product_id=3398" TargetMode="External"/><Relationship Id="rId104" Type="http://schemas.openxmlformats.org/officeDocument/2006/relationships/hyperlink" Target="http://literature.awgp.org/book/support_is_needed_for_self_evolution/v1" TargetMode="External"/><Relationship Id="rId7" Type="http://schemas.openxmlformats.org/officeDocument/2006/relationships/hyperlink" Target="https://vicharkrantibooks.org/productdetail?book_name=ENGP0498_BE_SAVED_FROM_MENTAL_TENSION_xxyyyy&amp;product_id=3452" TargetMode="External"/><Relationship Id="rId71" Type="http://schemas.openxmlformats.org/officeDocument/2006/relationships/hyperlink" Target="http://literature.awgp.org/book/Para_Normal_Achievements_Through_Self_Discipline/v2" TargetMode="External"/><Relationship Id="rId92" Type="http://schemas.openxmlformats.org/officeDocument/2006/relationships/hyperlink" Target="https://vicharkrantibooks.org/productdetail?book_name=ENGBE104_SANSKARAM_2nd2012&amp;product_id=3492" TargetMode="External"/><Relationship Id="rId2" Type="http://schemas.openxmlformats.org/officeDocument/2006/relationships/hyperlink" Target="https://vicharkrantibooks.org/productdetail?book_name=ENGRE092_APPLIED_SCIENCE_OF_YAGYA_FOR_HEALTH_AND_ENVIRONMENT_RE2011&amp;product_id=3484" TargetMode="External"/><Relationship Id="rId29" Type="http://schemas.openxmlformats.org/officeDocument/2006/relationships/hyperlink" Target="https://vicharkrantibooks.org/productdetail?book_name=ENGP0279_GAYATRI_CHALISA_xxyyyy&amp;product_id=3416" TargetMode="External"/><Relationship Id="rId24" Type="http://schemas.openxmlformats.org/officeDocument/2006/relationships/hyperlink" Target="https://vicharkrantibooks.org/productdetail?book_name=ENGB0216_FIRM_ENDEAVOUR_1st2013&amp;product_id=3533" TargetMode="External"/><Relationship Id="rId40" Type="http://schemas.openxmlformats.org/officeDocument/2006/relationships/hyperlink" Target="https://vicharkrantibooks.org/productdetail?book_name=ENGPE095_HEALTH_WEALTH_AND_SPIRITUALITY_xxyyyy&amp;product_id=3487" TargetMode="External"/><Relationship Id="rId45" Type="http://schemas.openxmlformats.org/officeDocument/2006/relationships/hyperlink" Target="https://vicharkrantibooks.org/productdetail?book_name=ENGB0202_IDEAL_STORIES_1st2013&amp;product_id=3525" TargetMode="External"/><Relationship Id="rId66" Type="http://schemas.openxmlformats.org/officeDocument/2006/relationships/hyperlink" Target="https://vicharkrantibooks.org/productdetail?book_name=ENGP0559_NATURE_AND_OUTLINES_OF_WOMEN_EVOLUTION_xxyyyy&amp;product_id=3499" TargetMode="External"/><Relationship Id="rId87" Type="http://schemas.openxmlformats.org/officeDocument/2006/relationships/hyperlink" Target="https://vicharkrantibooks.org/productdetail?book_name=ENGB0210_RESULT_OF_COPYING_1st2013&amp;product_id=3520" TargetMode="External"/><Relationship Id="rId61" Type="http://schemas.openxmlformats.org/officeDocument/2006/relationships/hyperlink" Target="https://vicharkrantibooks.org/productdetail?book_name=ENGP0494_MENTAL_BALANCE_xxyyyy&amp;product_id=3431" TargetMode="External"/><Relationship Id="rId82" Type="http://schemas.openxmlformats.org/officeDocument/2006/relationships/hyperlink" Target="https://vicharkrantibooks.org/productdetail?book_name=ENGR1585_REFINEMENT_OF_TALENTS_NEED_OF_THE_PRESENT_ERA_PART_2_xx2009&amp;product_id=3401" TargetMode="External"/><Relationship Id="rId19" Type="http://schemas.openxmlformats.org/officeDocument/2006/relationships/hyperlink" Target="https://vicharkrantibooks.org/productdetail?book_name=ENGB0203_DROPS_OF_NECTAR_1st2013&amp;product_id=3523" TargetMode="External"/><Relationship Id="rId14" Type="http://schemas.openxmlformats.org/officeDocument/2006/relationships/hyperlink" Target="http://literature.awgp.org/book/vyavastha_buddhi_ki_garima/v2" TargetMode="External"/><Relationship Id="rId30" Type="http://schemas.openxmlformats.org/officeDocument/2006/relationships/hyperlink" Target="https://vicharkrantibooks.org/productdetail?book_name=ENGPE096_GAYATRI_MANTRA_THE_GENESIS_OF_DIVINE_CULTURE_xxyyyy&amp;product_id=3488" TargetMode="External"/><Relationship Id="rId35" Type="http://schemas.openxmlformats.org/officeDocument/2006/relationships/hyperlink" Target="https://vicharkrantibooks.org/productdetail?book_name=ENGPNOTM_GLORIOUS_PAST_AND_GLEAMING_FUTURE_OF_WOMEN_xxyyyy&amp;product_id=3455" TargetMode="External"/><Relationship Id="rId56" Type="http://schemas.openxmlformats.org/officeDocument/2006/relationships/hyperlink" Target="https://vicharkrantibooks.org/productdetail?book_name=ENGB0200_LET_US_KNOW_YUGRISHI_1st2013&amp;product_id=3516" TargetMode="External"/><Relationship Id="rId77" Type="http://schemas.openxmlformats.org/officeDocument/2006/relationships/hyperlink" Target="https://vicharkrantibooks.org/productdetail?book_name=ENGBE074_PRAGYA_TALES_FOR_CHILDREN_PART_2_RE2014&amp;product_id=3469" TargetMode="External"/><Relationship Id="rId100" Type="http://schemas.openxmlformats.org/officeDocument/2006/relationships/hyperlink" Target="https://vicharkrantibooks.org/productdetail?book_name=ENGPNOTM_STEPS_FOR_WOMEN_UPLIFTING_xxyyyy&amp;product_id=3456" TargetMode="External"/><Relationship Id="rId105" Type="http://schemas.openxmlformats.org/officeDocument/2006/relationships/hyperlink" Target="http://literature.awgp.org/book/the_absolute_law_of_karma/v1.1" TargetMode="External"/><Relationship Id="rId8" Type="http://schemas.openxmlformats.org/officeDocument/2006/relationships/hyperlink" Target="https://vicharkrantibooks.org/productdetail?book_name=ENGB0204_BHAGWAN_BUDDHA_1st2013&amp;product_id=3524" TargetMode="External"/><Relationship Id="rId51" Type="http://schemas.openxmlformats.org/officeDocument/2006/relationships/hyperlink" Target="https://vicharkrantibooks.org/productdetail?book_name=ENGP0717_IN_THE_ANGELIC_LIGHT_OF_RISHI_THOUGHTS_6_xxyyyy&amp;product_id=3465" TargetMode="External"/><Relationship Id="rId72" Type="http://schemas.openxmlformats.org/officeDocument/2006/relationships/hyperlink" Target="https://vicharkrantibooks.org/productdetail?book_name=ENGB0205_PATH_OF_GOODNESS_1st2013&amp;product_id=3517" TargetMode="External"/><Relationship Id="rId93" Type="http://schemas.openxmlformats.org/officeDocument/2006/relationships/hyperlink" Target="https://vicharkrantibooks.org/productdetail?book_name=ENGP0577_SATSANG_WILL_STRENGTHEN_WOMEN_UNITS_xxyyyy&amp;product_id=3505" TargetMode="External"/><Relationship Id="rId98" Type="http://schemas.openxmlformats.org/officeDocument/2006/relationships/hyperlink" Target="http://literature.awgp.org/book/spiritual_science_of_sex_element/v1" TargetMode="External"/><Relationship Id="rId3" Type="http://schemas.openxmlformats.org/officeDocument/2006/relationships/hyperlink" Target="https://vicharkrantibooks.org/productdetail?book_name=ENGP0968_ASSIGN_YOUR_GOALS_IN_STUDENT_LIFE_xxyyyy&amp;product_id=3507" TargetMode="External"/><Relationship Id="rId25" Type="http://schemas.openxmlformats.org/officeDocument/2006/relationships/hyperlink" Target="https://vicharkrantibooks.org/productdetails?book_name=ENGR1216_FORM_AND_SPIRIT_OF_VEDIC_RITUAL_WORSHIP_PROCEDURE_OF_YAGYA_xx2009&amp;product_id=3442" TargetMode="External"/><Relationship Id="rId46" Type="http://schemas.openxmlformats.org/officeDocument/2006/relationships/hyperlink" Target="https://vicharkrantibooks.org/productdetail?book_name=ENGP0712_IN_THE_ANGELIC_LIGHT_OF_RISHI_THOUGHTS_1_xxyyyy&amp;product_id=3460" TargetMode="External"/><Relationship Id="rId67" Type="http://schemas.openxmlformats.org/officeDocument/2006/relationships/hyperlink" Target="https://vicharkrantibooks.org/productdetail?book_name=ENGP0584_NO_OTHER_WAY_EXCEPT_WOMEN_EVOLUTION_xxyyyy&amp;product_id=3501"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vicharkrantibooks.org/productdetail?book_name=HINP0520_MANSAHAR_MANAVATA_KA_APAMAN_xx1978&amp;product_id=1085" TargetMode="External"/><Relationship Id="rId170" Type="http://schemas.openxmlformats.org/officeDocument/2006/relationships/hyperlink" Target="https://vicharkrantibooks.org/productdetail?book_name=HINP0150_BHARATIY_SANSKRUTI_EK_JIVAN_DARSHAN%20(POCKET)_xxyyyy&amp;product_id=715" TargetMode="External"/><Relationship Id="rId268" Type="http://schemas.openxmlformats.org/officeDocument/2006/relationships/hyperlink" Target="https://vicharkrantibooks.org/productdetail?product_id=3768" TargetMode="External"/><Relationship Id="rId475" Type="http://schemas.openxmlformats.org/officeDocument/2006/relationships/hyperlink" Target="https://vicharkrantibooks.org/productdetail?book_name=HINP0490_MANAHSTHITI_KA_BHOJAN_PAR_PRABHAV_xxyyyy&amp;product_id=1055" TargetMode="External"/><Relationship Id="rId682" Type="http://schemas.openxmlformats.org/officeDocument/2006/relationships/hyperlink" Target="https://vicharkrantibooks.org/productdetail?book_name=HINP0411_KAISE_HOGA_SAMANVAY_VIGYAN_AUR_ADHYATM_KA_xx2011&amp;product_id=976" TargetMode="External"/><Relationship Id="rId128" Type="http://schemas.openxmlformats.org/officeDocument/2006/relationships/hyperlink" Target="https://vicharkrantibooks.org/productdetail?product_id=3806" TargetMode="External"/><Relationship Id="rId335" Type="http://schemas.openxmlformats.org/officeDocument/2006/relationships/hyperlink" Target="https://vicharkrantibooks.org/productdetail?book_name=HINP0136_BHAGAVAN_BUDDH_KA_UTTARARDDH_PRAGYAVATAR_(POCKET)_xxyyyy&amp;product_id=701" TargetMode="External"/><Relationship Id="rId542" Type="http://schemas.openxmlformats.org/officeDocument/2006/relationships/hyperlink" Target="https://vicharkrantibooks.org/productdetail?book_name=HINF0019_AGYA_CHAKR_JAGAYEN_DIVY_DRUSHTI_PAYE_xxyyyy&amp;product_id=239" TargetMode="External"/><Relationship Id="rId987" Type="http://schemas.openxmlformats.org/officeDocument/2006/relationships/hyperlink" Target="https://vicharkrantibooks.org/productdetail?book_name=ENGPE035_GAYATRI_A_UNIQUE_SOLUTIONS_FOR_PROBLEMS_xxyyyy&amp;product_id=3428" TargetMode="External"/><Relationship Id="rId1172" Type="http://schemas.openxmlformats.org/officeDocument/2006/relationships/hyperlink" Target="https://vicharkrantibooks.org/productdetail?book_name=HINP0073_ASAN_UPACHAR_SE_AROGY_KI_PRAPTI_xx1981&amp;product_id=638" TargetMode="External"/><Relationship Id="rId402" Type="http://schemas.openxmlformats.org/officeDocument/2006/relationships/hyperlink" Target="https://vicharkrantibooks.org/productdetail?book_name=HINF0120_IKKISAVI_SADI_MANAVIY_BUDDHI_KO_CHUNAUTI_xxyyyy&amp;product_id=340" TargetMode="External"/><Relationship Id="rId847" Type="http://schemas.openxmlformats.org/officeDocument/2006/relationships/hyperlink" Target="https://vicharkrantibooks.org/productdetail?book_name=HINP0201_DAIVIY_SABHYATA_KA_VISTAR_KAREN_xx2011&amp;product_id=766" TargetMode="External"/><Relationship Id="rId1032" Type="http://schemas.openxmlformats.org/officeDocument/2006/relationships/hyperlink" Target="https://vicharkrantibooks.org/productdetail?book_name=ENGPE115_OVERALL_PROGRESS_OF_WOMEN_xxyyyy&amp;product_id=3500" TargetMode="External"/><Relationship Id="rId707" Type="http://schemas.openxmlformats.org/officeDocument/2006/relationships/hyperlink" Target="https://vicharkrantibooks.org/productdetail?book_name=HINP0175_BINA_SHART_ANUDAN_NAHI_xx2011&amp;product_id=740" TargetMode="External"/><Relationship Id="rId914" Type="http://schemas.openxmlformats.org/officeDocument/2006/relationships/hyperlink" Target="https://vicharkrantibooks.org/productdetail?book_name=HINP0002_AB_BACHCHE_KARENGE_YUG_NIRMAN_xxyyyy&amp;product_id=567" TargetMode="External"/><Relationship Id="rId43" Type="http://schemas.openxmlformats.org/officeDocument/2006/relationships/hyperlink" Target="https://vicharkrantibooks.org/productdetail?book_name=HINP0667_PRANAKARSHAN_YOG_xxyyyy&amp;product_id=1232" TargetMode="External"/><Relationship Id="rId192" Type="http://schemas.openxmlformats.org/officeDocument/2006/relationships/hyperlink" Target="https://vicharkrantibooks.org/productdetail?product_id=3783" TargetMode="External"/><Relationship Id="rId497" Type="http://schemas.openxmlformats.org/officeDocument/2006/relationships/hyperlink" Target="https://vicharkrantibooks.org/productdetail?book_name=HINP0730_SACHCHA_ADHYATM_AKHIR_HAI_KYA_xx2011&amp;product_id=1295" TargetMode="External"/><Relationship Id="rId357" Type="http://schemas.openxmlformats.org/officeDocument/2006/relationships/hyperlink" Target="https://vicharkrantibooks.org/productdetail?book_name=GUJP0334_APANI_ANTARCHETANA_JA_SACHI_GAYATRI_XXYYYY&amp;product_id=3796" TargetMode="External"/><Relationship Id="rId1194" Type="http://schemas.openxmlformats.org/officeDocument/2006/relationships/hyperlink" Target="https://vicharkrantibooks.org/productdetail?book_name=ENGP0713_IN_THE_ANGELIC_LIGHT_OF_RISHI_THOUGHTS_2_xxyyyy&amp;product_id=3461" TargetMode="External"/><Relationship Id="rId217" Type="http://schemas.openxmlformats.org/officeDocument/2006/relationships/hyperlink" Target="https://vicharkrantibooks.org/productdetail?book_name=HINP0255_DIVY_VIBHUTIYAN_SHRADDHALU_KO_HI_MILATI_HAI_xx1978&amp;product_id=820" TargetMode="External"/><Relationship Id="rId564" Type="http://schemas.openxmlformats.org/officeDocument/2006/relationships/hyperlink" Target="https://vicharkrantibooks.org/productdetail?book_name=HINP0599_NIKRUSHT_JIVAN_NA_JIYEN_xx1979&amp;product_id=1164" TargetMode="External"/><Relationship Id="rId771" Type="http://schemas.openxmlformats.org/officeDocument/2006/relationships/hyperlink" Target="https://vicharkrantibooks.org/productdetail?book_name=HINP0644_PATRATA_VIKASIT_KAREN_BHAGAVAN_KO_PRAPT_KAREN_xx2011&amp;product_id=1209" TargetMode="External"/><Relationship Id="rId869" Type="http://schemas.openxmlformats.org/officeDocument/2006/relationships/hyperlink" Target="https://vicharkrantibooks.org/productdetail?book_name=HINP0208_DESH_KA_NETA_KAISA_HO_xxyyyy&amp;product_id=773" TargetMode="External"/><Relationship Id="rId424" Type="http://schemas.openxmlformats.org/officeDocument/2006/relationships/hyperlink" Target="https://vicharkrantibooks.org/productdetail?book_name=HINP1015_VYASANON_KE_PISHACH_SE_BACHEN_xxyyyy&amp;product_id=1580" TargetMode="External"/><Relationship Id="rId631" Type="http://schemas.openxmlformats.org/officeDocument/2006/relationships/hyperlink" Target="https://vicharkrantibooks.org/productdetail?book_name=ENGP0810_DETERMINATION_PAVES_THE_WAY_TO_SUCCESS_xxyyyy&amp;product_id=3508" TargetMode="External"/><Relationship Id="rId729" Type="http://schemas.openxmlformats.org/officeDocument/2006/relationships/hyperlink" Target="https://vicharkrantibooks.org/productdetail?book_name=HINP0666_PRANAKARSHAN_PRANAYAM_xxyyyy&amp;product_id=1231" TargetMode="External"/><Relationship Id="rId1054" Type="http://schemas.openxmlformats.org/officeDocument/2006/relationships/hyperlink" Target="https://vicharkrantibooks.org/productdetail?book_name=HINP0197_CHIRAYAUVAN_KA_VARADAN_SABAKE_LIE_SULABH_xx1982&amp;product_id=762" TargetMode="External"/><Relationship Id="rId936" Type="http://schemas.openxmlformats.org/officeDocument/2006/relationships/hyperlink" Target="https://vicharkrantibooks.org/productdetail?book_name=HINP0051_ANTARIKSH_VIGYAN_EVAM_YUG_PRATYAVARTAN_xx1981&amp;product_id=616" TargetMode="External"/><Relationship Id="rId1121" Type="http://schemas.openxmlformats.org/officeDocument/2006/relationships/hyperlink" Target="https://vicharkrantibooks.org/productdetail?book_name=HINP0465_MAHAKAL_KA_GHONSALA_SHANTIKUNJ_xxyyyy&amp;product_id=1030" TargetMode="External"/><Relationship Id="rId1219" Type="http://schemas.openxmlformats.org/officeDocument/2006/relationships/hyperlink" Target="https://vicharkrantibooks.org/productdetail?book_name=HINP0596_NAVAYUG_KI_ADHARASHILA_SADBHAV_YUKT_SHRADDHA_xx1981&amp;product_id=1161" TargetMode="External"/><Relationship Id="rId65" Type="http://schemas.openxmlformats.org/officeDocument/2006/relationships/hyperlink" Target="https://vicharkrantibooks.org/productdetail?book_name=ENGB0214_STORIES_OF_SAINTS_1st2013&amp;product_id=3530" TargetMode="External"/><Relationship Id="rId281" Type="http://schemas.openxmlformats.org/officeDocument/2006/relationships/hyperlink" Target="https://vicharkrantibooks.org/productdetail?book_name=HINP0229_DHARM_APHIM_KI_GOLI_NAHI_HAI_xx1982&amp;product_id=794" TargetMode="External"/><Relationship Id="rId141" Type="http://schemas.openxmlformats.org/officeDocument/2006/relationships/hyperlink" Target="https://vicharkrantibooks.org/productdetail?book_name=HINP0292_GAYATRI_SADHANA_SAMBANDHI_SHANKA_SAMADHAN_xx1978&amp;product_id=857" TargetMode="External"/><Relationship Id="rId379" Type="http://schemas.openxmlformats.org/officeDocument/2006/relationships/hyperlink" Target="https://vicharkrantibooks.org/productdetail?book_name=GUJP1059_YUGRUSHINI_AMARVANI_BHAG_1_XXYYYY&amp;product_id=3980" TargetMode="External"/><Relationship Id="rId586" Type="http://schemas.openxmlformats.org/officeDocument/2006/relationships/hyperlink" Target="https://vicharkrantibooks.org/productdetail?book_name=HINP0523_MANUJ_DEVATA_BANE_xx2011&amp;product_id=1088" TargetMode="External"/><Relationship Id="rId793" Type="http://schemas.openxmlformats.org/officeDocument/2006/relationships/hyperlink" Target="https://vicharkrantibooks.org/productdetail?book_name=HINP0408_KAHIN_AP_JHAHAR_TO_NAHI_KHA_RAHE_HAI_xxyyyy&amp;product_id=973" TargetMode="External"/><Relationship Id="rId7" Type="http://schemas.openxmlformats.org/officeDocument/2006/relationships/hyperlink" Target="https://vicharkrantibooks.org/productdetail?book_name=HINP0997_VOTARON_KI_SATARKATA_PAR_PRAJATANTR_KI_SAPHALATA_NIRBHAR_xxyyyy&amp;product_id=1562" TargetMode="External"/><Relationship Id="rId239" Type="http://schemas.openxmlformats.org/officeDocument/2006/relationships/hyperlink" Target="https://vicharkrantibooks.org/productdetail?book_name=HINP0303_GAYATRI_YAGY_KA_TATVAGYAN_EVAM_PRERANAYEN_xx1982&amp;product_id=868" TargetMode="External"/><Relationship Id="rId446" Type="http://schemas.openxmlformats.org/officeDocument/2006/relationships/hyperlink" Target="https://vicharkrantibooks.org/productdetail?book_name=HINP1117_MAHAKAL_KI_BHAVISHYAVANI_xxyyyy&amp;product_id=1682" TargetMode="External"/><Relationship Id="rId653" Type="http://schemas.openxmlformats.org/officeDocument/2006/relationships/hyperlink" Target="https://vicharkrantibooks.org/productdetail?book_name=HINF0001_ABHIST_KSHAMATA_HO_TO_HI_PRAJANAN_KA_SAHAS_KAREN_xxyyyy&amp;product_id=221" TargetMode="External"/><Relationship Id="rId1076" Type="http://schemas.openxmlformats.org/officeDocument/2006/relationships/hyperlink" Target="https://vicharkrantibooks.org/productdetail?book_name=HINP0392_JIVAN_SADHANA_xxyyyy&amp;product_id=957" TargetMode="External"/><Relationship Id="rId306" Type="http://schemas.openxmlformats.org/officeDocument/2006/relationships/hyperlink" Target="https://vicharkrantibooks.org/productdetail?book_name=MRTP0981_SANKATANNA_GHABARU_NAKA_KHAMBIRAPANE_SAMANA_KARA_XXYYYY&amp;product_id=4350" TargetMode="External"/><Relationship Id="rId860" Type="http://schemas.openxmlformats.org/officeDocument/2006/relationships/hyperlink" Target="https://vicharkrantibooks.org/productdetail?book_name=HINP0059_APANE_ANG_AVAYAVON_SE_Re2015&amp;product_id=624" TargetMode="External"/><Relationship Id="rId958" Type="http://schemas.openxmlformats.org/officeDocument/2006/relationships/hyperlink" Target="https://vicharkrantibooks.org/productdetail?book_name=HINP0717_RUSHI_CHINTAN_KE_SANIDHYA_MEIN_06_(POCKET)_xxyyyy&amp;product_id=1282" TargetMode="External"/><Relationship Id="rId1143" Type="http://schemas.openxmlformats.org/officeDocument/2006/relationships/hyperlink" Target="https://vicharkrantibooks.org/productdetail?book_name=HINP0044_ANITI_KE_VIRODH_KA_SAHAS_JUTAEN_xxyyyy&amp;product_id=609" TargetMode="External"/><Relationship Id="rId87" Type="http://schemas.openxmlformats.org/officeDocument/2006/relationships/hyperlink" Target="https://vicharkrantibooks.org/productdetail?book_name=ENGB0201_GOOD_THOUGHTS_1st2013&amp;product_id=3522" TargetMode="External"/><Relationship Id="rId513" Type="http://schemas.openxmlformats.org/officeDocument/2006/relationships/hyperlink" Target="https://vicharkrantibooks.org/productdetail?book_name=HINP0719_RUSHI_CHINTAN_KE_SANIDHYA_MEIN_08_(POCKET)_xxyyyy&amp;product_id=1284" TargetMode="External"/><Relationship Id="rId720" Type="http://schemas.openxmlformats.org/officeDocument/2006/relationships/hyperlink" Target="https://vicharkrantibooks.org/productdetail?book_name=ENGRE075_HEALTH_TIPS_FROM_THE_VEDAS_2nd2011&amp;product_id=3470" TargetMode="External"/><Relationship Id="rId818" Type="http://schemas.openxmlformats.org/officeDocument/2006/relationships/hyperlink" Target="https://vicharkrantibooks.org/productdetail?book_name=HINP0052_ANTARJAGAT_KA_DEVASUR_SANGRAM_xx1978&amp;product_id=617" TargetMode="External"/><Relationship Id="rId1003" Type="http://schemas.openxmlformats.org/officeDocument/2006/relationships/hyperlink" Target="https://vicharkrantibooks.org/productdetail?book_name=HINP0926_UPASANA_KYON_AUR_KAISE_xx1981&amp;product_id=1491" TargetMode="External"/><Relationship Id="rId1210" Type="http://schemas.openxmlformats.org/officeDocument/2006/relationships/hyperlink" Target="https://vicharkrantibooks.org/productdetail?book_name=HINP0451_KUSASKARON_KI_PRATIKRIYA_KASHT_TANAV_AUR_VIKSHOBH_xx1982&amp;product_id=1016" TargetMode="External"/><Relationship Id="rId14" Type="http://schemas.openxmlformats.org/officeDocument/2006/relationships/hyperlink" Target="https://vicharkrantibooks.org/productdetail?book_name=HINP1059_YUG_RUSHI_KI_AMAR_VANI_BHAG_1_xxyyyy&amp;product_id=1624" TargetMode="External"/><Relationship Id="rId163" Type="http://schemas.openxmlformats.org/officeDocument/2006/relationships/hyperlink" Target="https://vicharkrantibooks.org/productdetail?product_id=3785" TargetMode="External"/><Relationship Id="rId370" Type="http://schemas.openxmlformats.org/officeDocument/2006/relationships/hyperlink" Target="https://vicharkrantibooks.org/productdetail?book_name=GUJP0401_JIVANT_VIBHUTIO_PASE_BHAVABHARI_APEKSHAO_XXYYYY&amp;product_id=3734" TargetMode="External"/><Relationship Id="rId230" Type="http://schemas.openxmlformats.org/officeDocument/2006/relationships/hyperlink" Target="https://vicharkrantibooks.org/productdetail?book_name=HINP0897_SWASTHY_SANVARDHAN_KI_DISHA_MEIN_DO_MAHATVAPURN_KADAM_xx1981&amp;product_id=1462" TargetMode="External"/><Relationship Id="rId468" Type="http://schemas.openxmlformats.org/officeDocument/2006/relationships/hyperlink" Target="https://vicharkrantibooks.org/productdetail?book_name=HINP0043_ANITI_EVAM_ANACHAR_MANAVI_PAURUS_KO_EK_CHUNAUTI_xx1981&amp;product_id=608" TargetMode="External"/><Relationship Id="rId675" Type="http://schemas.openxmlformats.org/officeDocument/2006/relationships/hyperlink" Target="https://vicharkrantibooks.org/productdetail?book_name=HINF0001_ABHIST_KSHAMATA_HO_TO_HI_PRAJANAN_KA_SAHAS_KAREN_xxyyyy&amp;product_id=221" TargetMode="External"/><Relationship Id="rId882" Type="http://schemas.openxmlformats.org/officeDocument/2006/relationships/hyperlink" Target="https://vicharkrantibooks.org/productdetail?book_name=HINP1024_YAH_BOL_RAHA_HAI_MAHAKAL_xxyyyy&amp;product_id=1589" TargetMode="External"/><Relationship Id="rId1098" Type="http://schemas.openxmlformats.org/officeDocument/2006/relationships/hyperlink" Target="https://vicharkrantibooks.org/productdetail?book_name=HINP0398_JIVAN_VYAVASAY_MEIN_ISHWAR_KI_SAZEDARI_xx1978&amp;product_id=963" TargetMode="External"/><Relationship Id="rId328" Type="http://schemas.openxmlformats.org/officeDocument/2006/relationships/hyperlink" Target="https://vicharkrantibooks.org/productdetail?book_name=HINF0121_IMANADARI_SARVATOMUKHI_PRAGATI_KI_SUNISHCHIT_NITI_xxyyyy&amp;product_id=341" TargetMode="External"/><Relationship Id="rId535" Type="http://schemas.openxmlformats.org/officeDocument/2006/relationships/hyperlink" Target="https://vicharkrantibooks.org/productdetail?book_name=HINP0075_ASHLILATA_HAMEN_PATIT_BANA_RAHI_HAI_xxyyyy&amp;product_id=640" TargetMode="External"/><Relationship Id="rId742" Type="http://schemas.openxmlformats.org/officeDocument/2006/relationships/hyperlink" Target="https://vicharkrantibooks.org/productdetail?book_name=ENGR0976_ELITE_SHOULD_COME_FORWARD_TO_MANAGE_THE_RELIGIOUS_SET_UP_RE2011&amp;product_id=3402" TargetMode="External"/><Relationship Id="rId1165" Type="http://schemas.openxmlformats.org/officeDocument/2006/relationships/hyperlink" Target="https://vicharkrantibooks.org/productdetail?book_name=HINP0098_ATMANUSHASAN_KA_PRASHIKSHAN_ADHYATM_KI_PATHASHALA_MEIN_xx1981&amp;product_id=663" TargetMode="External"/><Relationship Id="rId602" Type="http://schemas.openxmlformats.org/officeDocument/2006/relationships/hyperlink" Target="https://vicharkrantibooks.org/productdetail?book_name=HINP0001_AAO_GADHEN_SANSKARAVAN_PIDHI_(SMALL)_Re2016&amp;product_id=566" TargetMode="External"/><Relationship Id="rId1025" Type="http://schemas.openxmlformats.org/officeDocument/2006/relationships/hyperlink" Target="https://vicharkrantibooks.org/productdetail?book_name=HINP0031_AHANKAR_CHHODEN_VINAMR_BANEN_xxyyyy&amp;product_id=596" TargetMode="External"/><Relationship Id="rId1232" Type="http://schemas.openxmlformats.org/officeDocument/2006/relationships/hyperlink" Target="https://vicharkrantibooks.org/productdetail?book_name=HINP0254_DIVY_JADI_BUTIYON_MEIN_APAR_SHAKTI_xxyyyy&amp;product_id=819" TargetMode="External"/><Relationship Id="rId907" Type="http://schemas.openxmlformats.org/officeDocument/2006/relationships/hyperlink" Target="https://vicharkrantibooks.org/productdetail?book_name=HINP0403_JO_SATY_HAI_VAHI_SHIV_HAI_SUNDAR_HAI_xx1982&amp;product_id=968" TargetMode="External"/><Relationship Id="rId36" Type="http://schemas.openxmlformats.org/officeDocument/2006/relationships/hyperlink" Target="https://vicharkrantibooks.org/productdetail?book_name=ENGP0712_IN_THE_ANGELIC_LIGHT_OF_RISHI_THOUGHTS_1_xxyyyy&amp;product_id=3460" TargetMode="External"/><Relationship Id="rId185" Type="http://schemas.openxmlformats.org/officeDocument/2006/relationships/hyperlink" Target="https://vicharkrantibooks.org/productdetail?product_id=3948" TargetMode="External"/><Relationship Id="rId392" Type="http://schemas.openxmlformats.org/officeDocument/2006/relationships/hyperlink" Target="https://vicharkrantibooks.org/productdetail?book_name=GUJP0345_HARIYALI_PHELAVO_XXYYYY&amp;product_id=3964" TargetMode="External"/><Relationship Id="rId697" Type="http://schemas.openxmlformats.org/officeDocument/2006/relationships/hyperlink" Target="https://vicharkrantibooks.org/productdetail?book_name=HINP0971_VIGYAN_DHARM_KA_VIRODHI_NAHI_HO_SAKATA_xx1981&amp;product_id=1536" TargetMode="External"/><Relationship Id="rId252" Type="http://schemas.openxmlformats.org/officeDocument/2006/relationships/hyperlink" Target="https://drive.google.com/file/d/1NccXhcUsWMqR-yXJhzEih8BYrBfPiaUz/view?usp=sharing" TargetMode="External"/><Relationship Id="rId1187" Type="http://schemas.openxmlformats.org/officeDocument/2006/relationships/hyperlink" Target="https://vicharkrantibooks.org/productdetail?book_name=HINP0196_CHINTAN_KE_KSHAN_Re2012&amp;product_id=761" TargetMode="External"/><Relationship Id="rId112" Type="http://schemas.openxmlformats.org/officeDocument/2006/relationships/hyperlink" Target="https://vicharkrantibooks.org/productdetail?product_id=3906" TargetMode="External"/><Relationship Id="rId557" Type="http://schemas.openxmlformats.org/officeDocument/2006/relationships/hyperlink" Target="https://vicharkrantibooks.org/productdetail?book_name=HINP0042_ANITI_ASURATA_KE_ANYAY_KO_ROKEN_xxyyyy&amp;product_id=607" TargetMode="External"/><Relationship Id="rId764" Type="http://schemas.openxmlformats.org/officeDocument/2006/relationships/hyperlink" Target="https://vicharkrantibooks.org/productdetail?book_name=HINP0611_PANA_HAI_TO_DENA_SIKHO_xx2011&amp;product_id=1176" TargetMode="External"/><Relationship Id="rId971" Type="http://schemas.openxmlformats.org/officeDocument/2006/relationships/hyperlink" Target="https://vicharkrantibooks.org/productdetail?book_name=HINP0041_ANGANAVADI_LAGAEN_xxyyyy&amp;product_id=606" TargetMode="External"/><Relationship Id="rId417" Type="http://schemas.openxmlformats.org/officeDocument/2006/relationships/hyperlink" Target="https://vicharkrantibooks.org/productdetail?book_name=HINP0716_RUSHI_CHINTAN_KE_SANIDHYA_MEIN_05_(POCKET)_xxyyyy&amp;product_id=1281" TargetMode="External"/><Relationship Id="rId624" Type="http://schemas.openxmlformats.org/officeDocument/2006/relationships/hyperlink" Target="https://vicharkrantibooks.org/productdetail?book_name=HINF0097_EK_VARSH_KI_PRAGYA_PRAVAJYA_KA_VISHESH_AMANTRAN_xxyyyy&amp;product_id=317" TargetMode="External"/><Relationship Id="rId831" Type="http://schemas.openxmlformats.org/officeDocument/2006/relationships/hyperlink" Target="https://vicharkrantibooks.org/productdetail?book_name=HINP0066_APANE_KO_PAHACHANE_xxyyyy&amp;product_id=631" TargetMode="External"/><Relationship Id="rId1047" Type="http://schemas.openxmlformats.org/officeDocument/2006/relationships/hyperlink" Target="https://vicharkrantibooks.org/productdetail?book_name=HINP0680_PRATIK_PUJA_KA_VAIGYANIK_ADHAR_xx2011&amp;product_id=1245" TargetMode="External"/><Relationship Id="rId929" Type="http://schemas.openxmlformats.org/officeDocument/2006/relationships/hyperlink" Target="https://vicharkrantibooks.org/productdetail?book_name=HINP0937_UTKRUSHT_VICHARON_KA_SATAT_SANIDHY_xxyyyy&amp;product_id=1502" TargetMode="External"/><Relationship Id="rId1114" Type="http://schemas.openxmlformats.org/officeDocument/2006/relationships/hyperlink" Target="https://vicharkrantibooks.org/productdetail?book_name=HINP0061_APANE_APAKO_SAMAJ_KA_EK_ABHINN_ANG_MANENGE_AUR_SABAKE_HIT_MEIN_APANA_HIT_SAMAJHENGE_xxyyyy&amp;product_id=626" TargetMode="External"/><Relationship Id="rId58" Type="http://schemas.openxmlformats.org/officeDocument/2006/relationships/hyperlink" Target="https://vicharkrantibooks.org/productdetail?book_name=ENGR1000_GURUDEV_PROPHET_OF_NEW_ERA_xx2009&amp;product_id=3448" TargetMode="External"/><Relationship Id="rId274" Type="http://schemas.openxmlformats.org/officeDocument/2006/relationships/hyperlink" Target="https://vicharkrantibooks.org/productdetail?book_name=HINP0122_BACHCHON_KE_VIKAS_KE_LIE_ARAMBH_SE_HI_DHYAN_DIYA_JAY_xx1981&amp;product_id=687" TargetMode="External"/><Relationship Id="rId481" Type="http://schemas.openxmlformats.org/officeDocument/2006/relationships/hyperlink" Target="https://vicharkrantibooks.org/productdetail?book_name=HINP0031_AHANKAR_CHHODEN_VINAMR_BANEN_xxyyyy&amp;product_id=596" TargetMode="External"/><Relationship Id="rId134" Type="http://schemas.openxmlformats.org/officeDocument/2006/relationships/hyperlink" Target="https://vicharkrantibooks.org/productdetail?product_id=3925" TargetMode="External"/><Relationship Id="rId579" Type="http://schemas.openxmlformats.org/officeDocument/2006/relationships/hyperlink" Target="https://vicharkrantibooks.org/productdetail?book_name=HINP0681_PRATIK_UPASANA_EVAM_DEVADHIDEV_ATMADEV_KI_SADHANA_xxyyyy&amp;product_id=1246" TargetMode="External"/><Relationship Id="rId786" Type="http://schemas.openxmlformats.org/officeDocument/2006/relationships/hyperlink" Target="http://literature.awgp.org/book/the_absolute_law_of_karma/v1.1" TargetMode="External"/><Relationship Id="rId993" Type="http://schemas.openxmlformats.org/officeDocument/2006/relationships/hyperlink" Target="https://vicharkrantibooks.org/productdetail?book_name=HINP0094_ATMAHATYA_KYON_xxyyyy&amp;product_id=659" TargetMode="External"/><Relationship Id="rId341" Type="http://schemas.openxmlformats.org/officeDocument/2006/relationships/hyperlink" Target="https://vicharkrantibooks.org/productdetail?book_name=GUJP0885_VYAKTITVAVAN_BANO_POTANE_UNCHE_UTHAVO_XXYYYY&amp;product_id=3737" TargetMode="External"/><Relationship Id="rId439" Type="http://schemas.openxmlformats.org/officeDocument/2006/relationships/hyperlink" Target="https://vicharkrantibooks.org/productdetail?book_name=HINP0611_PANA_HAI_TO_DENA_SIKHO_xx2011&amp;product_id=1176" TargetMode="External"/><Relationship Id="rId646" Type="http://schemas.openxmlformats.org/officeDocument/2006/relationships/hyperlink" Target="https://vicharkrantibooks.org/productdetail?book_name=HINP0485_MALIKON_KO_JAGAO_PRAJANTR_BACHAO_xxyyyy&amp;product_id=1050" TargetMode="External"/><Relationship Id="rId1069" Type="http://schemas.openxmlformats.org/officeDocument/2006/relationships/hyperlink" Target="https://vicharkrantibooks.org/productdetail?book_name=HINP0439_KHINNATA_CHHODEN_PRASANNATA_APANAYEN_xx1982&amp;product_id=1004" TargetMode="External"/><Relationship Id="rId201" Type="http://schemas.openxmlformats.org/officeDocument/2006/relationships/hyperlink" Target="https://vicharkrantibooks.org/productdetail?book_name=HINP0031_AHANKAR_CHHODEN_VINAMR_BANEN_xxyyyy&amp;product_id=596" TargetMode="External"/><Relationship Id="rId506" Type="http://schemas.openxmlformats.org/officeDocument/2006/relationships/hyperlink" Target="https://vicharkrantibooks.org/productdetail?book_name=HINP0698_RAM_KA_NAM_HI_NAHIN_KAM_BHI_xx2011&amp;product_id=1263" TargetMode="External"/><Relationship Id="rId853" Type="http://schemas.openxmlformats.org/officeDocument/2006/relationships/hyperlink" Target="https://vicharkrantibooks.org/productdetail?book_name=HINP0594_NAVARATRI_KA_PAVAN_PARV_xx1980&amp;product_id=1159" TargetMode="External"/><Relationship Id="rId1136" Type="http://schemas.openxmlformats.org/officeDocument/2006/relationships/hyperlink" Target="https://vicharkrantibooks.org/productdetail?book_name=HINP0058_APANA_SWARG_NARAK_HUM_SVAYAM_BANATE_HAIN_xxyyyy&amp;product_id=623" TargetMode="External"/><Relationship Id="rId713" Type="http://schemas.openxmlformats.org/officeDocument/2006/relationships/hyperlink" Target="https://vicharkrantibooks.org/productdetail?book_name=ENGRE075_HEALTH_TIPS_FROM_THE_VEDAS_2nd2011&amp;product_id=3470" TargetMode="External"/><Relationship Id="rId920" Type="http://schemas.openxmlformats.org/officeDocument/2006/relationships/hyperlink" Target="https://vicharkrantibooks.org/productdetail?book_name=HINP0128_BAHARI_YOG_SE_ANTARYOG_ADHIK_SHREYASHAKAR_xxyyyy&amp;product_id=693" TargetMode="External"/><Relationship Id="rId1203" Type="http://schemas.openxmlformats.org/officeDocument/2006/relationships/hyperlink" Target="https://vicharkrantibooks.org/productdetail?book_name=HINP0047_ANTAH_KI_SADASAYATA_CHUKANE_NA_PAYE_xx1981&amp;product_id=612" TargetMode="External"/><Relationship Id="rId296" Type="http://schemas.openxmlformats.org/officeDocument/2006/relationships/hyperlink" Target="https://vicharkrantibooks.org/productdetail?book_name=HINF0030_ANU_MEIN_VIBHU_LAGHU_MEIN_MAHAN_xxyyyy&amp;product_id=250" TargetMode="External"/><Relationship Id="rId156" Type="http://schemas.openxmlformats.org/officeDocument/2006/relationships/hyperlink" Target="https://vicharkrantibooks.org/productdetail?book_name=HINF0098_EKAGRATA_KI_SHAKTI_AUR_USAKA_SUNIYOJAN_xxyyyy&amp;product_id=318" TargetMode="External"/><Relationship Id="rId363" Type="http://schemas.openxmlformats.org/officeDocument/2006/relationships/hyperlink" Target="https://vicharkrantibooks.org/productdetail?product_id=3751" TargetMode="External"/><Relationship Id="rId570" Type="http://schemas.openxmlformats.org/officeDocument/2006/relationships/hyperlink" Target="https://vicharkrantibooks.org/productdetail?book_name=HINP0814_SARVANASHI_MADYAPAN_xxyyyy&amp;product_id=1379" TargetMode="External"/><Relationship Id="rId223" Type="http://schemas.openxmlformats.org/officeDocument/2006/relationships/hyperlink" Target="https://vicharkrantibooks.org/productdetail?book_name=HINP0921_THREE_TRAITS_AND_FOUR_STEPS_TO_PROGRESS_xxyyyy&amp;product_id=3510" TargetMode="External"/><Relationship Id="rId430" Type="http://schemas.openxmlformats.org/officeDocument/2006/relationships/hyperlink" Target="https://vicharkrantibooks.org/productdetail?book_name=HINP0514_MANOBHAVON_KA_SWASTHY_PAR_PRABHAV_xxyyyy&amp;product_id=1079" TargetMode="External"/><Relationship Id="rId668" Type="http://schemas.openxmlformats.org/officeDocument/2006/relationships/hyperlink" Target="https://vicharkrantibooks.org/productdetail?book_name=HINF0026_ANTAHKARAN_KA_PARISHKAR_PRAKHAR_UPASANA_SE_HI_SAMBHAV_xxyyyy&amp;product_id=246" TargetMode="External"/><Relationship Id="rId875" Type="http://schemas.openxmlformats.org/officeDocument/2006/relationships/hyperlink" Target="https://vicharkrantibooks.org/productdetail?book_name=HINP0968_VIDHYARTHI_JIVAN_MEIN_APANA_LAKSHY_NIRDHARIT_KAREN_xxyyyy&amp;product_id=1533" TargetMode="External"/><Relationship Id="rId1060" Type="http://schemas.openxmlformats.org/officeDocument/2006/relationships/hyperlink" Target="https://vicharkrantibooks.org/productdetail?book_name=HINP0309_GOMUTR_SE_ROG_DUR_KARIE_xxyyyy&amp;product_id=874" TargetMode="External"/><Relationship Id="rId528" Type="http://schemas.openxmlformats.org/officeDocument/2006/relationships/hyperlink" Target="https://vicharkrantibooks.org/productdetail?book_name=HINP0608_OJAS_TEJAS_AUR_VARCHAS_KE_JAGARAN_KI_SADHANA_xx1981&amp;product_id=1173" TargetMode="External"/><Relationship Id="rId735" Type="http://schemas.openxmlformats.org/officeDocument/2006/relationships/hyperlink" Target="https://vicharkrantibooks.org/productdetail?product_id=3453" TargetMode="External"/><Relationship Id="rId942" Type="http://schemas.openxmlformats.org/officeDocument/2006/relationships/hyperlink" Target="https://vicharkrantibooks.org/productdetail?book_name=HINP0898_SWASTHY_SANVARDHAN_VYASAN_MUKTI_GIT_xxyyyy&amp;product_id=1463" TargetMode="External"/><Relationship Id="rId1158" Type="http://schemas.openxmlformats.org/officeDocument/2006/relationships/hyperlink" Target="https://vicharkrantibooks.org/productdetail?book_name=HINP0107_ATMIYATA_KA_AMRUT_AUR_USAKA_RASASVADAN_xx1981&amp;product_id=672" TargetMode="External"/><Relationship Id="rId1018" Type="http://schemas.openxmlformats.org/officeDocument/2006/relationships/hyperlink" Target="https://vicharkrantibooks.org/productdetail?book_name=HINP0925_UPASANA_KI_MAHATTA_AUR_USAKA_SWARUP_xx1981&amp;product_id=1490" TargetMode="External"/><Relationship Id="rId1225" Type="http://schemas.openxmlformats.org/officeDocument/2006/relationships/hyperlink" Target="https://vicharkrantibooks.org/productdetail?book_name=HINP0424_KARMAKAND_MEIN_CHHIPA_VYAKTITV_NIRMAN_KA_SHIKSHAN_xx2011&amp;product_id=989" TargetMode="External"/><Relationship Id="rId71" Type="http://schemas.openxmlformats.org/officeDocument/2006/relationships/hyperlink" Target="https://vicharkrantibooks.org/productdetail?book_name=ENGRE107_THE_LEGEND_OF_A_DIVINE_CAMPAIGN_1st2011&amp;product_id=3494" TargetMode="External"/><Relationship Id="rId802" Type="http://schemas.openxmlformats.org/officeDocument/2006/relationships/hyperlink" Target="https://vicharkrantibooks.org/productdetail?book_name=HINP0417_KAMANAEN_BHAGAVAN_KO_SAUNP_DEN_xx2011&amp;product_id=982" TargetMode="External"/><Relationship Id="rId29" Type="http://schemas.openxmlformats.org/officeDocument/2006/relationships/hyperlink" Target="https://vicharkrantibooks.org/productdetail?book_name=HINF0055_ATMIKI_KA_PUNARJIVAN_AJAKA_YUGADHARM_xxyyyy&amp;product_id=275" TargetMode="External"/><Relationship Id="rId178" Type="http://schemas.openxmlformats.org/officeDocument/2006/relationships/hyperlink" Target="https://vicharkrantibooks.org/productdetail?book_name=HINP0465_MAHAKAL_KA_GHONSALA_SHANTIKUNJ_xxyyyy&amp;product_id=1030" TargetMode="External"/><Relationship Id="rId385" Type="http://schemas.openxmlformats.org/officeDocument/2006/relationships/hyperlink" Target="https://vicharkrantibooks.org/productdetail?book_name=HINF0048_ATMAGYAN_KA_TATVADARSHAN_xxyyyy&amp;product_id=268" TargetMode="External"/><Relationship Id="rId592" Type="http://schemas.openxmlformats.org/officeDocument/2006/relationships/hyperlink" Target="https://vicharkrantibooks.org/productdetail?book_name=HINP0170_BHUT_PALIT_AUR_DEVI_DEVATAON_KA_BHRAM_JANJAL_xxyyyy&amp;product_id=735" TargetMode="External"/><Relationship Id="rId245" Type="http://schemas.openxmlformats.org/officeDocument/2006/relationships/hyperlink" Target="https://vicharkrantibooks.org/productdetail?book_name=HINP0336_HAMEN_MANASIK_CHINTAEN_KYON_GHERATI_HAIN_xxyyyy&amp;product_id=901" TargetMode="External"/><Relationship Id="rId452" Type="http://schemas.openxmlformats.org/officeDocument/2006/relationships/hyperlink" Target="https://vicharkrantibooks.org/productdetail?book_name=HINP0850_SHIKSHAK_APANA_DAYITV_SAMAJHEN_xxyyyy&amp;product_id=1415" TargetMode="External"/><Relationship Id="rId897" Type="http://schemas.openxmlformats.org/officeDocument/2006/relationships/hyperlink" Target="https://vicharkrantibooks.org/productdetail?book_name=HINP1060_YUG_RUSHI_KI_AMAR_VANI_BHAG_2_xxyyyy&amp;product_id=1625" TargetMode="External"/><Relationship Id="rId1082" Type="http://schemas.openxmlformats.org/officeDocument/2006/relationships/hyperlink" Target="https://vicharkrantibooks.org/productdetail?book_name=HINP0355_IKKISAVI_SADI_KI_YUG_SADHANA_xxyyyy&amp;product_id=920" TargetMode="External"/><Relationship Id="rId105" Type="http://schemas.openxmlformats.org/officeDocument/2006/relationships/hyperlink" Target="https://vicharkrantibooks.org/productdetail?book_name=HINP0500_MANAV_MEIN_DEVATV_KA_AVATARAN_xxyyyy&amp;product_id=1065" TargetMode="External"/><Relationship Id="rId312" Type="http://schemas.openxmlformats.org/officeDocument/2006/relationships/hyperlink" Target="https://vicharkrantibooks.org/productdetail?product_id=3906" TargetMode="External"/><Relationship Id="rId757" Type="http://schemas.openxmlformats.org/officeDocument/2006/relationships/hyperlink" Target="http://literature.awgp.org/book/deep_yagya/v1" TargetMode="External"/><Relationship Id="rId964" Type="http://schemas.openxmlformats.org/officeDocument/2006/relationships/hyperlink" Target="https://vicharkrantibooks.org/productdetail?book_name=HINP0938_UTKRUSHTATA_SAMPANN_DIVY_JIVAN_JIYEN_xx1981&amp;product_id=1503" TargetMode="External"/><Relationship Id="rId93" Type="http://schemas.openxmlformats.org/officeDocument/2006/relationships/hyperlink" Target="https://vicharkrantibooks.org/productdetail?product_id=3772" TargetMode="External"/><Relationship Id="rId189" Type="http://schemas.openxmlformats.org/officeDocument/2006/relationships/hyperlink" Target="https://vicharkrantibooks.org/productdetail?book_name=HINP0513_MANOBAL_BADHAEN_xxyyyy&amp;product_id=1078" TargetMode="External"/><Relationship Id="rId396" Type="http://schemas.openxmlformats.org/officeDocument/2006/relationships/hyperlink" Target="https://vicharkrantibooks.org/productdetail?book_name=ENGP0069_FIGHT_YOUR_WEAKNESSES_BE_STRONG_xxyyyy&amp;product_id=3512" TargetMode="External"/><Relationship Id="rId617" Type="http://schemas.openxmlformats.org/officeDocument/2006/relationships/hyperlink" Target="https://vicharkrantibooks.org/productdetail?book_name=HINP0142_BHAGAVAN_SHANKAR_KYA_HAI_xx2011&amp;product_id=707" TargetMode="External"/><Relationship Id="rId824" Type="http://schemas.openxmlformats.org/officeDocument/2006/relationships/hyperlink" Target="https://vicharkrantibooks.org/productdetail?book_name=HINP0640_PARV_TYAUHAR_EK_SAMAJIK_SANSKAR_xxyyyy&amp;product_id=1205" TargetMode="External"/><Relationship Id="rId256" Type="http://schemas.openxmlformats.org/officeDocument/2006/relationships/hyperlink" Target="https://vicharkrantibooks.org/productdetail?book_name=HINP0287_GAYATRI_MAHIMA_xxyyyy&amp;product_id=852" TargetMode="External"/><Relationship Id="rId463" Type="http://schemas.openxmlformats.org/officeDocument/2006/relationships/hyperlink" Target="https://vicharkrantibooks.org/productdetail?book_name=HINP0352_HUM_IMAN_SIKHATE_HAIN_xx2011&amp;product_id=917" TargetMode="External"/><Relationship Id="rId670" Type="http://schemas.openxmlformats.org/officeDocument/2006/relationships/hyperlink" Target="https://vicharkrantibooks.org/productdetail?book_name=HINF0123_IN_DINON_KA_PRAJANAN_VIPATTI_KA_AMANTRAN_xxyyyy&amp;product_id=343" TargetMode="External"/><Relationship Id="rId1093" Type="http://schemas.openxmlformats.org/officeDocument/2006/relationships/hyperlink" Target="https://vicharkrantibooks.org/productdetail?book_name=HINP0083_ASTIKATA_AUR_UPASANA_JIVAN_KA_ANIVARY_ANG_xxyyyy&amp;product_id=648" TargetMode="External"/><Relationship Id="rId1107" Type="http://schemas.openxmlformats.org/officeDocument/2006/relationships/hyperlink" Target="https://vicharkrantibooks.org/productdetail?book_name=HINP0072_ARTHIK_CHINTAON_KA_SAMADHAN_xxyyyy&amp;product_id=637" TargetMode="External"/><Relationship Id="rId116" Type="http://schemas.openxmlformats.org/officeDocument/2006/relationships/hyperlink" Target="https://vicharkrantibooks.org/productdetail?book_name=HINP1117_MAHAKAL_KI_BHAVISHYAVANI_xxyyyy&amp;product_id=1682" TargetMode="External"/><Relationship Id="rId323" Type="http://schemas.openxmlformats.org/officeDocument/2006/relationships/hyperlink" Target="https://vicharkrantibooks.org/productdetail?product_id=326" TargetMode="External"/><Relationship Id="rId530" Type="http://schemas.openxmlformats.org/officeDocument/2006/relationships/hyperlink" Target="https://vicharkrantibooks.org/productdetail?book_name=HINP0527_MANUSHY_KE_MULYANKAN_KA_ADHAR_ADHYATMIKATA_xx2011&amp;product_id=1092" TargetMode="External"/><Relationship Id="rId768" Type="http://schemas.openxmlformats.org/officeDocument/2006/relationships/hyperlink" Target="https://vicharkrantibooks.org/productdetail?book_name=ENGP0716_IN_THE_ANGELIC_LIGHT_OF_RISHI_THOUGHTS_5_xxyyyy&amp;product_id=3464" TargetMode="External"/><Relationship Id="rId975" Type="http://schemas.openxmlformats.org/officeDocument/2006/relationships/hyperlink" Target="https://vicharkrantibooks.org/productdetail?book_name=ENGP0715_IN_THE_ANGELIC_LIGHT_OF_RISHI_THOUGHTS_4_xxyyyy&amp;product_id=3463" TargetMode="External"/><Relationship Id="rId1160" Type="http://schemas.openxmlformats.org/officeDocument/2006/relationships/hyperlink" Target="https://vicharkrantibooks.org/productdetail?book_name=ENGPE040_WHY_SUICIDES_xxyyyy&amp;product_id=3433" TargetMode="External"/><Relationship Id="rId20" Type="http://schemas.openxmlformats.org/officeDocument/2006/relationships/hyperlink" Target="https://vicharkrantibooks.org/productdetail?book_name=GUJP0105_ATMIK_UNNTINA_CHAR_CHARAN_SADHANA_SWADHYAY_SANYAM_SEVA_XXYYYY&amp;product_id=3748" TargetMode="External"/><Relationship Id="rId628" Type="http://schemas.openxmlformats.org/officeDocument/2006/relationships/hyperlink" Target="https://vicharkrantibooks.org/productdetail?book_name=HINF0005_ADHY_SHAKTI_GAYATRI_YUG_SHAKTI_BHI_xxyyyy&amp;product_id=225" TargetMode="External"/><Relationship Id="rId835" Type="http://schemas.openxmlformats.org/officeDocument/2006/relationships/hyperlink" Target="http://literature.awgp.org/book/Vartaman_Chunautiyan_Au_rYuvavarga/v3" TargetMode="External"/><Relationship Id="rId267" Type="http://schemas.openxmlformats.org/officeDocument/2006/relationships/hyperlink" Target="https://vicharkrantibooks.org/productdetail?book_name=HINP0155_BHAV_KE_BHUKHE_HAIN_BHAGAVAN_xx1981&amp;product_id=720" TargetMode="External"/><Relationship Id="rId474" Type="http://schemas.openxmlformats.org/officeDocument/2006/relationships/hyperlink" Target="https://vicharkrantibooks.org/productdetail?book_name=HINP1008_VYAKTITV_NIRMAN_KA_PRARAMBHIK_CHARAN_KISHORAVASTHA_xx1981&amp;product_id=1573" TargetMode="External"/><Relationship Id="rId1020" Type="http://schemas.openxmlformats.org/officeDocument/2006/relationships/hyperlink" Target="https://vicharkrantibooks.org/productdetail?book_name=ENGPE098_FOUR_PILLARS_OF_SELF_DEVELOPMENTS_xxyyyy&amp;product_id=3490" TargetMode="External"/><Relationship Id="rId1118" Type="http://schemas.openxmlformats.org/officeDocument/2006/relationships/hyperlink" Target="https://vicharkrantibooks.org/productdetail?book_name=HINP0102_ATMAVISTAR_KA_PRASHIKSHAN_PARIWAR_RUPI_PATHASHALA_MEIN_xx1982&amp;product_id=667" TargetMode="External"/><Relationship Id="rId127" Type="http://schemas.openxmlformats.org/officeDocument/2006/relationships/hyperlink" Target="https://vicharkrantibooks.org/productdetail?product_id=3930" TargetMode="External"/><Relationship Id="rId681" Type="http://schemas.openxmlformats.org/officeDocument/2006/relationships/hyperlink" Target="https://vicharkrantibooks.org/productdetail?book_name=HINP0020_ADHYATM_URJA_KE_PRAKATIKARAN_KI_SADHANA_xx1981&amp;product_id=585" TargetMode="External"/><Relationship Id="rId779" Type="http://schemas.openxmlformats.org/officeDocument/2006/relationships/hyperlink" Target="https://vicharkrantibooks.org/productdetail?book_name=HINF0020_AHAMANYATA_MITE_DEVATV_KI_SADASHAYATA_VIKASE_xxyyyy&amp;product_id=240" TargetMode="External"/><Relationship Id="rId902" Type="http://schemas.openxmlformats.org/officeDocument/2006/relationships/hyperlink" Target="http://literature.awgp.org/book/support_is_needed_for_self_evolution/v1" TargetMode="External"/><Relationship Id="rId986" Type="http://schemas.openxmlformats.org/officeDocument/2006/relationships/hyperlink" Target="https://vicharkrantibooks.org/productdetail?book_name=HINP0299_GAYATRI_UPASANA_SE_PRAN_SHAKTI_KA_ABHIVARDHAN_xx1979&amp;product_id=864" TargetMode="External"/><Relationship Id="rId31" Type="http://schemas.openxmlformats.org/officeDocument/2006/relationships/hyperlink" Target="https://vicharkrantibooks.org/productdetail?book_name=HINP0711_RUGNTA_KA_MUL_KARAN_MANOVIKAR_xx1981&amp;product_id=1276" TargetMode="External"/><Relationship Id="rId334" Type="http://schemas.openxmlformats.org/officeDocument/2006/relationships/hyperlink" Target="https://vicharkrantibooks.org/productdetail?book_name=GUJP0740_SADHANAMA_VATAVARAN_ANE_SHRADDHANU_MAHATVA_XXYYYY&amp;product_id=3743" TargetMode="External"/><Relationship Id="rId541" Type="http://schemas.openxmlformats.org/officeDocument/2006/relationships/hyperlink" Target="https://vicharkrantibooks.org/productdetail?book_name=HINP0164_BHAY_MARAK_HAI_SAHAS_PARAKRAM_SANJIVANI_xxyyyy&amp;product_id=729" TargetMode="External"/><Relationship Id="rId639" Type="http://schemas.openxmlformats.org/officeDocument/2006/relationships/hyperlink" Target="https://vicharkrantibooks.org/productdetail?product_id=299" TargetMode="External"/><Relationship Id="rId1171" Type="http://schemas.openxmlformats.org/officeDocument/2006/relationships/hyperlink" Target="https://vicharkrantibooks.org/productdetail?book_name=HINF0049_ATMANIRMAN_JIVAN_KA_PRATHAM_SOPAN_xxyyyy&amp;product_id=269" TargetMode="External"/><Relationship Id="rId180" Type="http://schemas.openxmlformats.org/officeDocument/2006/relationships/hyperlink" Target="https://vicharkrantibooks.org/productdetail?book_name=HINP0586_BAJAT_BANA_KAR_KHARCH_KAREN_xx1981&amp;product_id=1151" TargetMode="External"/><Relationship Id="rId278" Type="http://schemas.openxmlformats.org/officeDocument/2006/relationships/hyperlink" Target="https://vicharkrantibooks.org/productdetail?book_name=HINP0761_SAMAJ_RUN_KO_CHUKANE_AGE_AYEN_xx1982&amp;product_id=1326" TargetMode="External"/><Relationship Id="rId401" Type="http://schemas.openxmlformats.org/officeDocument/2006/relationships/hyperlink" Target="https://vicharkrantibooks.org/productdetail?book_name=HINP0675_PRATIBHA_PARISHKAR_BANAM_YUG_PARIVARTAN_xxyyyy&amp;product_id=1240" TargetMode="External"/><Relationship Id="rId846" Type="http://schemas.openxmlformats.org/officeDocument/2006/relationships/hyperlink" Target="http://literature.awgp.org/book/Gayatri_Sadhana_Why_How/v2" TargetMode="External"/><Relationship Id="rId1031" Type="http://schemas.openxmlformats.org/officeDocument/2006/relationships/hyperlink" Target="https://vicharkrantibooks.org/productdetail?book_name=HINP0250_DHVANSH_KE_BINA_SRUJAN_KAISE_xx1982&amp;product_id=815" TargetMode="External"/><Relationship Id="rId1129" Type="http://schemas.openxmlformats.org/officeDocument/2006/relationships/hyperlink" Target="https://vicharkrantibooks.org/productdetail?book_name=HINP0266_EK_GHANTA_SAMAY_AUR_PACHAS_PAISA_NITY_xxyyyy&amp;product_id=831" TargetMode="External"/><Relationship Id="rId485" Type="http://schemas.openxmlformats.org/officeDocument/2006/relationships/hyperlink" Target="https://vicharkrantibooks.org/productdetail?book_name=HINF0309_VAK%E2%80%8C_SHAKTI_EVAM_MANTR_SIDDHI_xxyyyy&amp;product_id=529" TargetMode="External"/><Relationship Id="rId692" Type="http://schemas.openxmlformats.org/officeDocument/2006/relationships/hyperlink" Target="http://literature.awgp.org/book/era_of_divine_descent/v1" TargetMode="External"/><Relationship Id="rId706" Type="http://schemas.openxmlformats.org/officeDocument/2006/relationships/hyperlink" Target="https://vicharkrantibooks.org/productdetail?book_name=HINP0585_NARI_UTTHAN_KE_LIE_UTHEN_YE_KADAM_xxyyyy&amp;product_id=1150" TargetMode="External"/><Relationship Id="rId913" Type="http://schemas.openxmlformats.org/officeDocument/2006/relationships/hyperlink" Target="https://vicharkrantibooks.org/productdetail?book_name=HINP0806_SAPHAL_JIVAN_KI_DISHADHARA_(POCKET)_xxyyyy&amp;product_id=1371" TargetMode="External"/><Relationship Id="rId42" Type="http://schemas.openxmlformats.org/officeDocument/2006/relationships/hyperlink" Target="https://vicharkrantibooks.org/productdetail?book_name=HINP0617_PARAMARTH_MEIN_HI_SACHCHI_ISHWARADHANA_xx1982&amp;product_id=1182" TargetMode="External"/><Relationship Id="rId138" Type="http://schemas.openxmlformats.org/officeDocument/2006/relationships/hyperlink" Target="https://vicharkrantibooks.org/productdetail?book_name=HINP0311_GRAMIN_URJA_KA_SVAVALAMBI_STROT_GOBAR_EVAM_BAIL_xxyyyy&amp;product_id=876" TargetMode="External"/><Relationship Id="rId345" Type="http://schemas.openxmlformats.org/officeDocument/2006/relationships/hyperlink" Target="https://vicharkrantibooks.org/productdetail?book_name=HINP0638_PARIWARIK_PRAGATI_MEIN_HAR_SADASY_KA_YOGADAN_xx1982&amp;product_id=1203" TargetMode="External"/><Relationship Id="rId552" Type="http://schemas.openxmlformats.org/officeDocument/2006/relationships/hyperlink" Target="https://vicharkrantibooks.org/productdetail?book_name=HINP1109_GYANAYOG_KARMAYOG_BHAKTIYOG_xx1979&amp;product_id=1674" TargetMode="External"/><Relationship Id="rId997" Type="http://schemas.openxmlformats.org/officeDocument/2006/relationships/hyperlink" Target="https://vicharkrantibooks.org/productdetail?book_name=HINP0736_SADGYAN_KA_PRASAR_PRACHAR_HI_SACHCHI_ISHWARADHANA_xx1981&amp;product_id=1301" TargetMode="External"/><Relationship Id="rId1182" Type="http://schemas.openxmlformats.org/officeDocument/2006/relationships/hyperlink" Target="https://vicharkrantibooks.org/productdetail?book_name=HINP0005_ADHI_VYADHIYON_KI_BADH_AUR_UNAKI_ROKATHAM_xx1981&amp;product_id=570" TargetMode="External"/><Relationship Id="rId191" Type="http://schemas.openxmlformats.org/officeDocument/2006/relationships/hyperlink" Target="https://vicharkrantibooks.org/productdetail?book_name=HINP0088_ATATAYI_UDDANDATA_KA_DATAKAR_MUKABALA_KIYA_JAE_xxyyyy&amp;product_id=653" TargetMode="External"/><Relationship Id="rId205" Type="http://schemas.openxmlformats.org/officeDocument/2006/relationships/hyperlink" Target="https://vicharkrantibooks.org/productdetail?product_id=3923" TargetMode="External"/><Relationship Id="rId412" Type="http://schemas.openxmlformats.org/officeDocument/2006/relationships/hyperlink" Target="https://vicharkrantibooks.org/productdetail?book_name=MRTP0810_SAPHALATECHI_JANANI_SANKALP_SHAKTI_XXYYYY&amp;product_id=4346" TargetMode="External"/><Relationship Id="rId857" Type="http://schemas.openxmlformats.org/officeDocument/2006/relationships/hyperlink" Target="https://vicharkrantibooks.org/productdetail?book_name=HINP0244_DHARMATANTR_KA_PARISHKAR_ATYANT_ANIVARY_xx2011&amp;product_id=809" TargetMode="External"/><Relationship Id="rId1042" Type="http://schemas.openxmlformats.org/officeDocument/2006/relationships/hyperlink" Target="https://vicharkrantibooks.org/productdetail?book_name=HINP0316_GUNON_KA_PARISHKAR_HI_SACHCHI_BHAKTI_xx2011&amp;product_id=881" TargetMode="External"/><Relationship Id="rId289" Type="http://schemas.openxmlformats.org/officeDocument/2006/relationships/hyperlink" Target="https://vicharkrantibooks.org/productdetail?book_name=ENGB0203_DROPS_OF_NECTAR_1st2013&amp;product_id=3523" TargetMode="External"/><Relationship Id="rId496" Type="http://schemas.openxmlformats.org/officeDocument/2006/relationships/hyperlink" Target="https://vicharkrantibooks.org/productdetail?book_name=HINF0007_ADHYATM_AUR_VIGYAN_KE_SAMANVAY_KI_SHODH_PRAKRIYA_xxyyyy&amp;product_id=227" TargetMode="External"/><Relationship Id="rId717" Type="http://schemas.openxmlformats.org/officeDocument/2006/relationships/hyperlink" Target="https://vicharkrantibooks.org/productdetail?book_name=HINP0284_GAYATRI_MAHASHAKTI_KI_SARVOPAYOGI_UPASANA_xx1980&amp;product_id=849" TargetMode="External"/><Relationship Id="rId924" Type="http://schemas.openxmlformats.org/officeDocument/2006/relationships/hyperlink" Target="https://vicharkrantibooks.org/productdetail?book_name=HINP0278_GAYATRI_AUR_YAGY_KA_DARSHAN_MANAVAMATR_KE_LIE_xx2011&amp;product_id=843" TargetMode="External"/><Relationship Id="rId53" Type="http://schemas.openxmlformats.org/officeDocument/2006/relationships/hyperlink" Target="https://vicharkrantibooks.org/productdetail?book_name=HINP0497_MANASIK_SWASTHY_KO_BHI_SUDHAREN_xxyyyy&amp;product_id=1062" TargetMode="External"/><Relationship Id="rId149" Type="http://schemas.openxmlformats.org/officeDocument/2006/relationships/hyperlink" Target="https://vicharkrantibooks.org/productdetail?product_id=3924" TargetMode="External"/><Relationship Id="rId356" Type="http://schemas.openxmlformats.org/officeDocument/2006/relationships/hyperlink" Target="https://vicharkrantibooks.org/productdetail?book_name=GUJP0525_MANUSHY_MARG_BHULELO_DEVATA_XXYYYY&amp;product_id=3787" TargetMode="External"/><Relationship Id="rId563" Type="http://schemas.openxmlformats.org/officeDocument/2006/relationships/hyperlink" Target="https://vicharkrantibooks.org/productdetail?book_name=HINP0055_APANA_APA_KITANA_MAHAN_KITANA_SAMARTH_xx1982&amp;product_id=620" TargetMode="External"/><Relationship Id="rId770" Type="http://schemas.openxmlformats.org/officeDocument/2006/relationships/hyperlink" Target="https://vicharkrantibooks.org/productdetail?book_name=HINR0580_IKKISAVI_SADI_KA_GANGAVATARAN_Re2014&amp;product_id=2265" TargetMode="External"/><Relationship Id="rId1193" Type="http://schemas.openxmlformats.org/officeDocument/2006/relationships/hyperlink" Target="https://vicharkrantibooks.org/productdetail?book_name=HINP0028_ADHYATMVADI_BHAUTIKATA_APANAE_xx1979&amp;product_id=593" TargetMode="External"/><Relationship Id="rId1207" Type="http://schemas.openxmlformats.org/officeDocument/2006/relationships/hyperlink" Target="https://vicharkrantibooks.org/productdetail?book_name=HINP0887_SWADHYAY_JIVAN_KI_ANIVARY_AVASHYAKATA_xxyyyy&amp;product_id=1452" TargetMode="External"/><Relationship Id="rId216" Type="http://schemas.openxmlformats.org/officeDocument/2006/relationships/hyperlink" Target="https://vicharkrantibooks.org/productdetail?book_name=HINP0866_SRASHTA_KI_AVATARAN_PRAKRIYA_xx1981&amp;product_id=1431" TargetMode="External"/><Relationship Id="rId423" Type="http://schemas.openxmlformats.org/officeDocument/2006/relationships/hyperlink" Target="https://vicharkrantibooks.org/productdetail?book_name=HINP0322_GYAN_SARVASHRESHTH_VIBHUTI_xxyyyy&amp;product_id=887" TargetMode="External"/><Relationship Id="rId868" Type="http://schemas.openxmlformats.org/officeDocument/2006/relationships/hyperlink" Target="https://vicharkrantibooks.org/productdetail?book_name=HINP0238_DHARM_MANCH_SE_LOK_SHIKSHAN_xx2011&amp;product_id=803" TargetMode="External"/><Relationship Id="rId1053" Type="http://schemas.openxmlformats.org/officeDocument/2006/relationships/hyperlink" Target="https://vicharkrantibooks.org/productdetail?book_name=HINP0927_UPASANA_SADHANA_ARADHANA_xx2011&amp;product_id=1492" TargetMode="External"/><Relationship Id="rId630" Type="http://schemas.openxmlformats.org/officeDocument/2006/relationships/hyperlink" Target="https://vicharkrantibooks.org/productdetail?book_name=HINF0012_ADHYATM_SANSAR_KA_SABASE_LABHAKARAK_VYAPAR_xxyyyy&amp;product_id=232" TargetMode="External"/><Relationship Id="rId728" Type="http://schemas.openxmlformats.org/officeDocument/2006/relationships/hyperlink" Target="https://vicharkrantibooks.org/productdetail?book_name=HINF0043_ATINDRIY_SAMARTHY_EVAM_PARABRAHM_KI_VIDHI_VYAVASTHA_xxyyyy&amp;product_id=263" TargetMode="External"/><Relationship Id="rId935" Type="http://schemas.openxmlformats.org/officeDocument/2006/relationships/hyperlink" Target="https://vicharkrantibooks.org/productdetail?book_name=HINP0614_PANCH_TATVON_KA_SAMANVAY_HAMARA_SHARIR_xxyyyy&amp;product_id=1179" TargetMode="External"/><Relationship Id="rId64" Type="http://schemas.openxmlformats.org/officeDocument/2006/relationships/hyperlink" Target="https://vicharkrantibooks.org/productdetail?book_name=HINP0870_SUKH_BHOG_MEIN_NAHI_TYAG_MEIN_HAI_xx1982&amp;product_id=1435" TargetMode="External"/><Relationship Id="rId367" Type="http://schemas.openxmlformats.org/officeDocument/2006/relationships/hyperlink" Target="https://vicharkrantibooks.org/productdetail?book_name=GUJP0644_PATRATA_VIKASIT_KARO_BHAGAVANANE_MELAVO_XXYYYY&amp;product_id=3736" TargetMode="External"/><Relationship Id="rId574" Type="http://schemas.openxmlformats.org/officeDocument/2006/relationships/hyperlink" Target="https://vicharkrantibooks.org/productdetail?book_name=HINP0323_GYAN_YOG_KI_SADHANA_xxyyyy&amp;product_id=888" TargetMode="External"/><Relationship Id="rId1120" Type="http://schemas.openxmlformats.org/officeDocument/2006/relationships/hyperlink" Target="https://vicharkrantibooks.org/productdetail?book_name=HINP0026_ADHYATMIKATA_KA_PRAN_SADACHARAN_xx1982&amp;product_id=591" TargetMode="External"/><Relationship Id="rId1218" Type="http://schemas.openxmlformats.org/officeDocument/2006/relationships/hyperlink" Target="https://vicharkrantibooks.org/productdetail?book_name=HINP0020_ADHYATM_URJA_KE_PRAKATIKARAN_KI_SADHANA_xx1981&amp;product_id=585" TargetMode="External"/><Relationship Id="rId227" Type="http://schemas.openxmlformats.org/officeDocument/2006/relationships/hyperlink" Target="https://vicharkrantibooks.org/productdetail?book_name=HINP0773_SAMAY_KI_PUKAR_GYANAYAGY_xxyyyy&amp;product_id=1338" TargetMode="External"/><Relationship Id="rId781" Type="http://schemas.openxmlformats.org/officeDocument/2006/relationships/hyperlink" Target="https://vicharkrantibooks.org/productdetail?book_name=HINF0030_ANU_MEIN_VIBHU_LAGHU_MEIN_MAHAN_xxyyyy&amp;product_id=250" TargetMode="External"/><Relationship Id="rId879" Type="http://schemas.openxmlformats.org/officeDocument/2006/relationships/hyperlink" Target="http://literature.awgp.org/book/vyavastha_buddhi_ki_garima/v2" TargetMode="External"/><Relationship Id="rId434" Type="http://schemas.openxmlformats.org/officeDocument/2006/relationships/hyperlink" Target="https://vicharkrantibooks.org/productdetail?book_name=HINP0393_JIVAN_SADHANA_KAREN_DEVATA_BANEN_xx2011&amp;product_id=958" TargetMode="External"/><Relationship Id="rId641" Type="http://schemas.openxmlformats.org/officeDocument/2006/relationships/hyperlink" Target="https://vicharkrantibooks.org/productdetail?book_name=HINF0018_AGALE_DINON_BAHUT_BADE_KADAM_UTHANE_HONGE_xxyyyy&amp;product_id=238" TargetMode="External"/><Relationship Id="rId739" Type="http://schemas.openxmlformats.org/officeDocument/2006/relationships/hyperlink" Target="https://vicharkrantibooks.org/productdetail?book_name=ENGR1434_THE_MEANING_PURPOSE_AND_BENEFITS_OF_WORSHIP_RE2011&amp;product_id=3459" TargetMode="External"/><Relationship Id="rId1064" Type="http://schemas.openxmlformats.org/officeDocument/2006/relationships/hyperlink" Target="https://vicharkrantibooks.org/productdetail?book_name=ENGP0577_SATSANG_WILL_STRENGTHEN_WOMEN_UNITS_xxyyyy&amp;product_id=3505" TargetMode="External"/><Relationship Id="rId280" Type="http://schemas.openxmlformats.org/officeDocument/2006/relationships/hyperlink" Target="https://vicharkrantibooks.org/productdetail?book_name=HINP0328_HADAY_ROGON_KA_KARAN_AUR_NIVARAN_xxyyyy&amp;product_id=893" TargetMode="External"/><Relationship Id="rId501" Type="http://schemas.openxmlformats.org/officeDocument/2006/relationships/hyperlink" Target="https://vicharkrantibooks.org/productdetail?book_name=ENGP0968_ASSIGN_YOUR_GOALS_IN_STUDENT_LIFE_xxyyyy&amp;product_id=3507" TargetMode="External"/><Relationship Id="rId946" Type="http://schemas.openxmlformats.org/officeDocument/2006/relationships/hyperlink" Target="https://vicharkrantibooks.org/productdetail?book_name=HINP0603_NIROG_BANE_RAHANE_KE_SHASHVAT_SIDDHANT_xx1982&amp;product_id=1168" TargetMode="External"/><Relationship Id="rId1131" Type="http://schemas.openxmlformats.org/officeDocument/2006/relationships/hyperlink" Target="https://vicharkrantibooks.org/productdetail?book_name=HINP0060_APANE_AP_PAR_BHAROSA_KAREN_xx1978&amp;product_id=625" TargetMode="External"/><Relationship Id="rId1229" Type="http://schemas.openxmlformats.org/officeDocument/2006/relationships/hyperlink" Target="https://vicharkrantibooks.org/productdetail?book_name=HINP1058_YUG_PARIVARTAN_MEIN_SAMARTH_DIPYAGY_xx2011&amp;product_id=1623" TargetMode="External"/><Relationship Id="rId75" Type="http://schemas.openxmlformats.org/officeDocument/2006/relationships/hyperlink" Target="https://vicharkrantibooks.org/productdetail?product_id=3405" TargetMode="External"/><Relationship Id="rId140" Type="http://schemas.openxmlformats.org/officeDocument/2006/relationships/hyperlink" Target="https://vicharkrantibooks.org/productdetail?book_name=HINP1099_GAU_VANSH_KI_HATYA_KAISE_RUKEGI_xxyyyy&amp;product_id=1664" TargetMode="External"/><Relationship Id="rId378" Type="http://schemas.openxmlformats.org/officeDocument/2006/relationships/hyperlink" Target="https://vicharkrantibooks.org/productdetail?book_name=GUJP0243_DHARMATANTRANO_DURUPAYOG_ATKAVO_XXYYYY&amp;product_id=3732" TargetMode="External"/><Relationship Id="rId585" Type="http://schemas.openxmlformats.org/officeDocument/2006/relationships/hyperlink" Target="https://vicharkrantibooks.org/productdetail?book_name=HINP0395_JIVAN_SADHANA_KI_URJA_RASHAMIYAN_xxyyyy&amp;product_id=960" TargetMode="External"/><Relationship Id="rId792" Type="http://schemas.openxmlformats.org/officeDocument/2006/relationships/hyperlink" Target="https://vicharkrantibooks.org/productdetail?book_name=HINP0390_JIVAN_KO_UTKRUSHT_BANAO_xxyyyy&amp;product_id=955" TargetMode="External"/><Relationship Id="rId806" Type="http://schemas.openxmlformats.org/officeDocument/2006/relationships/hyperlink" Target="https://vicharkrantibooks.org/productdetail?book_name=HINP0412_KALA_KI_SHAKTI_LOKAMANGAL_MEIN_LAGE_xxyyyy&amp;product_id=977" TargetMode="External"/><Relationship Id="rId6" Type="http://schemas.openxmlformats.org/officeDocument/2006/relationships/hyperlink" Target="https://vicharkrantibooks.org/productdetail?book_name=HINP1100_DHARMATANTR_KO_PAKHAND_SE_BACHAEN_PRAGATISHIL_BANAEN_xxyyyy&amp;product_id=1665" TargetMode="External"/><Relationship Id="rId238" Type="http://schemas.openxmlformats.org/officeDocument/2006/relationships/hyperlink" Target="https://vicharkrantibooks.org/productdetail?book_name=ENGB0217_HONOURABLE_INCOME_1st2013&amp;product_id=3527" TargetMode="External"/><Relationship Id="rId445" Type="http://schemas.openxmlformats.org/officeDocument/2006/relationships/hyperlink" Target="https://vicharkrantibooks.org/productdetail?book_name=HINP1079_YOG_PRASUPT_KI_JAGRUTI_KA_UCHCHASTARIY_VIGYAN_xxyyyy&amp;product_id=1644" TargetMode="External"/><Relationship Id="rId652" Type="http://schemas.openxmlformats.org/officeDocument/2006/relationships/hyperlink" Target="https://vicharkrantibooks.org/productdetail?product_id=413" TargetMode="External"/><Relationship Id="rId1075" Type="http://schemas.openxmlformats.org/officeDocument/2006/relationships/hyperlink" Target="https://vicharkrantibooks.org/productdetail?book_name=HINP0079_ASTHASANKAT_RUPI_DURBHIKSH_AB_MITAKAR_HI_RAHAGA_xx1982&amp;product_id=644" TargetMode="External"/><Relationship Id="rId291" Type="http://schemas.openxmlformats.org/officeDocument/2006/relationships/hyperlink" Target="https://vicharkrantibooks.org/productdetail?book_name=ENGB0204_BHAGWAN_BUDDHA_1st2013&amp;product_id=3524" TargetMode="External"/><Relationship Id="rId305" Type="http://schemas.openxmlformats.org/officeDocument/2006/relationships/hyperlink" Target="https://vicharkrantibooks.org/productdetail?product_id=3750" TargetMode="External"/><Relationship Id="rId512" Type="http://schemas.openxmlformats.org/officeDocument/2006/relationships/hyperlink" Target="https://vicharkrantibooks.org/productdetail?book_name=HINP0457_LOK_SEVA_KI_PRAVRUTTIYON_KE_KENDR_HON_MANDIR_xx2011&amp;product_id=1022" TargetMode="External"/><Relationship Id="rId957" Type="http://schemas.openxmlformats.org/officeDocument/2006/relationships/hyperlink" Target="https://vicharkrantibooks.org/productdetail?book_name=HINP0253_DIRGH_JIVAN_KI_PRAPTI_xxyyyy&amp;product_id=818" TargetMode="External"/><Relationship Id="rId1142" Type="http://schemas.openxmlformats.org/officeDocument/2006/relationships/hyperlink" Target="https://vicharkrantibooks.org/productdetail?book_name=HINP0057_APANA_STAR_AUR_MAMATV_VIKASIT_KAREN_xx1981&amp;product_id=622" TargetMode="External"/><Relationship Id="rId86" Type="http://schemas.openxmlformats.org/officeDocument/2006/relationships/hyperlink" Target="https://vicharkrantibooks.org/productdetail?product_id=3814" TargetMode="External"/><Relationship Id="rId151" Type="http://schemas.openxmlformats.org/officeDocument/2006/relationships/hyperlink" Target="https://vicharkrantibooks.org/productdetail?product_id=3931" TargetMode="External"/><Relationship Id="rId389" Type="http://schemas.openxmlformats.org/officeDocument/2006/relationships/hyperlink" Target="https://vicharkrantibooks.org/productdetail?book_name=GUJP0070_APATTIKALNU_ADHYATM_XXYYYY&amp;product_id=3726" TargetMode="External"/><Relationship Id="rId596" Type="http://schemas.openxmlformats.org/officeDocument/2006/relationships/hyperlink" Target="https://vicharkrantibooks.org/productdetail?book_name=HINP0559_NARI_JAGARAN_KA_SWARUP_EVAM_RUPAREKHA_xxyyyy&amp;product_id=1124" TargetMode="External"/><Relationship Id="rId817" Type="http://schemas.openxmlformats.org/officeDocument/2006/relationships/hyperlink" Target="https://vicharkrantibooks.org/productdetail?book_name=HINP0356_IKKISAVI_SADI_NARI_PRADHAN_xxyyyy&amp;product_id=921" TargetMode="External"/><Relationship Id="rId1002" Type="http://schemas.openxmlformats.org/officeDocument/2006/relationships/hyperlink" Target="https://vicharkrantibooks.org/productdetail?book_name=ENGPNOTM_STEPS_FOR_WOMEN_UPLIFTING_xxyyyy&amp;product_id=3456" TargetMode="External"/><Relationship Id="rId249" Type="http://schemas.openxmlformats.org/officeDocument/2006/relationships/hyperlink" Target="https://vicharkrantibooks.org/productdetail?book_name=HINP1004_VRUKSHAROPAN_AUR_SANVARDHAN_EK_ATI_AVASHYAK_KARY_xxyyyy&amp;product_id=1569" TargetMode="External"/><Relationship Id="rId456" Type="http://schemas.openxmlformats.org/officeDocument/2006/relationships/hyperlink" Target="https://vicharkrantibooks.org/productdetail?book_name=HINP0722_RUSHI_CHINTAN_KE_SANIDHYA_MEIN_11_(POCKET)_xxyyyy&amp;product_id=1287" TargetMode="External"/><Relationship Id="rId663" Type="http://schemas.openxmlformats.org/officeDocument/2006/relationships/hyperlink" Target="https://vicharkrantibooks.org/productdetail?book_name=HINF0107_HAMARE_ACHARYAJI_EK_PARICHAY_xxyyyy&amp;product_id=327" TargetMode="External"/><Relationship Id="rId870" Type="http://schemas.openxmlformats.org/officeDocument/2006/relationships/hyperlink" Target="https://vicharkrantibooks.org/productdetail?book_name=HINP0057_APANA_STAR_AUR_MAMATV_VIKASIT_KAREN_xx1981&amp;product_id=622" TargetMode="External"/><Relationship Id="rId1086" Type="http://schemas.openxmlformats.org/officeDocument/2006/relationships/hyperlink" Target="https://vicharkrantibooks.org/productdetail?book_name=HINP0440_KITANU_NAHI_DUSHIT_MAL_HI_VYADHI_KA_KARAN_xxyyyy&amp;product_id=1005" TargetMode="External"/><Relationship Id="rId13" Type="http://schemas.openxmlformats.org/officeDocument/2006/relationships/hyperlink" Target="https://vicharkrantibooks.org/productdetail?book_name=HINF0002_ACHINTY_CHINTAN_SE_MANOBAL_NA_GAVAYEN_xxyyyy&amp;product_id=222" TargetMode="External"/><Relationship Id="rId109" Type="http://schemas.openxmlformats.org/officeDocument/2006/relationships/hyperlink" Target="https://vicharkrantibooks.org/productdetail?book_name=HINP0792_SANTAN_KI_SANKHYA_BADHANA_ATYANT_GHATAK_xxyyyy&amp;product_id=1357" TargetMode="External"/><Relationship Id="rId316" Type="http://schemas.openxmlformats.org/officeDocument/2006/relationships/hyperlink" Target="https://vicharkrantibooks.org/productdetail?book_name=HINP0792_SANTAN_KI_SANKHYA_BADHANA_ATYANT_GHATAK_xxyyyy&amp;product_id=1357" TargetMode="External"/><Relationship Id="rId523" Type="http://schemas.openxmlformats.org/officeDocument/2006/relationships/hyperlink" Target="https://vicharkrantibooks.org/productdetail?product_id=296" TargetMode="External"/><Relationship Id="rId968" Type="http://schemas.openxmlformats.org/officeDocument/2006/relationships/hyperlink" Target="https://vicharkrantibooks.org/productdetail?book_name=HINP0387_JIVAN_JINE_KI_KALA_xxyyyy&amp;product_id=952" TargetMode="External"/><Relationship Id="rId1153" Type="http://schemas.openxmlformats.org/officeDocument/2006/relationships/hyperlink" Target="https://vicharkrantibooks.org/productdetail?book_name=HINP0943_VAIGYANIK_ADHYATMVAD_Re2012&amp;product_id=1508" TargetMode="External"/><Relationship Id="rId97" Type="http://schemas.openxmlformats.org/officeDocument/2006/relationships/hyperlink" Target="https://vicharkrantibooks.org/productdetail?product_id=1059" TargetMode="External"/><Relationship Id="rId730" Type="http://schemas.openxmlformats.org/officeDocument/2006/relationships/hyperlink" Target="http://literature.awgp.org/book/The_Revival_of_Satyug_The_Golden_Age/v1" TargetMode="External"/><Relationship Id="rId828" Type="http://schemas.openxmlformats.org/officeDocument/2006/relationships/hyperlink" Target="https://vicharkrantibooks.org/productdetail?book_name=HINP0933_UTAR_CHADHAV_HI_JIVAN_HAI_xx1981&amp;product_id=1498" TargetMode="External"/><Relationship Id="rId1013" Type="http://schemas.openxmlformats.org/officeDocument/2006/relationships/hyperlink" Target="https://vicharkrantibooks.org/productdetail?book_name=HINP0226_DHANVANTARI_KARN_AUR_DADHICHI_HAMARE_VRUKSH_xxyyyy&amp;product_id=791" TargetMode="External"/><Relationship Id="rId162" Type="http://schemas.openxmlformats.org/officeDocument/2006/relationships/hyperlink" Target="https://vicharkrantibooks.org/productdetail?product_id=3951" TargetMode="External"/><Relationship Id="rId467" Type="http://schemas.openxmlformats.org/officeDocument/2006/relationships/hyperlink" Target="https://vicharkrantibooks.org/productdetail?book_name=HINP1115_TAPASHCHARYA_JIVAN_KO_KHARA_SONA_BANATI_HAIN_xx1979&amp;product_id=1680" TargetMode="External"/><Relationship Id="rId1097" Type="http://schemas.openxmlformats.org/officeDocument/2006/relationships/hyperlink" Target="https://vicharkrantibooks.org/productdetail?book_name=HINP0081_ASTIKATA_ADHYATMIKATA_DHARMIKATA_TRIPADA_KI_TIN_DIVY_PRERANAEN_xx1982&amp;product_id=646" TargetMode="External"/><Relationship Id="rId1220" Type="http://schemas.openxmlformats.org/officeDocument/2006/relationships/hyperlink" Target="https://vicharkrantibooks.org/productdetail?book_name=HINP0596_NAVAYUG_KI_ADHARASHILA_SADBHAV_YUKT_SHRADDHA_xx1981&amp;product_id=1161" TargetMode="External"/><Relationship Id="rId674" Type="http://schemas.openxmlformats.org/officeDocument/2006/relationships/hyperlink" Target="https://vicharkrantibooks.org/productdetail?product_id=367" TargetMode="External"/><Relationship Id="rId881" Type="http://schemas.openxmlformats.org/officeDocument/2006/relationships/hyperlink" Target="https://vicharkrantibooks.org/productdetail?book_name=ENGRE043_AWAKE_O%27TALENTED_AND_COME_FORWARD_RE2012&amp;product_id=3436" TargetMode="External"/><Relationship Id="rId979" Type="http://schemas.openxmlformats.org/officeDocument/2006/relationships/hyperlink" Target="https://vicharkrantibooks.org/productdetail?book_name=HINP1033_YUG_GAYAN_xx1982&amp;product_id=1598" TargetMode="External"/><Relationship Id="rId24" Type="http://schemas.openxmlformats.org/officeDocument/2006/relationships/hyperlink" Target="https://vicharkrantibooks.org/productdetail?book_name=ENGB0211_INSPIRING_STORIES_1st2013&amp;product_id=3529" TargetMode="External"/><Relationship Id="rId327" Type="http://schemas.openxmlformats.org/officeDocument/2006/relationships/hyperlink" Target="https://vicharkrantibooks.org/productdetail?book_name=HINF0009_ADHYATM_KA_LAKSHY_ADHAR_AUR_PRAYOG_xxyyyy&amp;product_id=229" TargetMode="External"/><Relationship Id="rId534" Type="http://schemas.openxmlformats.org/officeDocument/2006/relationships/hyperlink" Target="https://vicharkrantibooks.org/productdetail?book_name=HINP0646_PHALAHAR_SWASTHY_RAKSHAK_xxyyyy&amp;product_id=1211" TargetMode="External"/><Relationship Id="rId741" Type="http://schemas.openxmlformats.org/officeDocument/2006/relationships/hyperlink" Target="https://vicharkrantibooks.org/productdetail?book_name=HINP1061_YUG_RUSHI_KI_APEKSHAEN_HAM_SABASE_xxyyyy&amp;product_id=1626" TargetMode="External"/><Relationship Id="rId839" Type="http://schemas.openxmlformats.org/officeDocument/2006/relationships/hyperlink" Target="https://vicharkrantibooks.org/productdetail?book_name=HINP0170_BHUT_PALIT_AUR_DEVI_DEVATAON_KA_BHRAM_JANJAL_xxyyyy&amp;product_id=735" TargetMode="External"/><Relationship Id="rId1164" Type="http://schemas.openxmlformats.org/officeDocument/2006/relationships/hyperlink" Target="https://vicharkrantibooks.org/productdetail?book_name=HINP0096_ATMANIRMAN_JIVAN_KI_MAHAN_SAPHALATA_xx1978&amp;product_id=661" TargetMode="External"/><Relationship Id="rId173" Type="http://schemas.openxmlformats.org/officeDocument/2006/relationships/hyperlink" Target="https://vicharkrantibooks.org/productdetail?book_name=GUJP0012_ADHYATM_EK_PRAKARNU_YUDDH_XXYYYY&amp;product_id=3816" TargetMode="External"/><Relationship Id="rId380" Type="http://schemas.openxmlformats.org/officeDocument/2006/relationships/hyperlink" Target="https://vicharkrantibooks.org/productdetail?book_name=GUJP1039_YUG_NIRMAN_PARIVARANA_SABHYO_AA_RITE_VICHARE_XXYYYY&amp;product_id=3909" TargetMode="External"/><Relationship Id="rId601" Type="http://schemas.openxmlformats.org/officeDocument/2006/relationships/hyperlink" Target="https://vicharkrantibooks.org/productdetail?book_name=HINP0641_PATAN_NIVARAN_xxyyyy&amp;product_id=1206" TargetMode="External"/><Relationship Id="rId1024" Type="http://schemas.openxmlformats.org/officeDocument/2006/relationships/hyperlink" Target="https://vicharkrantibooks.org/productdetail?book_name=HINP0319_GYAN_KA_ALAKH_JAGAIE_xxyyyy&amp;product_id=884" TargetMode="External"/><Relationship Id="rId1231" Type="http://schemas.openxmlformats.org/officeDocument/2006/relationships/hyperlink" Target="https://vicharkrantibooks.org/productdetail?book_name=HINP0041_ANGANAVADI_LAGAEN_xxyyyy&amp;product_id=606" TargetMode="External"/><Relationship Id="rId240" Type="http://schemas.openxmlformats.org/officeDocument/2006/relationships/hyperlink" Target="https://vicharkrantibooks.org/productdetail?book_name=HINP0815_SARVASULABH_POSHAN_AHAR_SWASTHY_KA_ADHAR_xx1982&amp;product_id=1380" TargetMode="External"/><Relationship Id="rId478" Type="http://schemas.openxmlformats.org/officeDocument/2006/relationships/hyperlink" Target="https://vicharkrantibooks.org/productdetail?book_name=HINP0675_PRATIBHA_PARISHKAR_BANAM_YUG_PARIVARTAN_xxyyyy&amp;product_id=1240" TargetMode="External"/><Relationship Id="rId685" Type="http://schemas.openxmlformats.org/officeDocument/2006/relationships/hyperlink" Target="https://vicharkrantibooks.org/productdetail?book_name=HINP0653_PRAGATI_SHANTI_AUR_PRASANNATA_xx1981&amp;product_id=1218" TargetMode="External"/><Relationship Id="rId892" Type="http://schemas.openxmlformats.org/officeDocument/2006/relationships/hyperlink" Target="https://vicharkrantibooks.org/productdetail?book_name=HINP0495_MANASIK_SANTULAN_BANAE_RAKHE_xxyyyy&amp;product_id=1060" TargetMode="External"/><Relationship Id="rId906" Type="http://schemas.openxmlformats.org/officeDocument/2006/relationships/hyperlink" Target="https://vicharkrantibooks.org/productdetail?book_name=HINP0512_MANISHI_EVAM_RUSHI_KE_RUP_MEIN_HAMARI_PAROKSH_BHUMIKA_xxyyyy&amp;product_id=1077" TargetMode="External"/><Relationship Id="rId35" Type="http://schemas.openxmlformats.org/officeDocument/2006/relationships/hyperlink" Target="https://vicharkrantibooks.org/productdetail?product_id=3959" TargetMode="External"/><Relationship Id="rId100" Type="http://schemas.openxmlformats.org/officeDocument/2006/relationships/hyperlink" Target="https://vicharkrantibooks.org/productdetail?book_name=HINP1085_MANAVI_EKATA_MAIN_HI_KALYAN_xx1979&amp;product_id=1650" TargetMode="External"/><Relationship Id="rId338" Type="http://schemas.openxmlformats.org/officeDocument/2006/relationships/hyperlink" Target="https://vicharkrantibooks.org/productdetail?book_name=HINP0907_TIRTH_CHETANA_xxyyyy&amp;product_id=1472" TargetMode="External"/><Relationship Id="rId545" Type="http://schemas.openxmlformats.org/officeDocument/2006/relationships/hyperlink" Target="https://vicharkrantibooks.org/productdetail?book_name=HINF0045_ATM_CHETANA_KI_JAGRUTI_KA_GYAN_VIGYAN_xxyyyy&amp;product_id=265" TargetMode="External"/><Relationship Id="rId752" Type="http://schemas.openxmlformats.org/officeDocument/2006/relationships/hyperlink" Target="https://vicharkrantibooks.org/productdetail?book_name=HINF0033_APANE_SANSKRUTIK_GAURAV_KO_BHULEN_NAHIN_xxyyyy&amp;product_id=253" TargetMode="External"/><Relationship Id="rId1175" Type="http://schemas.openxmlformats.org/officeDocument/2006/relationships/hyperlink" Target="https://vicharkrantibooks.org/productdetail?book_name=ENGP0343_LOOSE_NOT_YOUR_HEART_xxyyyy&amp;product_id=3434" TargetMode="External"/><Relationship Id="rId184" Type="http://schemas.openxmlformats.org/officeDocument/2006/relationships/hyperlink" Target="https://vicharkrantibooks.org/productdetail?book_name=HINP0223_DEVATV_KA_UDAY_YUG_SADHANA_DVARA_xx1982&amp;product_id=788" TargetMode="External"/><Relationship Id="rId391" Type="http://schemas.openxmlformats.org/officeDocument/2006/relationships/hyperlink" Target="https://vicharkrantibooks.org/productdetail?book_name=GUJP0849_SHIKSHAN_VYAVASTHA_KEVI_HOY_XXYYYY&amp;product_id=3745" TargetMode="External"/><Relationship Id="rId405" Type="http://schemas.openxmlformats.org/officeDocument/2006/relationships/hyperlink" Target="https://vicharkrantibooks.org/productdetail?book_name=ENGP0609_OBSERVE_AND_ENFORCE_IN_LIFE_xxyyyy&amp;product_id=3509" TargetMode="External"/><Relationship Id="rId612" Type="http://schemas.openxmlformats.org/officeDocument/2006/relationships/hyperlink" Target="https://vicharkrantibooks.org/productdetail?book_name=HINP0140_BHAGAVAN_KI_PUNJI_MEIN_HISSEDAR_BANEN_xx2011&amp;product_id=705" TargetMode="External"/><Relationship Id="rId1035" Type="http://schemas.openxmlformats.org/officeDocument/2006/relationships/hyperlink" Target="https://vicharkrantibooks.org/productdetail?book_name=ENGR1423_THE_DEMAND_OF_THE_TIMES_xxyyyy&amp;product_id=3429" TargetMode="External"/><Relationship Id="rId1242" Type="http://schemas.openxmlformats.org/officeDocument/2006/relationships/hyperlink" Target="https://vicharkrantibooks.org/productdetail?book_name=HINP0253_DIRGH_JIVAN_KI_PRAPTI_xxyyyy&amp;product_id=818" TargetMode="External"/><Relationship Id="rId251" Type="http://schemas.openxmlformats.org/officeDocument/2006/relationships/hyperlink" Target="https://drive.google.com/file/d/1WUeRb3ax7B3IUEP0kBfBXJ87-BT8H0Wv/view?usp=sharing" TargetMode="External"/><Relationship Id="rId489" Type="http://schemas.openxmlformats.org/officeDocument/2006/relationships/hyperlink" Target="https://vicharkrantibooks.org/productdetail?book_name=HINP0720_RUSHI_CHINTAN_KE_SANIDHYA_MEIN_09_(POCKET)_xxyyyy&amp;product_id=1285" TargetMode="External"/><Relationship Id="rId696" Type="http://schemas.openxmlformats.org/officeDocument/2006/relationships/hyperlink" Target="https://vicharkrantibooks.org/productdetail?book_name=HINP0135_BHAGAVAN_AUR_BHAJAN_KA_MARM_xx2011&amp;product_id=700" TargetMode="External"/><Relationship Id="rId917" Type="http://schemas.openxmlformats.org/officeDocument/2006/relationships/hyperlink" Target="https://vicharkrantibooks.org/productdetail?book_name=HINP1038_YUG_NIRMAN_MISHAN_KE_PANCH_PRAMUKH_SANSTHAN_xxyyyy&amp;product_id=1603" TargetMode="External"/><Relationship Id="rId1102" Type="http://schemas.openxmlformats.org/officeDocument/2006/relationships/hyperlink" Target="https://vicharkrantibooks.org/productdetail?book_name=ENGP0717_IN_THE_ANGELIC_LIGHT_OF_RISHI_THOUGHTS_6_xxyyyy&amp;product_id=3465" TargetMode="External"/><Relationship Id="rId46" Type="http://schemas.openxmlformats.org/officeDocument/2006/relationships/hyperlink" Target="https://vicharkrantibooks.org/productdetail?book_name=HINP1052_YUG_PARIVARTAN_KA_VATAVARAN_BANANE_VIBHUTIVAN_AGE_AYE_xx1982&amp;product_id=1617" TargetMode="External"/><Relationship Id="rId349" Type="http://schemas.openxmlformats.org/officeDocument/2006/relationships/hyperlink" Target="https://vicharkrantibooks.org/productdetail?book_name=MRTR1432_UPASANA_ANI_SADHANA_YANCHA_SAMANVAY%20_XXYYYY&amp;product_id=4325" TargetMode="External"/><Relationship Id="rId556" Type="http://schemas.openxmlformats.org/officeDocument/2006/relationships/hyperlink" Target="https://vicharkrantibooks.org/productdetail?book_name=HINP0341_HAR_SUBAH_NAYA_JANM_HAR_RAT_NAYI_MAUT_xx2011&amp;product_id=906" TargetMode="External"/><Relationship Id="rId763" Type="http://schemas.openxmlformats.org/officeDocument/2006/relationships/hyperlink" Target="https://vicharkrantibooks.org/productdetail?book_name=HINP0368_JAGO_SHAKTI_SWARUPA_NARI_xxyyyy&amp;product_id=933" TargetMode="External"/><Relationship Id="rId1186" Type="http://schemas.openxmlformats.org/officeDocument/2006/relationships/hyperlink" Target="https://vicharkrantibooks.org/productdetail?book_name=HINP0390_JIVAN_KO_UTKRUSHT_BANAO_xxyyyy&amp;product_id=955" TargetMode="External"/><Relationship Id="rId111" Type="http://schemas.openxmlformats.org/officeDocument/2006/relationships/hyperlink" Target="https://vicharkrantibooks.org/productdetail?book_name=HINP0237_DHARM_KE_VASTAVIK_SWARUP_KO_SAMAJHA_JAE_xx1982&amp;product_id=802" TargetMode="External"/><Relationship Id="rId195" Type="http://schemas.openxmlformats.org/officeDocument/2006/relationships/hyperlink" Target="https://vicharkrantibooks.org/productdetail?book_name=HINP0987_VITAMIN_YUKT_AHAR_LEN_xxyyyy&amp;product_id=1552" TargetMode="External"/><Relationship Id="rId209" Type="http://schemas.openxmlformats.org/officeDocument/2006/relationships/hyperlink" Target="https://vicharkrantibooks.org/productdetail?product_id=3932" TargetMode="External"/><Relationship Id="rId416" Type="http://schemas.openxmlformats.org/officeDocument/2006/relationships/hyperlink" Target="https://vicharkrantibooks.org/productdetail?book_name=HINP0020_ADHYATM_URJA_KE_PRAKATIKARAN_KI_SADHANA_xx1981&amp;product_id=585" TargetMode="External"/><Relationship Id="rId970" Type="http://schemas.openxmlformats.org/officeDocument/2006/relationships/hyperlink" Target="https://vicharkrantibooks.org/productdetail?book_name=HINP0625_PARISHKRUT_MANAHSTHITI_HI_SWARG_HAI_xx2011&amp;product_id=1190" TargetMode="External"/><Relationship Id="rId1046" Type="http://schemas.openxmlformats.org/officeDocument/2006/relationships/hyperlink" Target="https://vicharkrantibooks.org/productdetail?book_name=HINP0438_KHILAUNONE_ADHYATM_KA_SATYANASH_KAR_DIYA_xx2011&amp;product_id=1003" TargetMode="External"/><Relationship Id="rId623" Type="http://schemas.openxmlformats.org/officeDocument/2006/relationships/hyperlink" Target="https://vicharkrantibooks.org/productdetail?book_name=ENGP0981_DON%E2%80%99T_SCARE_BUT_FIGHT_THE_ADVERSITIES_xxyyyy&amp;product_id=3514" TargetMode="External"/><Relationship Id="rId830" Type="http://schemas.openxmlformats.org/officeDocument/2006/relationships/hyperlink" Target="http://literature.awgp.org/book/the_glory_of_human_life/v1" TargetMode="External"/><Relationship Id="rId928" Type="http://schemas.openxmlformats.org/officeDocument/2006/relationships/hyperlink" Target="http://literature.awgp.org/book/deep_yagya/v1" TargetMode="External"/><Relationship Id="rId57" Type="http://schemas.openxmlformats.org/officeDocument/2006/relationships/hyperlink" Target="https://vicharkrantibooks.org/productdetail?book_name=ENGR0988_PRAGYA_YOGA_FOR_HAPPY_AND_HEALTHY_LIFE_RE2014&amp;product_id=3476" TargetMode="External"/><Relationship Id="rId262" Type="http://schemas.openxmlformats.org/officeDocument/2006/relationships/hyperlink" Target="https://vicharkrantibooks.org/productdetail?book_name=HINP0688_PREM_BHAVANA_MANAV_JIVAN_KI_SARVOPARI_SHAKTI_xx1981&amp;product_id=1253" TargetMode="External"/><Relationship Id="rId567" Type="http://schemas.openxmlformats.org/officeDocument/2006/relationships/hyperlink" Target="https://vicharkrantibooks.org/productdetail?book_name=HINF0016_ADHYATMIK_VIGYAN_KI_BHI_PRAGATI_HO_xxyyyy&amp;product_id=236" TargetMode="External"/><Relationship Id="rId1113" Type="http://schemas.openxmlformats.org/officeDocument/2006/relationships/hyperlink" Target="https://vicharkrantibooks.org/productdetail?book_name=HINP0027_ADHYATMIKATA_VYAVAHAR_MEIN_UTARE_xx1982&amp;product_id=592" TargetMode="External"/><Relationship Id="rId1197" Type="http://schemas.openxmlformats.org/officeDocument/2006/relationships/hyperlink" Target="https://vicharkrantibooks.org/productdetail?book_name=ENGP0712_IN_THE_ANGELIC_LIGHT_OF_RISHI_THOUGHTS_1_xxyyyy&amp;product_id=3460" TargetMode="External"/><Relationship Id="rId122" Type="http://schemas.openxmlformats.org/officeDocument/2006/relationships/hyperlink" Target="https://vicharkrantibooks.org/productdetail?book_name=HINP0217_DEVAPUJAN_KA_MARM_SAMAJHEN_xx2011&amp;product_id=782" TargetMode="External"/><Relationship Id="rId774" Type="http://schemas.openxmlformats.org/officeDocument/2006/relationships/hyperlink" Target="https://vicharkrantibooks.org/productdetail?book_name=HINR1135_SAMAGR_SWASTHY_SANVARDHAN_KAISE_Re2014&amp;product_id=2820" TargetMode="External"/><Relationship Id="rId981" Type="http://schemas.openxmlformats.org/officeDocument/2006/relationships/hyperlink" Target="https://vicharkrantibooks.org/productdetail?book_name=HINP0035_AKANKSHAEN_NIYANTRIT_AUR_SODDESHY_HO_xx1982&amp;product_id=600" TargetMode="External"/><Relationship Id="rId1057" Type="http://schemas.openxmlformats.org/officeDocument/2006/relationships/hyperlink" Target="https://vicharkrantibooks.org/productdetail?book_name=HINP0634_PARIWAR_NIRMAN_KE_SWARNIM_SUTR_xxyyyy&amp;product_id=1199" TargetMode="External"/><Relationship Id="rId427" Type="http://schemas.openxmlformats.org/officeDocument/2006/relationships/hyperlink" Target="https://vicharkrantibooks.org/productdetail?book_name=HINP0465_MAHAKAL_KA_GHONSALA_SHANTIKUNJ_xxyyyy&amp;product_id=1030" TargetMode="External"/><Relationship Id="rId634" Type="http://schemas.openxmlformats.org/officeDocument/2006/relationships/hyperlink" Target="https://vicharkrantibooks.org/productdetail?book_name=HINP0605_NISHCHIT_PHALADAYI_JIVAN_SADHANA_xxyyyy&amp;product_id=1170" TargetMode="External"/><Relationship Id="rId841" Type="http://schemas.openxmlformats.org/officeDocument/2006/relationships/hyperlink" Target="https://vicharkrantibooks.org/productdetail?book_name=HINP0161_BHAVI_MAHABHARAT_IS_TARAH_LADA_JAYEGA_xx2011&amp;product_id=726" TargetMode="External"/><Relationship Id="rId273" Type="http://schemas.openxmlformats.org/officeDocument/2006/relationships/hyperlink" Target="https://vicharkrantibooks.org/productdetail?book_name=HINP0026_ADHYATMIKATA_KA_PRAN_SADACHARAN_xx1982&amp;product_id=591" TargetMode="External"/><Relationship Id="rId480" Type="http://schemas.openxmlformats.org/officeDocument/2006/relationships/hyperlink" Target="https://vicharkrantibooks.org/productdetail?book_name=ENGP0810_DETERMINATION_PAVES_THE_WAY_TO_SUCCESS_xxyyyy&amp;product_id=3508" TargetMode="External"/><Relationship Id="rId701" Type="http://schemas.openxmlformats.org/officeDocument/2006/relationships/hyperlink" Target="https://vicharkrantibooks.org/productdetail?book_name=HINP0110_ATMTEJOBALAM_BALAM_xx1979&amp;product_id=675" TargetMode="External"/><Relationship Id="rId939" Type="http://schemas.openxmlformats.org/officeDocument/2006/relationships/hyperlink" Target="https://vicharkrantibooks.org/productdetail?book_name=HINP0123_BACHCHON_KE_VYAKTITV_KA_VIKAS_KAISE_KAREN_xx2011&amp;product_id=688" TargetMode="External"/><Relationship Id="rId1124" Type="http://schemas.openxmlformats.org/officeDocument/2006/relationships/hyperlink" Target="https://vicharkrantibooks.org/productdetail?book_name=HINP0025_ADHYATMIK_SAMYAVAD_xx1978&amp;product_id=590" TargetMode="External"/><Relationship Id="rId68" Type="http://schemas.openxmlformats.org/officeDocument/2006/relationships/hyperlink" Target="https://vicharkrantibooks.org/productdetail?book_name=HINF0260_SHABD_EK_PRACHAND_URJA_SHAKTI_KA_BHANDAR_xxyyyy&amp;product_id=480" TargetMode="External"/><Relationship Id="rId133" Type="http://schemas.openxmlformats.org/officeDocument/2006/relationships/hyperlink" Target="https://vicharkrantibooks.org/productdetail?book_name=HINP0662_PRAMANIK_AUR_VISHVASANIY_BANEN_xxyyyy&amp;product_id=1227" TargetMode="External"/><Relationship Id="rId340" Type="http://schemas.openxmlformats.org/officeDocument/2006/relationships/hyperlink" Target="https://vicharkrantibooks.org/productdetail?book_name=ENGP0716_IN_THE_ANGELIC_LIGHT_OF_RISHI_THOUGHTS_5_xxyyyy&amp;product_id=3464" TargetMode="External"/><Relationship Id="rId578" Type="http://schemas.openxmlformats.org/officeDocument/2006/relationships/hyperlink" Target="https://vicharkrantibooks.org/productdetail?book_name=HINP1034_YUG_KE_DEVATA_KI_APIL_ANASUNI_NA_KEREN_xx2011&amp;product_id=1599" TargetMode="External"/><Relationship Id="rId785" Type="http://schemas.openxmlformats.org/officeDocument/2006/relationships/hyperlink" Target="https://vicharkrantibooks.org/productdetail?book_name=HINP1000_VRUDDHON_KI_SAMASYAEN_AUR_SAMADHAN_xxyyyy&amp;product_id=1565" TargetMode="External"/><Relationship Id="rId992" Type="http://schemas.openxmlformats.org/officeDocument/2006/relationships/hyperlink" Target="https://vicharkrantibooks.org/productdetail?book_name=HINP0836_SHAKTI_KE_STROT_CHAUBIS_AKSHAR_xxyyyy&amp;product_id=1401" TargetMode="External"/><Relationship Id="rId200" Type="http://schemas.openxmlformats.org/officeDocument/2006/relationships/hyperlink" Target="https://vicharkrantibooks.org/productdetail?book_name=HINP0358_IN_BHRAM_JANJALON_SE_MUKT_HO_xx1982&amp;product_id=923" TargetMode="External"/><Relationship Id="rId438" Type="http://schemas.openxmlformats.org/officeDocument/2006/relationships/hyperlink" Target="https://vicharkrantibooks.org/productdetail?book_name=HINP0136_BHAGAVAN_BUDDH_KA_UTTARARDDH_PRAGYAVATAR_(POCKET)_xxyyyy&amp;product_id=701" TargetMode="External"/><Relationship Id="rId645" Type="http://schemas.openxmlformats.org/officeDocument/2006/relationships/hyperlink" Target="https://vicharkrantibooks.org/productdetail?product_id=361" TargetMode="External"/><Relationship Id="rId852" Type="http://schemas.openxmlformats.org/officeDocument/2006/relationships/hyperlink" Target="https://vicharkrantibooks.org/productdetail?book_name=HINP0039_ALASY_AUR_PRAMAD_DUKH_DARIDY_KE_UTPADANKARTA_xx1981&amp;product_id=604" TargetMode="External"/><Relationship Id="rId1068" Type="http://schemas.openxmlformats.org/officeDocument/2006/relationships/hyperlink" Target="https://vicharkrantibooks.org/productdetail?book_name=HINP0074_ASHLIL_CHINTAN_KA_PATAN_GART_xx1978&amp;product_id=639" TargetMode="External"/><Relationship Id="rId284" Type="http://schemas.openxmlformats.org/officeDocument/2006/relationships/hyperlink" Target="https://vicharkrantibooks.org/productdetail?book_name=HINP0910_TIRTHAYATRA_DHARM_PARAMPARA_PUNARJIVAN_ABHIYAN_KA_PREMOPAHAR_xxyyyy&amp;product_id=1475" TargetMode="External"/><Relationship Id="rId491" Type="http://schemas.openxmlformats.org/officeDocument/2006/relationships/hyperlink" Target="https://vicharkrantibooks.org/productdetail?book_name=HINP1075_JANATA_KE_SUPRIM_COURT_MAIN_SAMASYAON_KE_SAMADHAN_KI_GUHAR_Re2015&amp;product_id=1640" TargetMode="External"/><Relationship Id="rId505" Type="http://schemas.openxmlformats.org/officeDocument/2006/relationships/hyperlink" Target="https://vicharkrantibooks.org/productdetail?book_name=HINP0307_GOMUTR_GOMAY_ADHARIT_KUTIR_UDHYOG_xxyyyy&amp;product_id=872" TargetMode="External"/><Relationship Id="rId712" Type="http://schemas.openxmlformats.org/officeDocument/2006/relationships/hyperlink" Target="https://vicharkrantibooks.org/productdetail?book_name=HINF0006_ADHYATM_APANE_PARISHKRUT_RUP_MEIN_HAMARE_JIVAN_MEIN_UTARE_xxyyyy&amp;product_id=226" TargetMode="External"/><Relationship Id="rId1135" Type="http://schemas.openxmlformats.org/officeDocument/2006/relationships/hyperlink" Target="https://vicharkrantibooks.org/productdetail?book_name=HINP1059_YUG_RUSHI_KI_AMAR_VANI_BHAG_1_xxyyyy&amp;product_id=1624" TargetMode="External"/><Relationship Id="rId79" Type="http://schemas.openxmlformats.org/officeDocument/2006/relationships/hyperlink" Target="https://vicharkrantibooks.org/productdetail?book_name=HINP0884_SVAD_KE_NAM_PAR_AKHADHY_BHAKSHAN_xx1981&amp;product_id=1449" TargetMode="External"/><Relationship Id="rId144" Type="http://schemas.openxmlformats.org/officeDocument/2006/relationships/hyperlink" Target="https://vicharkrantibooks.org/productdetail?book_name=HINP0528_MANUSHY_KE_MULYANKAN_KI_KASAUTI_USAKI_SAPHALATAON_YOGYATAON_EVAM_VIBHUTIYON_KO_NAHIN_USAKE_SAD%E2%80%8CVICHARON_AUR_SATKARMON_KO_MANENGE_xxyyyy&amp;product_id=1093" TargetMode="External"/><Relationship Id="rId589" Type="http://schemas.openxmlformats.org/officeDocument/2006/relationships/hyperlink" Target="https://vicharkrantibooks.org/productdetail?book_name=HINP0456_LOG_NASHA_KYON_KARATE_HAIN_xxyyyy&amp;product_id=1021" TargetMode="External"/><Relationship Id="rId796" Type="http://schemas.openxmlformats.org/officeDocument/2006/relationships/hyperlink" Target="https://vicharkrantibooks.org/productdetail?book_name=HINP1068_YUGRUSHI_KI_JANMASHATI_xxyyyy&amp;product_id=1633" TargetMode="External"/><Relationship Id="rId1202" Type="http://schemas.openxmlformats.org/officeDocument/2006/relationships/hyperlink" Target="https://vicharkrantibooks.org/productdetail?book_name=ENGPE095_HEALTH_WEALTH_AND_SPIRITUALITY_xxyyyy&amp;product_id=3487" TargetMode="External"/><Relationship Id="rId351" Type="http://schemas.openxmlformats.org/officeDocument/2006/relationships/hyperlink" Target="https://vicharkrantibooks.org/productdetail?book_name=HINP1067_YUGRUSHI_EVAM_UNAKI_YOJANA_xxyyyy&amp;product_id=1632" TargetMode="External"/><Relationship Id="rId449" Type="http://schemas.openxmlformats.org/officeDocument/2006/relationships/hyperlink" Target="https://vicharkrantibooks.org/productdetail?book_name=ENGP0605_STEER_THE_LIFE_FOR_DEFINITE_REWARDS_xxyyyy&amp;product_id=3513" TargetMode="External"/><Relationship Id="rId656" Type="http://schemas.openxmlformats.org/officeDocument/2006/relationships/hyperlink" Target="https://vicharkrantibooks.org/productdetail?product_id=526" TargetMode="External"/><Relationship Id="rId863" Type="http://schemas.openxmlformats.org/officeDocument/2006/relationships/hyperlink" Target="https://vicharkrantibooks.org/productdetail?book_name=HINP0191_CHHATR_VARG_MEIN_NASHE_KI_DUSHPRAVRUTTIYAN_xxyyyy&amp;product_id=756" TargetMode="External"/><Relationship Id="rId1079" Type="http://schemas.openxmlformats.org/officeDocument/2006/relationships/hyperlink" Target="https://vicharkrantibooks.org/productdetail?book_name=HINP0541_MRUTYU_SE_BHAYABHIT_KYON_xxyyyy&amp;product_id=1106" TargetMode="External"/><Relationship Id="rId211" Type="http://schemas.openxmlformats.org/officeDocument/2006/relationships/hyperlink" Target="https://drive.google.com/file/d/1MxJ_DBMCMMTlcE15A6R08LdjjWhn4keL/view?usp=sharing" TargetMode="External"/><Relationship Id="rId295" Type="http://schemas.openxmlformats.org/officeDocument/2006/relationships/hyperlink" Target="https://vicharkrantibooks.org/productdetail?book_name=HINF0303_UTHAL_PUTHAL_KI_VELA_EVAM_UJJVAL_BHAVISHY_KI_SAMBHAVANAEN_xxyyyy&amp;product_id=523" TargetMode="External"/><Relationship Id="rId309" Type="http://schemas.openxmlformats.org/officeDocument/2006/relationships/hyperlink" Target="https://vicharkrantibooks.org/productdetail?product_id=3820" TargetMode="External"/><Relationship Id="rId516" Type="http://schemas.openxmlformats.org/officeDocument/2006/relationships/hyperlink" Target="https://vicharkrantibooks.org/productdetail?book_name=HINP0522_MANTR_VIGYAN_xxyyyy&amp;product_id=1087" TargetMode="External"/><Relationship Id="rId1146" Type="http://schemas.openxmlformats.org/officeDocument/2006/relationships/hyperlink" Target="https://vicharkrantibooks.org/productdetail?book_name=HINP0022_ADHYATMIK_KAYAKALP_KA_VIDHI_VIDHAN_BHAG_1_xx2011&amp;product_id=587" TargetMode="External"/><Relationship Id="rId723" Type="http://schemas.openxmlformats.org/officeDocument/2006/relationships/hyperlink" Target="https://vicharkrantibooks.org/productdetail?book_name=HINP0297_GAYATRI_UPASANA_KI_SAPHALATA_KI_TIN_SHARTE_xx2011&amp;product_id=862" TargetMode="External"/><Relationship Id="rId930" Type="http://schemas.openxmlformats.org/officeDocument/2006/relationships/hyperlink" Target="https://vicharkrantibooks.org/productdetail?book_name=HINP0645_PET_KO_KABR_MAT_BANAIYE_xx1979&amp;product_id=1210" TargetMode="External"/><Relationship Id="rId1006" Type="http://schemas.openxmlformats.org/officeDocument/2006/relationships/hyperlink" Target="https://vicharkrantibooks.org/productdetail?book_name=HINP0401_JIVANT_VIBHUTIYON_SE_BHAVABHARI_APEKSHAEN_xx2011&amp;product_id=966" TargetMode="External"/><Relationship Id="rId155" Type="http://schemas.openxmlformats.org/officeDocument/2006/relationships/hyperlink" Target="https://vicharkrantibooks.org/productdetail?book_name=GUJP0011_ADHYATM_EK_ROKADIYO_DHARM_XXYYYY&amp;product_id=3809" TargetMode="External"/><Relationship Id="rId362" Type="http://schemas.openxmlformats.org/officeDocument/2006/relationships/hyperlink" Target="https://vicharkrantibooks.org/productdetail?book_name=HINP1030_YUG_AVATAR_PRAGYAVATAR_xx1982&amp;product_id=1595" TargetMode="External"/><Relationship Id="rId1213" Type="http://schemas.openxmlformats.org/officeDocument/2006/relationships/hyperlink" Target="https://vicharkrantibooks.org/productdetail?book_name=HINP0231_DHARM_AUR_VIGYAN_KE_SAMANVAY_MEIN_HI_KALYAN_xx1981&amp;product_id=796" TargetMode="External"/><Relationship Id="rId222" Type="http://schemas.openxmlformats.org/officeDocument/2006/relationships/hyperlink" Target="https://drive.google.com/file/d/1WUeRb3ax7B3IUEP0kBfBXJ87-BT8H0Wv/view?usp=sharing" TargetMode="External"/><Relationship Id="rId667" Type="http://schemas.openxmlformats.org/officeDocument/2006/relationships/hyperlink" Target="https://vicharkrantibooks.org/productdetail?book_name=HINP0138_BHAGAVAN_KA_KAM_KARANE_KA_YAHI_SAMAY_xx2011&amp;product_id=703" TargetMode="External"/><Relationship Id="rId874" Type="http://schemas.openxmlformats.org/officeDocument/2006/relationships/hyperlink" Target="https://vicharkrantibooks.org/productdetail?book_name=HINP0940_UTTISHTHT_JAGRAT_xxyyyy&amp;product_id=1505" TargetMode="External"/><Relationship Id="rId17" Type="http://schemas.openxmlformats.org/officeDocument/2006/relationships/hyperlink" Target="https://vicharkrantibooks.org/productdetail?book_name=HINP0276_GAYATRI_ANUSHTHAN_AUR_USAKA_VIDHI_VIDHAN_xx1978&amp;product_id=841" TargetMode="External"/><Relationship Id="rId527" Type="http://schemas.openxmlformats.org/officeDocument/2006/relationships/hyperlink" Target="https://vicharkrantibooks.org/productdetail?book_name=ENGP0609_OBSERVE_AND_ENFORCE_IN_LIFE_xxyyyy&amp;product_id=3509" TargetMode="External"/><Relationship Id="rId734" Type="http://schemas.openxmlformats.org/officeDocument/2006/relationships/hyperlink" Target="https://vicharkrantibooks.org/productdetail?book_name=HINP0078_ASPRUSYATA_DHARM_VIRODHI_xxyyyy&amp;product_id=643" TargetMode="External"/><Relationship Id="rId941" Type="http://schemas.openxmlformats.org/officeDocument/2006/relationships/hyperlink" Target="https://vicharkrantibooks.org/productdetail?book_name=HINP0396_JIVAN_SANGRAM_HI_VASTAVIK_MAHABHARAT_xx1981&amp;product_id=961" TargetMode="External"/><Relationship Id="rId1157" Type="http://schemas.openxmlformats.org/officeDocument/2006/relationships/hyperlink" Target="https://vicharkrantibooks.org/productdetail?book_name=HINP0056_APANA_MULYANKAN_BHI_KARATE_RAHEN_xxyyyy&amp;product_id=621" TargetMode="External"/><Relationship Id="rId70" Type="http://schemas.openxmlformats.org/officeDocument/2006/relationships/hyperlink" Target="https://vicharkrantibooks.org/productdetail?book_name=HINP0801_SANYAM_SE_JIVAN_SUKHI_BANAEN_xxyyyy&amp;product_id=1366" TargetMode="External"/><Relationship Id="rId166" Type="http://schemas.openxmlformats.org/officeDocument/2006/relationships/hyperlink" Target="https://vicharkrantibooks.org/productdetail?book_name=HINP0965_VICHARASHILON_KO_JHAKAJHORANE_KI_CHESHTA_xxyyyy&amp;product_id=1530" TargetMode="External"/><Relationship Id="rId373" Type="http://schemas.openxmlformats.org/officeDocument/2006/relationships/hyperlink" Target="https://vicharkrantibooks.org/productdetail?book_name=GUJP0789_SANSKRUTINO_VAIBHAV_PHARI_PACHHO_AVASHE_XXYYYY&amp;product_id=3735" TargetMode="External"/><Relationship Id="rId580" Type="http://schemas.openxmlformats.org/officeDocument/2006/relationships/hyperlink" Target="https://vicharkrantibooks.org/productdetail?book_name=HINP0003_AB_TO_SAMBHALE_xxyyyy&amp;product_id=568" TargetMode="External"/><Relationship Id="rId801" Type="http://schemas.openxmlformats.org/officeDocument/2006/relationships/hyperlink" Target="http://literature.awgp.org/book/glimpse_of_golden_future/v2" TargetMode="External"/><Relationship Id="rId1017" Type="http://schemas.openxmlformats.org/officeDocument/2006/relationships/hyperlink" Target="https://vicharkrantibooks.org/productdetail?book_name=HINP0631_PARIWAR_KO_SUSANSKARI_KAISE_BANAEN_xxyyyy&amp;product_id=1196" TargetMode="External"/><Relationship Id="rId1224" Type="http://schemas.openxmlformats.org/officeDocument/2006/relationships/hyperlink" Target="https://vicharkrantibooks.org/productdetail?book_name=HINP0423_KARMAKAND_KI_PRERANAON_MEIN_CHHIPA_ADHYATM_xx2011&amp;product_id=988" TargetMode="External"/><Relationship Id="rId1" Type="http://schemas.openxmlformats.org/officeDocument/2006/relationships/hyperlink" Target="https://vicharkrantibooks.org/productdetail?book_name=HINP0600_NIRAKSHARATA_KA_KALANK_DHO_HI_DALEN_xx1982&amp;product_id=1165" TargetMode="External"/><Relationship Id="rId233" Type="http://schemas.openxmlformats.org/officeDocument/2006/relationships/hyperlink" Target="https://vicharkrantibooks.org/productdetail?book_name=HINP0820_SATOGUNI_AHAR_LIYA_JAE_xxyyyy&amp;product_id=1385" TargetMode="External"/><Relationship Id="rId440" Type="http://schemas.openxmlformats.org/officeDocument/2006/relationships/hyperlink" Target="https://vicharkrantibooks.org/productdetail?book_name=ENGP1015_RENOUNCE_THE_DEMONIAC_ADDICTION_xxyyyy&amp;product_id=3506" TargetMode="External"/><Relationship Id="rId678" Type="http://schemas.openxmlformats.org/officeDocument/2006/relationships/hyperlink" Target="https://vicharkrantibooks.org/productdetail?product_id=1750" TargetMode="External"/><Relationship Id="rId885" Type="http://schemas.openxmlformats.org/officeDocument/2006/relationships/hyperlink" Target="https://vicharkrantibooks.org/productdetail?book_name=HINP0599_NIKRUSHT_JIVAN_NA_JIYEN_xx1979&amp;product_id=1164" TargetMode="External"/><Relationship Id="rId1070" Type="http://schemas.openxmlformats.org/officeDocument/2006/relationships/hyperlink" Target="https://vicharkrantibooks.org/productdetail?book_name=HINP0969_VIGYAN_ADHYATM_VIRODHI_NAHIN_PURAK_xxyyyy&amp;product_id=1534" TargetMode="External"/><Relationship Id="rId28" Type="http://schemas.openxmlformats.org/officeDocument/2006/relationships/hyperlink" Target="https://vicharkrantibooks.org/productdetail?book_name=ENGP0716_IN_THE_ANGELIC_LIGHT_OF_RISHI_THOUGHTS_5_xxyyyy&amp;product_id=3464" TargetMode="External"/><Relationship Id="rId300" Type="http://schemas.openxmlformats.org/officeDocument/2006/relationships/hyperlink" Target="https://vicharkrantibooks.org/productdetail?book_name=HINP0517_MANOVIKARON_KE_DUSHPARINAM_xx1978&amp;product_id=1082" TargetMode="External"/><Relationship Id="rId538" Type="http://schemas.openxmlformats.org/officeDocument/2006/relationships/hyperlink" Target="https://vicharkrantibooks.org/productdetail?book_name=HINP0574_NARI_PRAGATI_KI_ANIVARY_AVASHYAKATA_KYON_xxyyyy&amp;product_id=1139" TargetMode="External"/><Relationship Id="rId745" Type="http://schemas.openxmlformats.org/officeDocument/2006/relationships/hyperlink" Target="https://vicharkrantibooks.org/productdetail?book_name=HINP0593_NASHEBAJI_SE_HANI_HI_HANI_xxyyyy&amp;product_id=1158" TargetMode="External"/><Relationship Id="rId952" Type="http://schemas.openxmlformats.org/officeDocument/2006/relationships/hyperlink" Target="https://vicharkrantibooks.org/productdetail?book_name=HINP0092_ATMABAL_SAMPADAN_KE_CHAR_PRAMUKH_ADHAR_xx1982&amp;product_id=657" TargetMode="External"/><Relationship Id="rId1168" Type="http://schemas.openxmlformats.org/officeDocument/2006/relationships/hyperlink" Target="https://vicharkrantibooks.org/productdetail?book_name=HINP0302_GAYATRI_YAGY_AUR_USAKI_PRERANA_1st1976&amp;product_id=867" TargetMode="External"/><Relationship Id="rId81" Type="http://schemas.openxmlformats.org/officeDocument/2006/relationships/hyperlink" Target="https://vicharkrantibooks.org/productdetail?product_id=3776" TargetMode="External"/><Relationship Id="rId177" Type="http://schemas.openxmlformats.org/officeDocument/2006/relationships/hyperlink" Target="https://vicharkrantibooks.org/productdetail?product_id=3927" TargetMode="External"/><Relationship Id="rId384" Type="http://schemas.openxmlformats.org/officeDocument/2006/relationships/hyperlink" Target="https://vicharkrantibooks.org/productdetail?book_name=HINP0639_PARIWARON_MEIN_BHAV_SAMVEDANAEN_JIVANT_RAHEN_xx1981&amp;product_id=1204" TargetMode="External"/><Relationship Id="rId591" Type="http://schemas.openxmlformats.org/officeDocument/2006/relationships/hyperlink" Target="https://vicharkrantibooks.org/productdetail?book_name=HINP0059_APANE_ANG_AVAYAVON_SE_Re2015&amp;product_id=624" TargetMode="External"/><Relationship Id="rId605" Type="http://schemas.openxmlformats.org/officeDocument/2006/relationships/hyperlink" Target="https://vicharkrantibooks.org/productdetail?book_name=HINP0100_ATMAVIKAS_KE_LIE_SEVA_SADHANA_ANIVARY_xx1982&amp;product_id=665" TargetMode="External"/><Relationship Id="rId812" Type="http://schemas.openxmlformats.org/officeDocument/2006/relationships/hyperlink" Target="https://vicharkrantibooks.org/productdetail?book_name=HINP0056_APANA_MULYANKAN_BHI_KARATE_RAHEN_xxyyyy&amp;product_id=621" TargetMode="External"/><Relationship Id="rId1028" Type="http://schemas.openxmlformats.org/officeDocument/2006/relationships/hyperlink" Target="https://vicharkrantibooks.org/productdetail?book_name=HINP0262_DURGATI_AUR_SADGATI_KA_KARAN_HAM_SVAYAM_xx2011&amp;product_id=827" TargetMode="External"/><Relationship Id="rId1235" Type="http://schemas.openxmlformats.org/officeDocument/2006/relationships/hyperlink" Target="https://vicharkrantibooks.org/productdetail?book_name=HINP0256_DUDH_DAHI_KA_UPAYOG_KAISE_KAREN_xxyyyy&amp;product_id=821" TargetMode="External"/><Relationship Id="rId244" Type="http://schemas.openxmlformats.org/officeDocument/2006/relationships/hyperlink" Target="https://vicharkrantibooks.org/productdetail?product_id=3772" TargetMode="External"/><Relationship Id="rId689" Type="http://schemas.openxmlformats.org/officeDocument/2006/relationships/hyperlink" Target="https://vicharkrantibooks.org/productdetail?book_name=HINP0146_BHAKTI_EK_DARSHAN_EK_VIGYAN_xx2011&amp;product_id=711" TargetMode="External"/><Relationship Id="rId896" Type="http://schemas.openxmlformats.org/officeDocument/2006/relationships/hyperlink" Target="https://vicharkrantibooks.org/productdetail?book_name=HINP0029_ADHYATMVADI_MANAH_SHASTR_KI_UPAYOGITA_SAMAJHI_JAE_xx1982&amp;product_id=594" TargetMode="External"/><Relationship Id="rId1081" Type="http://schemas.openxmlformats.org/officeDocument/2006/relationships/hyperlink" Target="https://vicharkrantibooks.org/productdetail?book_name=HINP0364_ISHWAR_JVALA_HAI_ATMA_CHINGARI_xx1982&amp;product_id=929" TargetMode="External"/><Relationship Id="rId39" Type="http://schemas.openxmlformats.org/officeDocument/2006/relationships/hyperlink" Target="https://vicharkrantibooks.org/productdetail?book_name=HINP0961_VICHAR_KRANTI_YUG_KI_PRAMUKH_AVASHYAKATA_xx1981&amp;product_id=1526" TargetMode="External"/><Relationship Id="rId451" Type="http://schemas.openxmlformats.org/officeDocument/2006/relationships/hyperlink" Target="https://vicharkrantibooks.org/productdetail?book_name=HINP0486_MAN_KI_NIRMALATA_AUR_SHARIRIK_SWASTHY_KA_ATUT_SAMBANDH_xx1982&amp;product_id=1051" TargetMode="External"/><Relationship Id="rId549" Type="http://schemas.openxmlformats.org/officeDocument/2006/relationships/hyperlink" Target="https://vicharkrantibooks.org/productdetail?book_name=HINP0477_MAHASHAKTI_GAYATRI_Re2012&amp;product_id=1042" TargetMode="External"/><Relationship Id="rId756" Type="http://schemas.openxmlformats.org/officeDocument/2006/relationships/hyperlink" Target="https://vicharkrantibooks.org/productdetail?book_name=HINP0424_KARMAKAND_MEIN_CHHIPA_VYAKTITV_NIRMAN_KA_SHIKSHAN_xx2011&amp;product_id=989" TargetMode="External"/><Relationship Id="rId1179" Type="http://schemas.openxmlformats.org/officeDocument/2006/relationships/hyperlink" Target="https://vicharkrantibooks.org/productdetail?book_name=HINP1067_YUGRUSHI_EVAM_UNAKI_YOJANA_xxyyyy&amp;product_id=1632" TargetMode="External"/><Relationship Id="rId104" Type="http://schemas.openxmlformats.org/officeDocument/2006/relationships/hyperlink" Target="https://vicharkrantibooks.org/productdetail?product_id=3960" TargetMode="External"/><Relationship Id="rId188" Type="http://schemas.openxmlformats.org/officeDocument/2006/relationships/hyperlink" Target="https://vicharkrantibooks.org/productdetail?product_id=3731" TargetMode="External"/><Relationship Id="rId311" Type="http://schemas.openxmlformats.org/officeDocument/2006/relationships/hyperlink" Target="https://vicharkrantibooks.org/productdetail?product_id=370" TargetMode="External"/><Relationship Id="rId395" Type="http://schemas.openxmlformats.org/officeDocument/2006/relationships/hyperlink" Target="https://vicharkrantibooks.org/productdetail?book_name=MRTP0676_PRATIBHA_SANVARDHANACHE_VIGYAN_SAMMAT_PRAYOG_XXYYYY&amp;product_id=4355" TargetMode="External"/><Relationship Id="rId409" Type="http://schemas.openxmlformats.org/officeDocument/2006/relationships/hyperlink" Target="https://vicharkrantibooks.org/productdetail?book_name=HINP0791_SANSKRUTI_KI_SITA_KO_VAPAS_LAEN_xx2011&amp;product_id=1356" TargetMode="External"/><Relationship Id="rId963" Type="http://schemas.openxmlformats.org/officeDocument/2006/relationships/hyperlink" Target="https://vicharkrantibooks.org/productdetail?book_name=HINP0389_JIVAN_KI_SARTHAKATA_xxyyyy&amp;product_id=954" TargetMode="External"/><Relationship Id="rId1039" Type="http://schemas.openxmlformats.org/officeDocument/2006/relationships/hyperlink" Target="https://vicharkrantibooks.org/productdetail?book_name=HINP0899_TAHALANA_EK_ATI_UPAYOGI_AUR_SARAL_VYAYAM_xx1982&amp;product_id=1464" TargetMode="External"/><Relationship Id="rId92" Type="http://schemas.openxmlformats.org/officeDocument/2006/relationships/hyperlink" Target="https://vicharkrantibooks.org/productdetail?book_name=HINP0426_KARMAPHAL_KA_BHOG_ANIVARY_xxyyyy&amp;product_id=991" TargetMode="External"/><Relationship Id="rId616" Type="http://schemas.openxmlformats.org/officeDocument/2006/relationships/hyperlink" Target="https://vicharkrantibooks.org/productdetail?book_name=HINP0026_ADHYATMIKATA_KA_PRAN_SADACHARAN_xx1982&amp;product_id=591" TargetMode="External"/><Relationship Id="rId823" Type="http://schemas.openxmlformats.org/officeDocument/2006/relationships/hyperlink" Target="https://vicharkrantibooks.org/productdetail?book_name=HINP0828_SEVA_SADHANA_xx2011&amp;product_id=1393" TargetMode="External"/><Relationship Id="rId255" Type="http://schemas.openxmlformats.org/officeDocument/2006/relationships/hyperlink" Target="https://vicharkrantibooks.org/productdetail?book_name=HINP0120_BACHCHON_KA_NIRMAN_VANI_SE_NAHIN_ACHARAN_SE_KIYA_JAE_xxyyyy&amp;product_id=685" TargetMode="External"/><Relationship Id="rId462" Type="http://schemas.openxmlformats.org/officeDocument/2006/relationships/hyperlink" Target="https://vicharkrantibooks.org/productdetail?book_name=HINP0004_ADARSH_KO_VYAVAHAR_MEIN_UTAREN_YAHI_SACHCHI_LOK_SEVA_HAI_xx1981&amp;product_id=569" TargetMode="External"/><Relationship Id="rId1092" Type="http://schemas.openxmlformats.org/officeDocument/2006/relationships/hyperlink" Target="https://vicharkrantibooks.org/productdetail?book_name=HINP1060_YUG_RUSHI_KI_AMAR_VANI_BHAG_2_xxyyyy&amp;product_id=1625" TargetMode="External"/><Relationship Id="rId1106" Type="http://schemas.openxmlformats.org/officeDocument/2006/relationships/hyperlink" Target="https://vicharkrantibooks.org/productdetail?book_name=HINR0661_JIVAN_SADHANA_KE_14_SWARNIM_SUTR_2nd1976&amp;product_id=2346" TargetMode="External"/><Relationship Id="rId115" Type="http://schemas.openxmlformats.org/officeDocument/2006/relationships/hyperlink" Target="https://vicharkrantibooks.org/productdetail?book_name=HINP0493_MANASIK_ROGON_KI_JANANI_SHARAB_xxyyyy&amp;product_id=1058" TargetMode="External"/><Relationship Id="rId322" Type="http://schemas.openxmlformats.org/officeDocument/2006/relationships/hyperlink" Target="https://vicharkrantibooks.org/productdetail?book_name=GUJP0488_MANANE_BHAGAVANANI_SATHE_JODO_XXYYYY&amp;product_id=3810" TargetMode="External"/><Relationship Id="rId767" Type="http://schemas.openxmlformats.org/officeDocument/2006/relationships/hyperlink" Target="https://vicharkrantibooks.org/productdetail?book_name=HINP0397_JIVAN_VYAPAR_KI_SAPHALATA_KA_ADHAR_SHALINATA_xx1982&amp;product_id=962" TargetMode="External"/><Relationship Id="rId974" Type="http://schemas.openxmlformats.org/officeDocument/2006/relationships/hyperlink" Target="https://vicharkrantibooks.org/productdetail?book_name=HINP0953_VAYU_PRADUSHAN_AUR_TULASI_ROPAN_xxyyyy&amp;product_id=1518" TargetMode="External"/><Relationship Id="rId199" Type="http://schemas.openxmlformats.org/officeDocument/2006/relationships/hyperlink" Target="https://vicharkrantibooks.org/productdetail?book_name=HINP1117_MAHAKAL_KI_BHAVISHYAVANI_xxyyyy&amp;product_id=1682" TargetMode="External"/><Relationship Id="rId627" Type="http://schemas.openxmlformats.org/officeDocument/2006/relationships/hyperlink" Target="https://vicharkrantibooks.org/productdetail?book_name=HINP0694_PUSTAKALAY_SACHCHE_DEVALAY_xxyyyy&amp;product_id=1259" TargetMode="External"/><Relationship Id="rId834" Type="http://schemas.openxmlformats.org/officeDocument/2006/relationships/hyperlink" Target="https://vicharkrantibooks.org/productdetail?book_name=HINP0753_SAKAR_AUR_NIRAKAR_DHYAN_xx2011&amp;product_id=1318" TargetMode="External"/><Relationship Id="rId266" Type="http://schemas.openxmlformats.org/officeDocument/2006/relationships/hyperlink" Target="https://vicharkrantibooks.org/productdetail?book_name=HINP0877_SUSANSKARITA_KA_DARSHAN_SUVYAVASTHIT_PARIWAR_SE_xx1982&amp;product_id=1442" TargetMode="External"/><Relationship Id="rId473" Type="http://schemas.openxmlformats.org/officeDocument/2006/relationships/hyperlink" Target="https://vicharkrantibooks.org/productdetail?book_name=HINP1077_SAMAJ_AUR_VYAVHAR_DARSHAN_xxyyyy&amp;product_id=1642" TargetMode="External"/><Relationship Id="rId680" Type="http://schemas.openxmlformats.org/officeDocument/2006/relationships/hyperlink" Target="https://vicharkrantibooks.org/productdetail?book_name=HINP0107_ATMIYATA_KA_AMRUT_AUR_USAKA_RASASVADAN_xx1981&amp;product_id=672" TargetMode="External"/><Relationship Id="rId901" Type="http://schemas.openxmlformats.org/officeDocument/2006/relationships/hyperlink" Target="https://vicharkrantibooks.org/productdetail?book_name=HINP0228_DHARATI_SATY_PAR_TIKI_HAI_xx1978&amp;product_id=793" TargetMode="External"/><Relationship Id="rId1117" Type="http://schemas.openxmlformats.org/officeDocument/2006/relationships/hyperlink" Target="https://vicharkrantibooks.org/productdetail?book_name=ENGP0715_IN_THE_ANGELIC_LIGHT_OF_RISHI_THOUGHTS_4_xxyyyy&amp;product_id=3463" TargetMode="External"/><Relationship Id="rId30" Type="http://schemas.openxmlformats.org/officeDocument/2006/relationships/hyperlink" Target="https://vicharkrantibooks.org/productdetail?book_name=ENGB0202_IDEAL_STORIES_1st2013&amp;product_id=3525" TargetMode="External"/><Relationship Id="rId126" Type="http://schemas.openxmlformats.org/officeDocument/2006/relationships/hyperlink" Target="https://vicharkrantibooks.org/productdetail?book_name=HINP0236_DHARM_KA_VASTAVIK_SWARUP_xxyyyy&amp;product_id=801" TargetMode="External"/><Relationship Id="rId333" Type="http://schemas.openxmlformats.org/officeDocument/2006/relationships/hyperlink" Target="https://vicharkrantibooks.org/productdetail?book_name=HINP0908_TIRTH_YATRA_IS_TARAH_KI_JAY_xx1978&amp;product_id=1473" TargetMode="External"/><Relationship Id="rId540" Type="http://schemas.openxmlformats.org/officeDocument/2006/relationships/hyperlink" Target="https://vicharkrantibooks.org/productdetail?book_name=HINF0043_ATINDRIY_SAMARTHY_EVAM_PARABRAHM_KI_VIDHI_VYAVASTHA_xxyyyy&amp;product_id=263" TargetMode="External"/><Relationship Id="rId778" Type="http://schemas.openxmlformats.org/officeDocument/2006/relationships/hyperlink" Target="https://vicharkrantibooks.org/productdetail?book_name=HINP0076_ASHLILATA_KE_AJAGAR_SE_BACHEN_xxyyyy&amp;product_id=641" TargetMode="External"/><Relationship Id="rId985" Type="http://schemas.openxmlformats.org/officeDocument/2006/relationships/hyperlink" Target="https://vicharkrantibooks.org/productdetail?book_name=HINP0849_SHIKSHA_VYAVASTHA_KAISI_HO_xx2011&amp;product_id=1414" TargetMode="External"/><Relationship Id="rId1170" Type="http://schemas.openxmlformats.org/officeDocument/2006/relationships/hyperlink" Target="https://vicharkrantibooks.org/productdetail?book_name=HINP0099_ATMAVIKAS_KA_RAJMARG_xx1982&amp;product_id=664" TargetMode="External"/><Relationship Id="rId638" Type="http://schemas.openxmlformats.org/officeDocument/2006/relationships/hyperlink" Target="https://vicharkrantibooks.org/productdetail?book_name=HINP0435_KAYARATA_KA_KALANK_HAMEN_SVIKAR_NAHI_xxyyyy&amp;product_id=1000" TargetMode="External"/><Relationship Id="rId845" Type="http://schemas.openxmlformats.org/officeDocument/2006/relationships/hyperlink" Target="https://vicharkrantibooks.org/productdetail?book_name=HINP0009_ADHUNIKATA_KI_DAUD_MEIN_NARI_ADARSHON_SE_NA_GIRE_xxyyyy&amp;product_id=574" TargetMode="External"/><Relationship Id="rId1030" Type="http://schemas.openxmlformats.org/officeDocument/2006/relationships/hyperlink" Target="https://vicharkrantibooks.org/productdetail?book_name=HINP0939_UTKRUSHTATAVADI_DARSHAN_HI_BHOGAVAD_KA_ANT_KAREGA_xx1982&amp;product_id=1504" TargetMode="External"/><Relationship Id="rId277" Type="http://schemas.openxmlformats.org/officeDocument/2006/relationships/hyperlink" Target="https://vicharkrantibooks.org/productdetail?product_id=3786" TargetMode="External"/><Relationship Id="rId400" Type="http://schemas.openxmlformats.org/officeDocument/2006/relationships/hyperlink" Target="https://vicharkrantibooks.org/productdetail?book_name=GUJP0775_SAMBHVAMI_YUGE_YUGE_XXYYYY&amp;product_id=3818" TargetMode="External"/><Relationship Id="rId484" Type="http://schemas.openxmlformats.org/officeDocument/2006/relationships/hyperlink" Target="https://vicharkrantibooks.org/productdetail?book_name=HINF0027_ANTARAGRAHIY_PARISTHITIYON_KE_PARYAVEKSHAN_KI_VEDHASHALA_xxyyyy&amp;product_id=247" TargetMode="External"/><Relationship Id="rId705" Type="http://schemas.openxmlformats.org/officeDocument/2006/relationships/hyperlink" Target="https://vicharkrantibooks.org/productdetail?book_name=HINP0010_ADHYATM_ARTHAT%E2%80%8C_UTKRUSHT_CHINTAN_ADARSH_KARTUTV_xx1982&amp;product_id=575" TargetMode="External"/><Relationship Id="rId1128" Type="http://schemas.openxmlformats.org/officeDocument/2006/relationships/hyperlink" Target="https://vicharkrantibooks.org/productdetail?book_name=HINP0087_ASWACHCHHATA_KA_ABHISHAP_MITANA_HI_RASHTR_KI_SABASE_BADI_SEVA_xx1982&amp;product_id=652" TargetMode="External"/><Relationship Id="rId137" Type="http://schemas.openxmlformats.org/officeDocument/2006/relationships/hyperlink" Target="https://vicharkrantibooks.org/productdetail?book_name=HINP0294_GAYATRI_SMRUTI_xxyyyy&amp;product_id=859" TargetMode="External"/><Relationship Id="rId344" Type="http://schemas.openxmlformats.org/officeDocument/2006/relationships/hyperlink" Target="https://vicharkrantibooks.org/productdetail?book_name=ENGP0605_STEER_THE_LIFE_FOR_DEFINITE_REWARDS_xxyyyy&amp;product_id=3513" TargetMode="External"/><Relationship Id="rId691" Type="http://schemas.openxmlformats.org/officeDocument/2006/relationships/hyperlink" Target="https://vicharkrantibooks.org/productdetail?book_name=HINF0021_AHAR_KRANTI_SE_KUPOSHAN_NIVARAN_xxyyyy&amp;product_id=241" TargetMode="External"/><Relationship Id="rId789" Type="http://schemas.openxmlformats.org/officeDocument/2006/relationships/hyperlink" Target="https://vicharkrantibooks.org/productdetail?book_name=HINP0074_ASHLIL_CHINTAN_KA_PATAN_GART_xx1978&amp;product_id=639" TargetMode="External"/><Relationship Id="rId912" Type="http://schemas.openxmlformats.org/officeDocument/2006/relationships/hyperlink" Target="https://vicharkrantibooks.org/productdetail?book_name=HINP0465_MAHAKAL_KA_GHONSALA_SHANTIKUNJ_xxyyyy&amp;product_id=1030" TargetMode="External"/><Relationship Id="rId996" Type="http://schemas.openxmlformats.org/officeDocument/2006/relationships/hyperlink" Target="https://vicharkrantibooks.org/productdetail?book_name=HINP0406_JYOTIKAN_xxyyyy&amp;product_id=971" TargetMode="External"/><Relationship Id="rId41" Type="http://schemas.openxmlformats.org/officeDocument/2006/relationships/hyperlink" Target="https://vicharkrantibooks.org/productdetail?book_name=HINP0346_HARITIMA_SANVARDHAN_EK_PARAM_PUNIT_PUNY_xx1981&amp;product_id=911" TargetMode="External"/><Relationship Id="rId551" Type="http://schemas.openxmlformats.org/officeDocument/2006/relationships/hyperlink" Target="https://vicharkrantibooks.org/productdetail?product_id=368" TargetMode="External"/><Relationship Id="rId649" Type="http://schemas.openxmlformats.org/officeDocument/2006/relationships/hyperlink" Target="https://vicharkrantibooks.org/productdetail?book_name=HINF0302_UPEKSHA_NA_HOTI_TO_PARIWAR_KA_STAR_YON_NA_GIRATA_xxyyyy&amp;product_id=522" TargetMode="External"/><Relationship Id="rId856" Type="http://schemas.openxmlformats.org/officeDocument/2006/relationships/hyperlink" Target="https://vicharkrantibooks.org/productdetail?book_name=HINP0242_DHARMATANTR_DVARA_LOKASHIKSHAN_xx2011&amp;product_id=807" TargetMode="External"/><Relationship Id="rId1181" Type="http://schemas.openxmlformats.org/officeDocument/2006/relationships/hyperlink" Target="https://vicharkrantibooks.org/productdetail?book_name=HINP0110_ATMTEJOBALAM_BALAM_xx1979&amp;product_id=675" TargetMode="External"/><Relationship Id="rId190" Type="http://schemas.openxmlformats.org/officeDocument/2006/relationships/hyperlink" Target="https://vicharkrantibooks.org/productdetail?book_name=HINP0275_GAU_KI_UTPATTI_AUR_USAKA_MAHATV_xxyyyy&amp;product_id=840" TargetMode="External"/><Relationship Id="rId204" Type="http://schemas.openxmlformats.org/officeDocument/2006/relationships/hyperlink" Target="https://vicharkrantibooks.org/productdetail?book_name=HINP0289_GAYATRI_RAHASY_xxyyyy&amp;product_id=854" TargetMode="External"/><Relationship Id="rId288" Type="http://schemas.openxmlformats.org/officeDocument/2006/relationships/hyperlink" Target="https://vicharkrantibooks.org/productdetail?book_name=HINP0895_SWASTH_RAHANA_BAHUT_ASAN_HAI_xxyyyy&amp;product_id=1460" TargetMode="External"/><Relationship Id="rId411" Type="http://schemas.openxmlformats.org/officeDocument/2006/relationships/hyperlink" Target="https://vicharkrantibooks.org/productdetail?book_name=HINP0431_KATHINAIYAN_VYAKTITV_KO_PRAKHAR_BANATI_HAI_xx1978&amp;product_id=996" TargetMode="External"/><Relationship Id="rId509" Type="http://schemas.openxmlformats.org/officeDocument/2006/relationships/hyperlink" Target="https://vicharkrantibooks.org/productdetail?book_name=HINP0306_GOBAR_MEIN_LAKSHMI_KA_NIVAS_xxyyyy&amp;product_id=871" TargetMode="External"/><Relationship Id="rId1041" Type="http://schemas.openxmlformats.org/officeDocument/2006/relationships/hyperlink" Target="https://vicharkrantibooks.org/productdetail?book_name=ENGPE035_GAYATRI_A_UNIQUE_SOLUTIONS_FOR_PROBLEMS_xxyyyy&amp;product_id=3428" TargetMode="External"/><Relationship Id="rId1139" Type="http://schemas.openxmlformats.org/officeDocument/2006/relationships/hyperlink" Target="https://vicharkrantibooks.org/productdetail?book_name=HINP0680_PRATIK_PUJA_KA_VAIGYANIK_ADHAR_xx2011&amp;product_id=1245" TargetMode="External"/><Relationship Id="rId495" Type="http://schemas.openxmlformats.org/officeDocument/2006/relationships/hyperlink" Target="https://vicharkrantibooks.org/productdetail?book_name=HINP0982_VISHESHAGYON_KI_RAY_MEIN_DHUMRAPAN_SE_HANIYAN_xxyyyy&amp;product_id=1547" TargetMode="External"/><Relationship Id="rId716" Type="http://schemas.openxmlformats.org/officeDocument/2006/relationships/hyperlink" Target="https://vicharkrantibooks.org/productdetail?book_name=ENGRE075_HEALTH_TIPS_FROM_THE_VEDAS_2nd2011&amp;product_id=3470" TargetMode="External"/><Relationship Id="rId923" Type="http://schemas.openxmlformats.org/officeDocument/2006/relationships/hyperlink" Target="https://vicharkrantibooks.org/productdetail?book_name=HINP0038_AKSHAY_SWASTHY_KAISE_PAYEN_xx1982&amp;product_id=603" TargetMode="External"/><Relationship Id="rId52" Type="http://schemas.openxmlformats.org/officeDocument/2006/relationships/hyperlink" Target="https://vicharkrantibooks.org/productdetail?book_name=HINF0050_ATMARAKSHA_MANOROGON_SE_BHI_KARANI_CHAHIYE_xxyyyy&amp;product_id=270" TargetMode="External"/><Relationship Id="rId148" Type="http://schemas.openxmlformats.org/officeDocument/2006/relationships/hyperlink" Target="https://vicharkrantibooks.org/productdetail?book_name=ENGP0717_IN_THE_ANGELIC_LIGHT_OF_RISHI_THOUGHTS_6_xxyyyy&amp;product_id=3465" TargetMode="External"/><Relationship Id="rId355" Type="http://schemas.openxmlformats.org/officeDocument/2006/relationships/hyperlink" Target="https://vicharkrantibooks.org/productdetail?book_name=GUJP0960_VICHARKRANTI_JA_EKMATRA_UPCHAR_XXYYYY&amp;product_id=3769" TargetMode="External"/><Relationship Id="rId562" Type="http://schemas.openxmlformats.org/officeDocument/2006/relationships/hyperlink" Target="https://vicharkrantibooks.org/productdetail?book_name=HINP0921_THREE_TRAITS_AND_FOUR_STEPS_TO_PROGRESS_xxyyyy&amp;product_id=3510" TargetMode="External"/><Relationship Id="rId1192" Type="http://schemas.openxmlformats.org/officeDocument/2006/relationships/hyperlink" Target="https://vicharkrantibooks.org/productdetail?book_name=ENGPE095_HEALTH_WEALTH_AND_SPIRITUALITY_xxyyyy&amp;product_id=3487" TargetMode="External"/><Relationship Id="rId1206" Type="http://schemas.openxmlformats.org/officeDocument/2006/relationships/hyperlink" Target="https://vicharkrantibooks.org/productdetail?book_name=HINP0017_ADHYATM_KI_PRUSHTHABHUMI_SAT_SHRADDHA_xx1981&amp;product_id=582" TargetMode="External"/><Relationship Id="rId215" Type="http://schemas.openxmlformats.org/officeDocument/2006/relationships/hyperlink" Target="https://vicharkrantibooks.org/productdetail?book_name=HINF0016_ADHYATMIK_VIGYAN_KI_BHI_PRAGATI_HO_xxyyyy&amp;product_id=236" TargetMode="External"/><Relationship Id="rId422" Type="http://schemas.openxmlformats.org/officeDocument/2006/relationships/hyperlink" Target="https://vicharkrantibooks.org/productdetail?book_name=HINP0789_SANSKRUTI_KA_VHAIBHAV_PUNAH_LAUTEGA_xx2011&amp;product_id=1354" TargetMode="External"/><Relationship Id="rId867" Type="http://schemas.openxmlformats.org/officeDocument/2006/relationships/hyperlink" Target="https://vicharkrantibooks.org/productdetail?book_name=ENGR0742_GUIDELINES_FOR_THE_ASPIRING_LOKSEVI_1st2008&amp;product_id=3482" TargetMode="External"/><Relationship Id="rId1052" Type="http://schemas.openxmlformats.org/officeDocument/2006/relationships/hyperlink" Target="https://vicharkrantibooks.org/productdetail?book_name=HINP0010_ADHYATM_ARTHAT%E2%80%8C_UTKRUSHT_CHINTAN_ADARSH_KARTUTV_xx1982&amp;product_id=575" TargetMode="External"/><Relationship Id="rId299" Type="http://schemas.openxmlformats.org/officeDocument/2006/relationships/hyperlink" Target="https://vicharkrantibooks.org/productdetail?book_name=ENGPE039_THE_SCIENCE_OF_MANTRA_xxyyyy&amp;product_id=3432" TargetMode="External"/><Relationship Id="rId727" Type="http://schemas.openxmlformats.org/officeDocument/2006/relationships/hyperlink" Target="https://vicharkrantibooks.org/productdetail?book_name=HINF0005_ADHY_SHAKTI_GAYATRI_YUG_SHAKTI_BHI_xxyyyy&amp;product_id=225" TargetMode="External"/><Relationship Id="rId934" Type="http://schemas.openxmlformats.org/officeDocument/2006/relationships/hyperlink" Target="https://vicharkrantibooks.org/productdetail?book_name=HINP0624_PARISHKRUT_ASTHAEN_HI_AKSHAY_SWASTHY_KA_UDAGAM_KENDR_xx1982&amp;product_id=1189" TargetMode="External"/><Relationship Id="rId63" Type="http://schemas.openxmlformats.org/officeDocument/2006/relationships/hyperlink" Target="https://vicharkrantibooks.org/productdetail?book_name=ENGRE059_MIRACLES_OF_CHARISMATIC_PRAYER_xxyyyy&amp;product_id=3451" TargetMode="External"/><Relationship Id="rId159" Type="http://schemas.openxmlformats.org/officeDocument/2006/relationships/hyperlink" Target="https://vicharkrantibooks.org/productdetail?book_name=MRTP0810_SAPHALATECHI_JANANI_SANKALP_SHAKTI_XXYYYY&amp;product_id=4346" TargetMode="External"/><Relationship Id="rId366" Type="http://schemas.openxmlformats.org/officeDocument/2006/relationships/hyperlink" Target="https://vicharkrantibooks.org/productdetail?product_id=355" TargetMode="External"/><Relationship Id="rId573" Type="http://schemas.openxmlformats.org/officeDocument/2006/relationships/hyperlink" Target="https://vicharkrantibooks.org/productdetail?book_name=HINF0008_ADHYATM_HI_ANAGADH_VIGYAN_KO_SUGADH_BANA_SAKATA_HAI_xxyyyy&amp;product_id=228" TargetMode="External"/><Relationship Id="rId780" Type="http://schemas.openxmlformats.org/officeDocument/2006/relationships/hyperlink" Target="https://vicharkrantibooks.org/productdetail?book_name=HINF0153_KRUTY_KISI_KA_SHREY_KISI_KO_xxyyyy&amp;product_id=373" TargetMode="External"/><Relationship Id="rId1217" Type="http://schemas.openxmlformats.org/officeDocument/2006/relationships/hyperlink" Target="https://vicharkrantibooks.org/productdetail?book_name=HINP0042_ANITI_ASURATA_KE_ANYAY_KO_ROKEN_xxyyyy&amp;product_id=607" TargetMode="External"/><Relationship Id="rId226" Type="http://schemas.openxmlformats.org/officeDocument/2006/relationships/hyperlink" Target="https://vicharkrantibooks.org/productdetail?book_name=HINP1051_YUG_PARIVARTAN_KA_ADHAR_VICHAR_KRANTI_xxyyyy&amp;product_id=1616" TargetMode="External"/><Relationship Id="rId433" Type="http://schemas.openxmlformats.org/officeDocument/2006/relationships/hyperlink" Target="https://vicharkrantibooks.org/productdetail?book_name=ENGP0069_FIGHT_YOUR_WEAKNESSES_BE_STRONG_xxyyyy&amp;product_id=3512" TargetMode="External"/><Relationship Id="rId878" Type="http://schemas.openxmlformats.org/officeDocument/2006/relationships/hyperlink" Target="https://vicharkrantibooks.org/productdetail?book_name=HINP0970_VIGYAN_AUR_ADHYATM_PARASPAR_PURAK_BANE_xx1982&amp;product_id=1535" TargetMode="External"/><Relationship Id="rId1063" Type="http://schemas.openxmlformats.org/officeDocument/2006/relationships/hyperlink" Target="https://vicharkrantibooks.org/productdetail?book_name=HINP0970_VIGYAN_AUR_ADHYATM_PARASPAR_PURAK_BANE_xx1982&amp;product_id=1535" TargetMode="External"/><Relationship Id="rId640" Type="http://schemas.openxmlformats.org/officeDocument/2006/relationships/hyperlink" Target="https://vicharkrantibooks.org/productdetail?book_name=HINF0031_APANA_HI_NAHIN_SAMAJ_KA_BHI_HIT_SOCHEN_xxyyyy&amp;product_id=251" TargetMode="External"/><Relationship Id="rId738" Type="http://schemas.openxmlformats.org/officeDocument/2006/relationships/hyperlink" Target="https://vicharkrantibooks.org/productdetail?book_name=HINF0029_ANTARAL_KI_VAIBHAVAPURN_SATTA_KA_JAGARAN_UNNAYAN_xxyyyy&amp;product_id=249" TargetMode="External"/><Relationship Id="rId945" Type="http://schemas.openxmlformats.org/officeDocument/2006/relationships/hyperlink" Target="https://vicharkrantibooks.org/productdetail?book_name=HINP0118_AVATAR_UPASY_GAYATRI_xxyyyy&amp;product_id=683" TargetMode="External"/><Relationship Id="rId74" Type="http://schemas.openxmlformats.org/officeDocument/2006/relationships/hyperlink" Target="http://literature.awgp.org/book/The_Revival_of_Satyug_The_Golden_Age/v1" TargetMode="External"/><Relationship Id="rId377" Type="http://schemas.openxmlformats.org/officeDocument/2006/relationships/hyperlink" Target="https://vicharkrantibooks.org/productdetail?book_name=GUJP0244_DHARMATANTRANO_PARISHKAR_ATYANT_JARURI_XXYYYY&amp;product_id=3733" TargetMode="External"/><Relationship Id="rId500" Type="http://schemas.openxmlformats.org/officeDocument/2006/relationships/hyperlink" Target="https://vicharkrantibooks.org/productdetail?book_name=HINF0036_ASANTULAN_KO_MITANE_VALI_AVTAR_PRAKRIYA_KA_AVIRBHAV_SANNIKAT_xxyyyy&amp;product_id=256" TargetMode="External"/><Relationship Id="rId584" Type="http://schemas.openxmlformats.org/officeDocument/2006/relationships/hyperlink" Target="https://vicharkrantibooks.org/productdetail?book_name=HINP0393_JIVAN_SADHANA_KAREN_DEVATA_BANEN_xx2011&amp;product_id=958" TargetMode="External"/><Relationship Id="rId805" Type="http://schemas.openxmlformats.org/officeDocument/2006/relationships/hyperlink" Target="https://vicharkrantibooks.org/productdetail?book_name=HINP0305_GHAR_EK_TAPOVAN_PARIWAR_EK_PRAYOGASHALA_xx2011&amp;product_id=870" TargetMode="External"/><Relationship Id="rId1130" Type="http://schemas.openxmlformats.org/officeDocument/2006/relationships/hyperlink" Target="https://vicharkrantibooks.org/productdetail?book_name=HINP0066_APANE_KO_PAHACHANE_xxyyyy&amp;product_id=631" TargetMode="External"/><Relationship Id="rId1228" Type="http://schemas.openxmlformats.org/officeDocument/2006/relationships/hyperlink" Target="https://vicharkrantibooks.org/productdetail?book_name=HINP0640_PARV_TYAUHAR_EK_SAMAJIK_SANSKAR_xxyyyy&amp;product_id=1205" TargetMode="External"/><Relationship Id="rId5" Type="http://schemas.openxmlformats.org/officeDocument/2006/relationships/hyperlink" Target="https://vicharkrantibooks.org/productdetail?book_name=HINP0951_VATAVARAN_KA_PRABHAV_xxyyyy&amp;product_id=1516" TargetMode="External"/><Relationship Id="rId237" Type="http://schemas.openxmlformats.org/officeDocument/2006/relationships/hyperlink" Target="https://vicharkrantibooks.org/productdetail?book_name=HINP0893_SWASTH_EVAM_DIRGH_JIVAN_KI_KUNJI_AHAR_SANYAM_xx1982&amp;product_id=1458" TargetMode="External"/><Relationship Id="rId791" Type="http://schemas.openxmlformats.org/officeDocument/2006/relationships/hyperlink" Target="https://vicharkrantibooks.org/productdetail?book_name=HINP0953_VAYU_PRADUSHAN_AUR_TULASI_ROPAN_xxyyyy&amp;product_id=1518" TargetMode="External"/><Relationship Id="rId889" Type="http://schemas.openxmlformats.org/officeDocument/2006/relationships/hyperlink" Target="https://vicharkrantibooks.org/productdetail?book_name=HINP0694_PUSTAKALAY_SACHCHE_DEVALAY_xxyyyy&amp;product_id=1259" TargetMode="External"/><Relationship Id="rId1074" Type="http://schemas.openxmlformats.org/officeDocument/2006/relationships/hyperlink" Target="https://vicharkrantibooks.org/productdetail?book_name=HINP0354_IKKISAVI_SADI_KI_DAINIK_SADHANA_xxyyyy&amp;product_id=919" TargetMode="External"/><Relationship Id="rId444" Type="http://schemas.openxmlformats.org/officeDocument/2006/relationships/hyperlink" Target="https://vicharkrantibooks.org/productdetail?book_name=HINP0637_PARIWARIK_ACHAR_SANHITA_KI_AVASHYAKATA_xxyyyy&amp;product_id=1202" TargetMode="External"/><Relationship Id="rId651" Type="http://schemas.openxmlformats.org/officeDocument/2006/relationships/hyperlink" Target="https://vicharkrantibooks.org/productdetail?book_name=ENGP0968_ASSIGN_YOUR_GOALS_IN_STUDENT_LIFE_xxyyyy&amp;product_id=3507" TargetMode="External"/><Relationship Id="rId749" Type="http://schemas.openxmlformats.org/officeDocument/2006/relationships/hyperlink" Target="https://vicharkrantibooks.org/productdetail?book_name=HINP0132_BALIVAISHV_YAGY_Re2014&amp;product_id=697" TargetMode="External"/><Relationship Id="rId290" Type="http://schemas.openxmlformats.org/officeDocument/2006/relationships/hyperlink" Target="https://vicharkrantibooks.org/productdetail?book_name=GUJP0609_VANCHO_ANE_JIVANMA_UTARO_XXYYYY&amp;product_id=3939" TargetMode="External"/><Relationship Id="rId304" Type="http://schemas.openxmlformats.org/officeDocument/2006/relationships/hyperlink" Target="https://vicharkrantibooks.org/productdetail?product_id=3637" TargetMode="External"/><Relationship Id="rId388" Type="http://schemas.openxmlformats.org/officeDocument/2006/relationships/hyperlink" Target="https://vicharkrantibooks.org/productdetail?book_name=HINF0002_ACHINTY_CHINTAN_SE_MANOBAL_NA_GAVAYEN_xxyyyy&amp;product_id=222" TargetMode="External"/><Relationship Id="rId511" Type="http://schemas.openxmlformats.org/officeDocument/2006/relationships/hyperlink" Target="https://vicharkrantibooks.org/productdetail?book_name=HINP0835_SHAKTI_KE_BHANDAR_SE_SVAYAM_KO_JODEN_xx2011&amp;product_id=1400" TargetMode="External"/><Relationship Id="rId609" Type="http://schemas.openxmlformats.org/officeDocument/2006/relationships/hyperlink" Target="https://vicharkrantibooks.org/productdetail?book_name=HINF0024_AJ_KI_MAHATI_AVASHYAKATA_LOK_NETRUTV_xxyyyy&amp;product_id=244" TargetMode="External"/><Relationship Id="rId956" Type="http://schemas.openxmlformats.org/officeDocument/2006/relationships/hyperlink" Target="https://vicharkrantibooks.org/productdetail?book_name=HINP0604_NIROG_JIVAN_KA_RAHASY_xxyyyy&amp;product_id=1169" TargetMode="External"/><Relationship Id="rId1141" Type="http://schemas.openxmlformats.org/officeDocument/2006/relationships/hyperlink" Target="https://vicharkrantibooks.org/productdetail?book_name=HINP0023_ADHYATMIK_KAYAKALP_KA_VIDHI_VIDHAN_BHAG_2_xx2011&amp;product_id=588" TargetMode="External"/><Relationship Id="rId1239" Type="http://schemas.openxmlformats.org/officeDocument/2006/relationships/hyperlink" Target="https://vicharkrantibooks.org/productdetail?book_name=HINP0011_ADHYATM_EK_NAKAD_DHARM_xx2011&amp;product_id=576" TargetMode="External"/><Relationship Id="rId85" Type="http://schemas.openxmlformats.org/officeDocument/2006/relationships/hyperlink" Target="https://vicharkrantibooks.org/productdetail?book_name=HINP0796_SANTANOTPADAN_KO_NIRUTSAHIT_KIYA_JAE_xxyyyy&amp;product_id=1361" TargetMode="External"/><Relationship Id="rId150" Type="http://schemas.openxmlformats.org/officeDocument/2006/relationships/hyperlink" Target="https://vicharkrantibooks.org/productdetail?book_name=HINP0920_UNCH_NICH_KI_MANYATA_MANAVATA_PAR_KALANK_xxyyyy&amp;product_id=1485" TargetMode="External"/><Relationship Id="rId595" Type="http://schemas.openxmlformats.org/officeDocument/2006/relationships/hyperlink" Target="https://vicharkrantibooks.org/productdetail?book_name=HINP0221_DEVATAON_KE_VARADAN_SATPRAVRUTTIYAN_xx2011&amp;product_id=786" TargetMode="External"/><Relationship Id="rId816" Type="http://schemas.openxmlformats.org/officeDocument/2006/relationships/hyperlink" Target="https://vicharkrantibooks.org/productdetail?book_name=HINP0411_KAISE_HOGA_SAMANVAY_VIGYAN_AUR_ADHYATM_KA_xx2011&amp;product_id=976" TargetMode="External"/><Relationship Id="rId1001" Type="http://schemas.openxmlformats.org/officeDocument/2006/relationships/hyperlink" Target="https://vicharkrantibooks.org/productdetail?book_name=HINP0034_AIYE_IN_SAMASYAON_KA_HAL_DHUNDHEN_xx1982&amp;product_id=599" TargetMode="External"/><Relationship Id="rId248" Type="http://schemas.openxmlformats.org/officeDocument/2006/relationships/hyperlink" Target="https://vicharkrantibooks.org/productdetail?book_name=HINP0845_SHIKHA_SUTR_EVAM_PRATIKON_KA_MAHATV_xxyyyy&amp;product_id=1410" TargetMode="External"/><Relationship Id="rId455" Type="http://schemas.openxmlformats.org/officeDocument/2006/relationships/hyperlink" Target="https://vicharkrantibooks.org/productdetail?book_name=HINP0354_IKKISAVI_SADI_KI_DAINIK_SADHANA_xxyyyy&amp;product_id=919" TargetMode="External"/><Relationship Id="rId662" Type="http://schemas.openxmlformats.org/officeDocument/2006/relationships/hyperlink" Target="https://vicharkrantibooks.org/productdetail?book_name=HINF0011_ADHYATM_MANAVATA_KA_PRAN-SANSKRUTI_KA_MERUDAND_xxyyyy&amp;product_id=231" TargetMode="External"/><Relationship Id="rId1085" Type="http://schemas.openxmlformats.org/officeDocument/2006/relationships/hyperlink" Target="https://vicharkrantibooks.org/productdetail?book_name=HINP0182_BUDDHIVAD_AUR_NITI_NISHTHA_KA_SAMANVAY_xx1982&amp;product_id=747" TargetMode="External"/><Relationship Id="rId12" Type="http://schemas.openxmlformats.org/officeDocument/2006/relationships/hyperlink" Target="https://vicharkrantibooks.org/productdetail?book_name=HINF0036_ASANTULAN_KO_MITANE_VALI_AVTAR_PRAKRIYA_KA_AVIRBHAV_SANNIKAT_xxyyyy&amp;product_id=256" TargetMode="External"/><Relationship Id="rId108" Type="http://schemas.openxmlformats.org/officeDocument/2006/relationships/hyperlink" Target="https://vicharkrantibooks.org/productdetail?book_name=HINP0215_DEV_SANSKRUTI_KI_GARIMA_AUR_USAKE_VISTAR_KI_ASIM_SAMBHAVANAEN_xx1982&amp;product_id=780" TargetMode="External"/><Relationship Id="rId315" Type="http://schemas.openxmlformats.org/officeDocument/2006/relationships/hyperlink" Target="https://vicharkrantibooks.org/productdetail?book_name=HINP0055_APANA_APA_KITANA_MAHAN_KITANA_SAMARTH_xx1982&amp;product_id=620" TargetMode="External"/><Relationship Id="rId522" Type="http://schemas.openxmlformats.org/officeDocument/2006/relationships/hyperlink" Target="https://vicharkrantibooks.org/productdetail?book_name=HINP0733_SADGUN_BADHAEN_SHISHTACHAR_APANAE_xxyyyy&amp;product_id=1298" TargetMode="External"/><Relationship Id="rId967" Type="http://schemas.openxmlformats.org/officeDocument/2006/relationships/hyperlink" Target="https://vicharkrantibooks.org/productdetail?book_name=HINP0713_RUSHI_CHINTAN_KE_SANIDHYA_MEIN_02_(POCKET)_xxyyyy&amp;product_id=1278" TargetMode="External"/><Relationship Id="rId1152" Type="http://schemas.openxmlformats.org/officeDocument/2006/relationships/hyperlink" Target="https://vicharkrantibooks.org/productdetail?book_name=HINP0628_PARIWAR_KA_PALAN_HI_NAHI_NIRMAN_BHI_KAREN_xxyyyy&amp;product_id=1193" TargetMode="External"/><Relationship Id="rId96" Type="http://schemas.openxmlformats.org/officeDocument/2006/relationships/hyperlink" Target="https://vicharkrantibooks.org/productdetail?product_id=3821" TargetMode="External"/><Relationship Id="rId161" Type="http://schemas.openxmlformats.org/officeDocument/2006/relationships/hyperlink" Target="https://vicharkrantibooks.org/productdetail?book_name=HINP0510_MANHSTHITI_SE_PARISTHITIYON_KA_NIRMAN_xx1978&amp;product_id=1075" TargetMode="External"/><Relationship Id="rId399" Type="http://schemas.openxmlformats.org/officeDocument/2006/relationships/hyperlink" Target="https://vicharkrantibooks.org/productdetail?book_name=GUJP0521_MANTRANA_NAME_MATRA_UCHCHARAN_XXYYYY&amp;product_id=3765" TargetMode="External"/><Relationship Id="rId827" Type="http://schemas.openxmlformats.org/officeDocument/2006/relationships/hyperlink" Target="https://vicharkrantibooks.org/productdetail?book_name=HINP0059_APANE_ANG_AVAYAVON_SE_Re2015&amp;product_id=624" TargetMode="External"/><Relationship Id="rId1012" Type="http://schemas.openxmlformats.org/officeDocument/2006/relationships/hyperlink" Target="https://vicharkrantibooks.org/productdetail?book_name=HINP0636_PARIWAR_YON_NA_TODEN_xxyyyy&amp;product_id=1201" TargetMode="External"/><Relationship Id="rId259" Type="http://schemas.openxmlformats.org/officeDocument/2006/relationships/hyperlink" Target="https://drive.google.com/file/d/1D5xMHoUye9OqRb83E1S0HYWpjjidSavs/view?usp=sharing" TargetMode="External"/><Relationship Id="rId466" Type="http://schemas.openxmlformats.org/officeDocument/2006/relationships/hyperlink" Target="https://vicharkrantibooks.org/productdetail?book_name=HINP0740_SADHANA_MEIN_VATAVARAN_AUR_SHRADDHA_KI_MAHATTA_xx2011&amp;product_id=1305" TargetMode="External"/><Relationship Id="rId673" Type="http://schemas.openxmlformats.org/officeDocument/2006/relationships/hyperlink" Target="https://vicharkrantibooks.org/productdetail?book_name=HINF0009_ADHYATM_KA_LAKSHY_ADHAR_AUR_PRAYOG_xxyyyy&amp;product_id=229" TargetMode="External"/><Relationship Id="rId880" Type="http://schemas.openxmlformats.org/officeDocument/2006/relationships/hyperlink" Target="https://vicharkrantibooks.org/productdetail?book_name=HINP0107_ATMIYATA_KA_AMRUT_AUR_USAKA_RASASVADAN_xx1981&amp;product_id=672" TargetMode="External"/><Relationship Id="rId1096" Type="http://schemas.openxmlformats.org/officeDocument/2006/relationships/hyperlink" Target="https://vicharkrantibooks.org/productdetail?book_name=ENGP0714_IN_THE_ANGELIC_LIGHT_OF_RISHI_THOUGHTS_3_xxyyyy&amp;product_id=3462" TargetMode="External"/><Relationship Id="rId23" Type="http://schemas.openxmlformats.org/officeDocument/2006/relationships/hyperlink" Target="https://vicharkrantibooks.org/productdetail?book_name=HINP1055_YUG_PARIVARTAN_KI_PRAKRIYA_AUR_PADDHATI_xx1981&amp;product_id=1620" TargetMode="External"/><Relationship Id="rId119" Type="http://schemas.openxmlformats.org/officeDocument/2006/relationships/hyperlink" Target="https://vicharkrantibooks.org/productdetail?book_name=HINF0014_ADHYATM_VIGYAN_SAMMAT_BANE_VIGYAN_ADHYATM_PARAK_xxyyyy&amp;product_id=234" TargetMode="External"/><Relationship Id="rId326" Type="http://schemas.openxmlformats.org/officeDocument/2006/relationships/hyperlink" Target="https://vicharkrantibooks.org/productdetail?book_name=GUJP0835_SHAKTIBHANDAR_SATHE_POTANE_JODO_XXYYYY&amp;product_id=3746" TargetMode="External"/><Relationship Id="rId533" Type="http://schemas.openxmlformats.org/officeDocument/2006/relationships/hyperlink" Target="https://vicharkrantibooks.org/productdetail?book_name=ENGP0733_INCREASE_YOUR_MERITS_AND_OBSERVE_CIVILITY_xxyyyy&amp;product_id=3511" TargetMode="External"/><Relationship Id="rId978" Type="http://schemas.openxmlformats.org/officeDocument/2006/relationships/hyperlink" Target="https://vicharkrantibooks.org/productdetail?book_name=HINP0091_ATMABAL_JIVAN_KI_SARVOPARI_SAMPADA_xxyyyy&amp;product_id=656" TargetMode="External"/><Relationship Id="rId1163" Type="http://schemas.openxmlformats.org/officeDocument/2006/relationships/hyperlink" Target="https://vicharkrantibooks.org/productdetail?book_name=HINP0019_ADHYATM_PARAK_SHIKSHA_KE_MULBHUT_ADHAR_xx1982&amp;product_id=584" TargetMode="External"/><Relationship Id="rId740" Type="http://schemas.openxmlformats.org/officeDocument/2006/relationships/hyperlink" Target="https://vicharkrantibooks.org/productdetail?book_name=HINP1107_GAYATRI_EKMUKHI_AUR_PANCHAMUKHI_xx1979&amp;product_id=1672" TargetMode="External"/><Relationship Id="rId838" Type="http://schemas.openxmlformats.org/officeDocument/2006/relationships/hyperlink" Target="http://literature.awgp.org/book/Married_Life_A_Perfect_Yoga/v1" TargetMode="External"/><Relationship Id="rId1023" Type="http://schemas.openxmlformats.org/officeDocument/2006/relationships/hyperlink" Target="https://vicharkrantibooks.org/productdetail?book_name=HINP0634_PARIWAR_NIRMAN_KE_SWARNIM_SUTR_xxyyyy&amp;product_id=1199" TargetMode="External"/><Relationship Id="rId172" Type="http://schemas.openxmlformats.org/officeDocument/2006/relationships/hyperlink" Target="https://drive.google.com/file/d/1SIgP7GfPxKuvAKxJGbOGIMZLu6j4iT_3/view?usp=sharing" TargetMode="External"/><Relationship Id="rId477" Type="http://schemas.openxmlformats.org/officeDocument/2006/relationships/hyperlink" Target="https://vicharkrantibooks.org/productdetail?book_name=ENGP0676_SCIENTIFIC_APPROACH_TO_TALENT_GROWTH_xxyyyy&amp;product_id=3515" TargetMode="External"/><Relationship Id="rId600" Type="http://schemas.openxmlformats.org/officeDocument/2006/relationships/hyperlink" Target="https://vicharkrantibooks.org/productdetail?book_name=HINF0034_APANI_BHAVASAMPADA_JAGAEN_SHREY_PAEN_xxyyyy&amp;product_id=254" TargetMode="External"/><Relationship Id="rId684" Type="http://schemas.openxmlformats.org/officeDocument/2006/relationships/hyperlink" Target="https://vicharkrantibooks.org/productdetail?book_name=ENGR1152_DONATION_OF_TIME_THE_SUPREME_CHARITY_RE2011&amp;product_id=3411" TargetMode="External"/><Relationship Id="rId1230" Type="http://schemas.openxmlformats.org/officeDocument/2006/relationships/hyperlink" Target="https://vicharkrantibooks.org/productdetail?book_name=HINP0318_GURUGITA_PATH_VIDHI_Re2014&amp;product_id=883" TargetMode="External"/><Relationship Id="rId337" Type="http://schemas.openxmlformats.org/officeDocument/2006/relationships/hyperlink" Target="https://vicharkrantibooks.org/productdetail?book_name=HINP0007_ADHUNIK_DAUD_ME_FAISHION_KA_PARITYAG_KIJIE_xxyyyy&amp;product_id=572" TargetMode="External"/><Relationship Id="rId891" Type="http://schemas.openxmlformats.org/officeDocument/2006/relationships/hyperlink" Target="https://vicharkrantibooks.org/productdetail?book_name=HINP0063_APANE_BHRAHAMAN_EVAM_SANT_KO_JINDA_RAKHEN_xx2011&amp;product_id=628" TargetMode="External"/><Relationship Id="rId905" Type="http://schemas.openxmlformats.org/officeDocument/2006/relationships/hyperlink" Target="http://literature.awgp.org/book/The_Revival_of_Satyug_The_Golden_Age/v1" TargetMode="External"/><Relationship Id="rId989" Type="http://schemas.openxmlformats.org/officeDocument/2006/relationships/hyperlink" Target="https://vicharkrantibooks.org/productdetail?book_name=HINP0928_UPASANA_SE_ANIST_KI_ASHANKA_NA_KAREN_xx1982&amp;product_id=1493" TargetMode="External"/><Relationship Id="rId34" Type="http://schemas.openxmlformats.org/officeDocument/2006/relationships/hyperlink" Target="https://vicharkrantibooks.org/productdetail?book_name=ENGP0717_IN_THE_ANGELIC_LIGHT_OF_RISHI_THOUGHTS_6_xxyyyy&amp;product_id=3465" TargetMode="External"/><Relationship Id="rId544" Type="http://schemas.openxmlformats.org/officeDocument/2006/relationships/hyperlink" Target="https://vicharkrantibooks.org/productdetail?book_name=HINP0663_PRAN_SHAKTI_AKUT_URJA_KA_STROT_xxyyyy&amp;product_id=1228" TargetMode="External"/><Relationship Id="rId751" Type="http://schemas.openxmlformats.org/officeDocument/2006/relationships/hyperlink" Target="https://vicharkrantibooks.org/productdetail?book_name=HINP0110_ATMTEJOBALAM_BALAM_xx1979&amp;product_id=675" TargetMode="External"/><Relationship Id="rId849" Type="http://schemas.openxmlformats.org/officeDocument/2006/relationships/hyperlink" Target="https://vicharkrantibooks.org/productdetail?book_name=HINP0432_KAYA_KI_ANTARIK_SANRACHANA_xxyyyy&amp;product_id=997" TargetMode="External"/><Relationship Id="rId1174" Type="http://schemas.openxmlformats.org/officeDocument/2006/relationships/hyperlink" Target="https://vicharkrantibooks.org/productdetail?book_name=ENGP0713_IN_THE_ANGELIC_LIGHT_OF_RISHI_THOUGHTS_2_xxyyyy&amp;product_id=3461" TargetMode="External"/><Relationship Id="rId183" Type="http://schemas.openxmlformats.org/officeDocument/2006/relationships/hyperlink" Target="https://vicharkrantibooks.org/productdetail?product_id=3767" TargetMode="External"/><Relationship Id="rId390" Type="http://schemas.openxmlformats.org/officeDocument/2006/relationships/hyperlink" Target="https://vicharkrantibooks.org/productdetail?book_name=GUJP0527_MANUSHYANA_MULYANKANANO_ADHAR_ADHYATMIKATA_XXYYYY&amp;product_id=3758" TargetMode="External"/><Relationship Id="rId404" Type="http://schemas.openxmlformats.org/officeDocument/2006/relationships/hyperlink" Target="https://vicharkrantibooks.org/productdetail?book_name=HINP1050_YUG_PARIVARTAN_ISLAMIK_DRUSHTIKON_xx2013&amp;product_id=1615" TargetMode="External"/><Relationship Id="rId611" Type="http://schemas.openxmlformats.org/officeDocument/2006/relationships/hyperlink" Target="https://vicharkrantibooks.org/productdetail?book_name=HINF0028_ANTARAL_KE_PARISHODHAN_KI_PRAYASHCHIT_PRAKRIYA_xxyyyy&amp;product_id=248" TargetMode="External"/><Relationship Id="rId1034" Type="http://schemas.openxmlformats.org/officeDocument/2006/relationships/hyperlink" Target="https://vicharkrantibooks.org/productdetail?book_name=HINP0395_JIVAN_SADHANA_KI_URJA_RASHAMIYAN_xxyyyy&amp;product_id=960" TargetMode="External"/><Relationship Id="rId1241" Type="http://schemas.openxmlformats.org/officeDocument/2006/relationships/hyperlink" Target="https://vicharkrantibooks.org/productdetail?book_name=HINP0498_MANASIK_TANAV_SE_BACHEN_xxyyyy&amp;product_id=1063" TargetMode="External"/><Relationship Id="rId250" Type="http://schemas.openxmlformats.org/officeDocument/2006/relationships/hyperlink" Target="https://vicharkrantibooks.org/productdetail?product_id=3918" TargetMode="External"/><Relationship Id="rId488" Type="http://schemas.openxmlformats.org/officeDocument/2006/relationships/hyperlink" Target="https://vicharkrantibooks.org/productdetail?book_name=HINP0749_SAHASTITV_KA_NAISARGIK_NIYAM_xx1982&amp;product_id=1314" TargetMode="External"/><Relationship Id="rId695" Type="http://schemas.openxmlformats.org/officeDocument/2006/relationships/hyperlink" Target="https://vicharkrantibooks.org/productdetail?book_name=HINP1095_IMANADARI_KA_MARG_APANAEN_xxyyyy&amp;product_id=1660" TargetMode="External"/><Relationship Id="rId709" Type="http://schemas.openxmlformats.org/officeDocument/2006/relationships/hyperlink" Target="https://vicharkrantibooks.org/productdetail?book_name=HINP1058_YUG_PARIVARTAN_MEIN_SAMARTH_DIPYAGY_xx2011&amp;product_id=1623" TargetMode="External"/><Relationship Id="rId916" Type="http://schemas.openxmlformats.org/officeDocument/2006/relationships/hyperlink" Target="https://vicharkrantibooks.org/productdetail?book_name=HINP0116_AVATAR_KA_PRAYOJAN_AUR_SWARUP_xx1981&amp;product_id=681" TargetMode="External"/><Relationship Id="rId1101" Type="http://schemas.openxmlformats.org/officeDocument/2006/relationships/hyperlink" Target="https://vicharkrantibooks.org/productdetail?book_name=HINP0298_GAYATRI_UPASANA_KYON_KARE_xxyyyy&amp;product_id=863" TargetMode="External"/><Relationship Id="rId45" Type="http://schemas.openxmlformats.org/officeDocument/2006/relationships/hyperlink" Target="https://vicharkrantibooks.org/productdetail?product_id=3968" TargetMode="External"/><Relationship Id="rId110" Type="http://schemas.openxmlformats.org/officeDocument/2006/relationships/hyperlink" Target="https://vicharkrantibooks.org/productdetail?book_name=HINP1101_DHARM_KENDR_ASTIKATA_AUR_SATPRAVRUTTIYAN_JAGAEN_xxyyyy&amp;product_id=1666" TargetMode="External"/><Relationship Id="rId348" Type="http://schemas.openxmlformats.org/officeDocument/2006/relationships/hyperlink" Target="https://vicharkrantibooks.org/productdetail?book_name=GUJP0161_BHAVI_MAHABHARAT_AA_RITE_LADASHE_XXYYYY&amp;product_id=3788" TargetMode="External"/><Relationship Id="rId555" Type="http://schemas.openxmlformats.org/officeDocument/2006/relationships/hyperlink" Target="https://vicharkrantibooks.org/productdetail?book_name=HINP0810_SAPHALATA_KI_JANANI_SANKALP_SHAKTI_xxyyyy&amp;product_id=1375" TargetMode="External"/><Relationship Id="rId762" Type="http://schemas.openxmlformats.org/officeDocument/2006/relationships/hyperlink" Target="https://vicharkrantibooks.org/productdetail?book_name=HINP0912_TRUSHNA_GRAST_SWARTH_SANKINATA_PARALE_SIRE_KI_MURKHATA_xx1982&amp;product_id=1477" TargetMode="External"/><Relationship Id="rId1185" Type="http://schemas.openxmlformats.org/officeDocument/2006/relationships/hyperlink" Target="https://vicharkrantibooks.org/productdetail?book_name=HINP0712_RUSHI_CHINTAN_KE_SANIDHYA_MEIN_01_(POCKET)_xxyyyy&amp;product_id=1277" TargetMode="External"/><Relationship Id="rId194" Type="http://schemas.openxmlformats.org/officeDocument/2006/relationships/hyperlink" Target="https://vicharkrantibooks.org/productdetail?product_id=3784" TargetMode="External"/><Relationship Id="rId208" Type="http://schemas.openxmlformats.org/officeDocument/2006/relationships/hyperlink" Target="https://drive.google.com/file/d/1AkyrbQ3GhK_pbXmtovt2USr2vUxkuivW/view?usp=sharing" TargetMode="External"/><Relationship Id="rId415" Type="http://schemas.openxmlformats.org/officeDocument/2006/relationships/hyperlink" Target="https://vicharkrantibooks.org/productdetail?book_name=ENGP0968_ASSIGN_YOUR_GOALS_IN_STUDENT_LIFE_xxyyyy&amp;product_id=3507" TargetMode="External"/><Relationship Id="rId622" Type="http://schemas.openxmlformats.org/officeDocument/2006/relationships/hyperlink" Target="https://vicharkrantibooks.org/productdetail?product_id=322" TargetMode="External"/><Relationship Id="rId1045" Type="http://schemas.openxmlformats.org/officeDocument/2006/relationships/hyperlink" Target="https://vicharkrantibooks.org/productdetail?book_name=HINP0400_JIVANADATA_SURY_xxyyyy&amp;product_id=965" TargetMode="External"/><Relationship Id="rId261" Type="http://schemas.openxmlformats.org/officeDocument/2006/relationships/hyperlink" Target="https://vicharkrantibooks.org/productdetail?book_name=HINP0357_IN_AVANCHHANIY_MUDH_MANYATAON_KO_UKHAD_PHENKEN_xxyyyy&amp;product_id=922" TargetMode="External"/><Relationship Id="rId499" Type="http://schemas.openxmlformats.org/officeDocument/2006/relationships/hyperlink" Target="https://vicharkrantibooks.org/productdetail?book_name=HINP1020_YAGYAGNI_HAMARI_PUROHIT_xx2011&amp;product_id=1585" TargetMode="External"/><Relationship Id="rId927" Type="http://schemas.openxmlformats.org/officeDocument/2006/relationships/hyperlink" Target="https://vicharkrantibooks.org/productdetail?book_name=HINP0660_PRAKRUTIK_JIVAN_xxyyyy&amp;product_id=1225" TargetMode="External"/><Relationship Id="rId1112" Type="http://schemas.openxmlformats.org/officeDocument/2006/relationships/hyperlink" Target="https://vicharkrantibooks.org/productdetail?book_name=HINP0386_JIVAN_DEVATA_KI_ANIVARY_SADHANA_xx2011&amp;product_id=951" TargetMode="External"/><Relationship Id="rId56" Type="http://schemas.openxmlformats.org/officeDocument/2006/relationships/hyperlink" Target="https://vicharkrantibooks.org/productdetail?book_name=HINP0846_SHIKSHA_KO_SARTHAK_BANAYA_JAY_xx1981&amp;product_id=1411" TargetMode="External"/><Relationship Id="rId359" Type="http://schemas.openxmlformats.org/officeDocument/2006/relationships/hyperlink" Target="https://vicharkrantibooks.org/productdetail?book_name=GUJP0424_KARMAKANDMA_CHHUPAYELU_VYAKTITV_NIRMANANU_SHIKSHAN_XXYYYY&amp;product_id=3763" TargetMode="External"/><Relationship Id="rId566" Type="http://schemas.openxmlformats.org/officeDocument/2006/relationships/hyperlink" Target="https://vicharkrantibooks.org/productdetail?book_name=HINP0525_MANUSHY_EK_BHATAKA_HUA_DEVATA_xx2011&amp;product_id=1090" TargetMode="External"/><Relationship Id="rId773" Type="http://schemas.openxmlformats.org/officeDocument/2006/relationships/hyperlink" Target="https://vicharkrantibooks.org/productdetail?book_name=HINP0286_GAYATRI_MAHAVIDHYA_KI_UCHCHASTARIY_SADHANA_xx2011&amp;product_id=851" TargetMode="External"/><Relationship Id="rId1196" Type="http://schemas.openxmlformats.org/officeDocument/2006/relationships/hyperlink" Target="https://vicharkrantibooks.org/productdetail?book_name=HINP0409_KAID_MEIN_NA_PADE_RAHIYE_xx1979&amp;product_id=974" TargetMode="External"/><Relationship Id="rId121" Type="http://schemas.openxmlformats.org/officeDocument/2006/relationships/hyperlink" Target="https://vicharkrantibooks.org/productdetail?product_id=3811" TargetMode="External"/><Relationship Id="rId219" Type="http://schemas.openxmlformats.org/officeDocument/2006/relationships/hyperlink" Target="https://drive.google.com/file/d/1MxJ_DBMCMMTlcE15A6R08LdjjWhn4keL/view?usp=sharing" TargetMode="External"/><Relationship Id="rId426" Type="http://schemas.openxmlformats.org/officeDocument/2006/relationships/hyperlink" Target="https://vicharkrantibooks.org/productdetail?book_name=HINP0320_GYAN_KA_PRAKASH_GHAR_GHAR_PAHUNCHAYA_JAE_xxyyyy&amp;product_id=885" TargetMode="External"/><Relationship Id="rId633" Type="http://schemas.openxmlformats.org/officeDocument/2006/relationships/hyperlink" Target="https://vicharkrantibooks.org/productdetail?book_name=HINF0014_ADHYATM_VIGYAN_SAMMAT_BANE_VIGYAN_ADHYATM_PARAK_xxyyyy&amp;product_id=234" TargetMode="External"/><Relationship Id="rId980" Type="http://schemas.openxmlformats.org/officeDocument/2006/relationships/hyperlink" Target="https://vicharkrantibooks.org/productdetail?book_name=HINP0012_ADHYATM_EK_PRAKAR_KA_SAMAR_xx2011&amp;product_id=577" TargetMode="External"/><Relationship Id="rId1056" Type="http://schemas.openxmlformats.org/officeDocument/2006/relationships/hyperlink" Target="https://vicharkrantibooks.org/productdetail?book_name=HINP0973_VIGYAN_KA_SAHAYOGI_ADHISTHATA_HAI_ADHYATM_xx1982&amp;product_id=1538" TargetMode="External"/><Relationship Id="rId840" Type="http://schemas.openxmlformats.org/officeDocument/2006/relationships/hyperlink" Target="https://vicharkrantibooks.org/productdetail?book_name=HINP0020_ADHYATM_URJA_KE_PRAKATIKARAN_KI_SADHANA_xx1981&amp;product_id=585" TargetMode="External"/><Relationship Id="rId938" Type="http://schemas.openxmlformats.org/officeDocument/2006/relationships/hyperlink" Target="https://vicharkrantibooks.org/productdetail?book_name=HINP0430_KARTAVY_PARAYANATA_APANAEN_xxyyyy&amp;product_id=995" TargetMode="External"/><Relationship Id="rId67" Type="http://schemas.openxmlformats.org/officeDocument/2006/relationships/hyperlink" Target="https://vicharkrantibooks.org/productdetail?product_id=3954" TargetMode="External"/><Relationship Id="rId272" Type="http://schemas.openxmlformats.org/officeDocument/2006/relationships/hyperlink" Target="https://vicharkrantibooks.org/productdetail?book_name=HINP0274_GAU_ADHARIT_ARTH_VYAVASTHA_xxyyyy&amp;product_id=839" TargetMode="External"/><Relationship Id="rId577" Type="http://schemas.openxmlformats.org/officeDocument/2006/relationships/hyperlink" Target="https://vicharkrantibooks.org/productdetail?book_name=HINP0177_BOYA_KATA_KA_AKATY_SIDDHANT_xx2011&amp;product_id=742" TargetMode="External"/><Relationship Id="rId700" Type="http://schemas.openxmlformats.org/officeDocument/2006/relationships/hyperlink" Target="https://vicharkrantibooks.org/productdetail?book_name=HINP0973_VIGYAN_KA_SAHAYOGI_ADHISTHATA_HAI_ADHYATM_xx1982&amp;product_id=1538" TargetMode="External"/><Relationship Id="rId1123" Type="http://schemas.openxmlformats.org/officeDocument/2006/relationships/hyperlink" Target="https://vicharkrantibooks.org/productdetail?book_name=HINP0475_MAHAMANAVON_KA_SATSANG_PRASHIKSHAN_SWADHYAY_KE_MADHYAM_SE_xx1981&amp;product_id=1040" TargetMode="External"/><Relationship Id="rId132" Type="http://schemas.openxmlformats.org/officeDocument/2006/relationships/hyperlink" Target="https://vicharkrantibooks.org/productdetail?book_name=HINP0526_MANUSHY_JIVAN_KI_GAURAV_GARIMA_xx1978&amp;product_id=1091" TargetMode="External"/><Relationship Id="rId784" Type="http://schemas.openxmlformats.org/officeDocument/2006/relationships/hyperlink" Target="https://vicharkrantibooks.org/productdetail?book_name=HINP0385_JIVAN_AUR_MARAN_KA_ANYONYASHRIT_GATICHAKR_xx1981&amp;product_id=950" TargetMode="External"/><Relationship Id="rId991" Type="http://schemas.openxmlformats.org/officeDocument/2006/relationships/hyperlink" Target="https://vicharkrantibooks.org/productdetail?book_name=HINP0902_TAP_AUR_YOG_KE_MARMIK_PAKSH_xx2011&amp;product_id=1467" TargetMode="External"/><Relationship Id="rId1067" Type="http://schemas.openxmlformats.org/officeDocument/2006/relationships/hyperlink" Target="https://vicharkrantibooks.org/productdetail?book_name=ENGP0498_BE_SAVED_FROM_MENTAL_TENSION_xxyyyy&amp;product_id=3452" TargetMode="External"/><Relationship Id="rId437" Type="http://schemas.openxmlformats.org/officeDocument/2006/relationships/hyperlink" Target="https://vicharkrantibooks.org/productdetail?book_name=HINP0466_MAHAKAL_KA_SANDESH_JAAGRUT_ATMAON_KE_NAM_xxyyyy&amp;product_id=1031" TargetMode="External"/><Relationship Id="rId644" Type="http://schemas.openxmlformats.org/officeDocument/2006/relationships/hyperlink" Target="https://vicharkrantibooks.org/productdetail?book_name=HINP0695_PYAR_AUR_SAHAKAR_BHARE_PARIWAR_BASEN_xx2011&amp;product_id=1260" TargetMode="External"/><Relationship Id="rId851" Type="http://schemas.openxmlformats.org/officeDocument/2006/relationships/hyperlink" Target="https://vicharkrantibooks.org/productdetail?book_name=HINP0224_DHAN_KO_PIDIT_MANAVATA_NE_PUKARA_HAI_xxyyyy&amp;product_id=789" TargetMode="External"/><Relationship Id="rId283" Type="http://schemas.openxmlformats.org/officeDocument/2006/relationships/hyperlink" Target="https://vicharkrantibooks.org/productdetail?book_name=HINP1012_VYAKTITV_NIRMAN_KI_PRAYOGASHALA_PARIWAR_SANSTHA_xx1982&amp;product_id=1577" TargetMode="External"/><Relationship Id="rId490" Type="http://schemas.openxmlformats.org/officeDocument/2006/relationships/hyperlink" Target="https://vicharkrantibooks.org/productdetail?book_name=HINP1079_YOG_PRASUPT_KI_JAGRUTI_KA_UCHCHASTARIY_VIGYAN_xxyyyy&amp;product_id=1644" TargetMode="External"/><Relationship Id="rId504" Type="http://schemas.openxmlformats.org/officeDocument/2006/relationships/hyperlink" Target="https://vicharkrantibooks.org/productdetail?book_name=HINP0010_ADHYATM_ARTHAT%E2%80%8C_UTKRUSHT_CHINTAN_ADARSH_KARTUTV_xx1982&amp;product_id=575" TargetMode="External"/><Relationship Id="rId711" Type="http://schemas.openxmlformats.org/officeDocument/2006/relationships/hyperlink" Target="https://vicharkrantibooks.org/productdetail?book_name=HINP0414_KAM_ULLAS_KA_SRUJANATMAK_UPAYOG_xxyyyy&amp;product_id=979" TargetMode="External"/><Relationship Id="rId949" Type="http://schemas.openxmlformats.org/officeDocument/2006/relationships/hyperlink" Target="https://vicharkrantibooks.org/productdetail?book_name=HINP0219_DEVASHAKTIYON_KA_PUJAN_KAISE_KAREN_xx2011&amp;product_id=784" TargetMode="External"/><Relationship Id="rId1134" Type="http://schemas.openxmlformats.org/officeDocument/2006/relationships/hyperlink" Target="https://vicharkrantibooks.org/productdetail?book_name=HINP0432_KAYA_KI_ANTARIK_SANRACHANA_xxyyyy&amp;product_id=997" TargetMode="External"/><Relationship Id="rId78" Type="http://schemas.openxmlformats.org/officeDocument/2006/relationships/hyperlink" Target="https://vicharkrantibooks.org/productdetail?book_name=HINR1083_RASHTR_SAMARTH_AUR_SASHAKT_KAISE_BANE_Re2011&amp;product_id=2768" TargetMode="External"/><Relationship Id="rId143" Type="http://schemas.openxmlformats.org/officeDocument/2006/relationships/hyperlink" Target="https://vicharkrantibooks.org/productdetail?product_id=3802" TargetMode="External"/><Relationship Id="rId350" Type="http://schemas.openxmlformats.org/officeDocument/2006/relationships/hyperlink" Target="https://vicharkrantibooks.org/productdetail?book_name=HINP1047_YUG_NIRMAN_YOJANA_EK_PARICHAY_xxyyyy&amp;product_id=1612" TargetMode="External"/><Relationship Id="rId588" Type="http://schemas.openxmlformats.org/officeDocument/2006/relationships/hyperlink" Target="https://vicharkrantibooks.org/productdetail?book_name=HINP0305_GHAR_EK_TAPOVAN_PARIWAR_EK_PRAYOGASHALA_xx2011&amp;product_id=870" TargetMode="External"/><Relationship Id="rId795" Type="http://schemas.openxmlformats.org/officeDocument/2006/relationships/hyperlink" Target="http://literature.awgp.org/book/PROBLEMS_OF_TODAY_SOLUTIONS_FOR_TOMORROW/v1" TargetMode="External"/><Relationship Id="rId809" Type="http://schemas.openxmlformats.org/officeDocument/2006/relationships/hyperlink" Target="https://vicharkrantibooks.org/productdetail?book_name=ENGRE043_AWAKE_O%27TALENTED_AND_COME_FORWARD_RE2012&amp;product_id=3436" TargetMode="External"/><Relationship Id="rId1201" Type="http://schemas.openxmlformats.org/officeDocument/2006/relationships/hyperlink" Target="https://vicharkrantibooks.org/productdetail?book_name=HINP0028_ADHYATMVADI_BHAUTIKATA_APANAE_xx1979&amp;product_id=593" TargetMode="External"/><Relationship Id="rId9" Type="http://schemas.openxmlformats.org/officeDocument/2006/relationships/hyperlink" Target="https://vicharkrantibooks.org/productdetail?product_id=3967" TargetMode="External"/><Relationship Id="rId210" Type="http://schemas.openxmlformats.org/officeDocument/2006/relationships/hyperlink" Target="https://vicharkrantibooks.org/productdetail?book_name=HINP1023_YAGYOPACHAR_KI_SWASTHY_SANRAKSHAN_PRAKRIYA_xx1982&amp;product_id=1588" TargetMode="External"/><Relationship Id="rId448" Type="http://schemas.openxmlformats.org/officeDocument/2006/relationships/hyperlink" Target="https://vicharkrantibooks.org/productdetail?book_name=HINP1014_VYASAN_VINASH_KA_SOPAN_xxyyyy&amp;product_id=1579" TargetMode="External"/><Relationship Id="rId655" Type="http://schemas.openxmlformats.org/officeDocument/2006/relationships/hyperlink" Target="https://vicharkrantibooks.org/productdetail?book_name=HINF0153_KRUTY_KISI_KA_SHREY_KISI_KO_xxyyyy&amp;product_id=373" TargetMode="External"/><Relationship Id="rId862" Type="http://schemas.openxmlformats.org/officeDocument/2006/relationships/hyperlink" Target="https://vicharkrantibooks.org/productdetail?book_name=ENGP0863_HAMSA_YOGA_THE_ELIXIR_OF_SELF_REALIZATION_RE2011&amp;product_id=3440" TargetMode="External"/><Relationship Id="rId1078" Type="http://schemas.openxmlformats.org/officeDocument/2006/relationships/hyperlink" Target="https://vicharkrantibooks.org/productdetail?book_name=HINP0003_AB_TO_SAMBHALE_xxyyyy&amp;product_id=568" TargetMode="External"/><Relationship Id="rId294" Type="http://schemas.openxmlformats.org/officeDocument/2006/relationships/hyperlink" Target="https://vicharkrantibooks.org/productdetail?product_id=3910" TargetMode="External"/><Relationship Id="rId308" Type="http://schemas.openxmlformats.org/officeDocument/2006/relationships/hyperlink" Target="https://vicharkrantibooks.org/productdetail?product_id=3921" TargetMode="External"/><Relationship Id="rId515" Type="http://schemas.openxmlformats.org/officeDocument/2006/relationships/hyperlink" Target="https://vicharkrantibooks.org/productdetail?book_name=HINF0072_BHAV_CHETANA_KO_PRABHAVIT_KAREN_AISI_VIDHA_KI_KHOJ_HO_xxyyyy&amp;product_id=292" TargetMode="External"/><Relationship Id="rId722" Type="http://schemas.openxmlformats.org/officeDocument/2006/relationships/hyperlink" Target="https://vicharkrantibooks.org/productdetail?book_name=HINP0445_KSHUDRATA_CHHODEN_MAHANATA_KE_PATH_PAR_CHALEN_xx2011&amp;product_id=1010" TargetMode="External"/><Relationship Id="rId1145" Type="http://schemas.openxmlformats.org/officeDocument/2006/relationships/hyperlink" Target="https://vicharkrantibooks.org/productdetail?book_name=HINP1096_IKKISAVI_SADI_KA_SAMVIDHAN_HAMARA_YUG_NIRMAN_SATSANKALP_xxyyyy&amp;product_id=1661" TargetMode="External"/><Relationship Id="rId89" Type="http://schemas.openxmlformats.org/officeDocument/2006/relationships/hyperlink" Target="https://vicharkrantibooks.org/productdetail?book_name=HINP1053_YUG_PARIVARTAN_KA_YAHI_UPAYUKT_SAMAY_xx1981&amp;product_id=1618" TargetMode="External"/><Relationship Id="rId154" Type="http://schemas.openxmlformats.org/officeDocument/2006/relationships/hyperlink" Target="https://vicharkrantibooks.org/productdetail?product_id=3940" TargetMode="External"/><Relationship Id="rId361" Type="http://schemas.openxmlformats.org/officeDocument/2006/relationships/hyperlink" Target="https://vicharkrantibooks.org/productdetail?product_id=303" TargetMode="External"/><Relationship Id="rId599" Type="http://schemas.openxmlformats.org/officeDocument/2006/relationships/hyperlink" Target="https://vicharkrantibooks.org/productdetail?book_name=HINP0194_CHINTA_RUPI_CHITA_MEIN_JALAKAR_APANI_KSHAMATAYEN_NASHT_NA_KAREN_xx1982&amp;product_id=759" TargetMode="External"/><Relationship Id="rId1005" Type="http://schemas.openxmlformats.org/officeDocument/2006/relationships/hyperlink" Target="http://literature.awgp.org/book/bal_nirman_ki_kahaniyan/v1" TargetMode="External"/><Relationship Id="rId1212" Type="http://schemas.openxmlformats.org/officeDocument/2006/relationships/hyperlink" Target="https://vicharkrantibooks.org/productdetail?book_name=HINP0116_AVATAR_KA_PRAYOJAN_AUR_SWARUP_xx1981&amp;product_id=681" TargetMode="External"/><Relationship Id="rId459" Type="http://schemas.openxmlformats.org/officeDocument/2006/relationships/hyperlink" Target="https://vicharkrantibooks.org/productdetail?book_name=HINP0885_SVAYAM_KO_UNCHA_UTHAEN_VYAKTITVAVAN_BANEN_xx2011&amp;product_id=1450" TargetMode="External"/><Relationship Id="rId666" Type="http://schemas.openxmlformats.org/officeDocument/2006/relationships/hyperlink" Target="https://vicharkrantibooks.org/productdetail?book_name=HINP0428_KARMAYOG_AUR_JIVAN_SADHANA_KI_SADDHI_xx1981&amp;product_id=993" TargetMode="External"/><Relationship Id="rId873" Type="http://schemas.openxmlformats.org/officeDocument/2006/relationships/hyperlink" Target="https://vicharkrantibooks.org/productdetail?book_name=ENGR1152_DONATION_OF_TIME_THE_SUPREME_CHARITY_RE2011&amp;product_id=3411" TargetMode="External"/><Relationship Id="rId1089" Type="http://schemas.openxmlformats.org/officeDocument/2006/relationships/hyperlink" Target="https://vicharkrantibooks.org/productdetail?book_name=HINP0397_JIVAN_VYAPAR_KI_SAPHALATA_KA_ADHAR_SHALINATA_xx1982&amp;product_id=962" TargetMode="External"/><Relationship Id="rId16" Type="http://schemas.openxmlformats.org/officeDocument/2006/relationships/hyperlink" Target="https://vicharkrantibooks.org/productdetail?book_name=HINP0212_DEV_SANSKRUTI_KE_PRATIK_SHIKHA_AUR_SUTR_xxyyyy&amp;product_id=777" TargetMode="External"/><Relationship Id="rId221" Type="http://schemas.openxmlformats.org/officeDocument/2006/relationships/hyperlink" Target="https://vicharkrantibooks.org/productdetail?product_id=3778" TargetMode="External"/><Relationship Id="rId319" Type="http://schemas.openxmlformats.org/officeDocument/2006/relationships/hyperlink" Target="https://vicharkrantibooks.org/productdetail?product_id=511" TargetMode="External"/><Relationship Id="rId526" Type="http://schemas.openxmlformats.org/officeDocument/2006/relationships/hyperlink" Target="https://vicharkrantibooks.org/productdetail?product_id=443" TargetMode="External"/><Relationship Id="rId1156" Type="http://schemas.openxmlformats.org/officeDocument/2006/relationships/hyperlink" Target="https://vicharkrantibooks.org/productdetail?book_name=HINP0628_PARIWAR_KA_PALAN_HI_NAHI_NIRMAN_BHI_KAREN_xxyyyy&amp;product_id=1193" TargetMode="External"/><Relationship Id="rId733" Type="http://schemas.openxmlformats.org/officeDocument/2006/relationships/hyperlink" Target="https://vicharkrantibooks.org/productdetail?book_name=HINP0584_NARI_UTTHAN_KE_BINA_GUJARA_NAHI_xxyyyy&amp;product_id=1149" TargetMode="External"/><Relationship Id="rId940" Type="http://schemas.openxmlformats.org/officeDocument/2006/relationships/hyperlink" Target="https://vicharkrantibooks.org/productdetail?book_name=HINP0429_KARTAVY_NISHTHA_HI_SACHCHI_DHARMIKATA_xx1981&amp;product_id=994" TargetMode="External"/><Relationship Id="rId1016" Type="http://schemas.openxmlformats.org/officeDocument/2006/relationships/hyperlink" Target="https://vicharkrantibooks.org/productdetail?book_name=HINP0626_PARIWAR_BANE_SWARG_xxyyyy&amp;product_id=1191" TargetMode="External"/><Relationship Id="rId165" Type="http://schemas.openxmlformats.org/officeDocument/2006/relationships/hyperlink" Target="https://vicharkrantibooks.org/productdetail?product_id=3914" TargetMode="External"/><Relationship Id="rId372" Type="http://schemas.openxmlformats.org/officeDocument/2006/relationships/hyperlink" Target="https://vicharkrantibooks.org/productdetail?book_name=HINP0235_DHARM_KA_UDDESHY_VYAKTI_KA_PARISHKAR_xx1982&amp;product_id=800" TargetMode="External"/><Relationship Id="rId677" Type="http://schemas.openxmlformats.org/officeDocument/2006/relationships/hyperlink" Target="https://vicharkrantibooks.org/productdetail?book_name=HINF0305_UTKRUSHT_CHINTAN_HI_SAMAGR_PRAGATI_KA_EK_MATR_ADHAR_xxyyyy&amp;product_id=525" TargetMode="External"/><Relationship Id="rId800" Type="http://schemas.openxmlformats.org/officeDocument/2006/relationships/hyperlink" Target="http://literature.awgp.org/book/A_noble_Art_of_Living/v1" TargetMode="External"/><Relationship Id="rId1223" Type="http://schemas.openxmlformats.org/officeDocument/2006/relationships/hyperlink" Target="https://vicharkrantibooks.org/productdetail?book_name=HINP0377_JANAMANAS_KE_PARISHKAR_PARV_AYOJANON_SE_xx1981&amp;product_id=942" TargetMode="External"/><Relationship Id="rId232" Type="http://schemas.openxmlformats.org/officeDocument/2006/relationships/hyperlink" Target="https://vicharkrantibooks.org/productdetail?book_name=HINP1005_VRUKSHAROPAN_KO_DEVARADHNA_JITANA_MAHATV_DEN_xx1982&amp;product_id=1570" TargetMode="External"/><Relationship Id="rId884" Type="http://schemas.openxmlformats.org/officeDocument/2006/relationships/hyperlink" Target="https://vicharkrantibooks.org/productdetail?book_name=HINP0331_HAMARA_GAYATRI_YAGY_ABHIYAN_xxyyyy&amp;product_id=896" TargetMode="External"/><Relationship Id="rId27" Type="http://schemas.openxmlformats.org/officeDocument/2006/relationships/hyperlink" Target="https://vicharkrantibooks.org/productdetail?product_id=3781" TargetMode="External"/><Relationship Id="rId537" Type="http://schemas.openxmlformats.org/officeDocument/2006/relationships/hyperlink" Target="https://vicharkrantibooks.org/productdetail?book_name=HINP1075_JANATA_KE_SUPRIM_COURT_MAIN_SAMASYAON_KE_SAMADHAN_KI_GUHAR_Re2015&amp;product_id=1640" TargetMode="External"/><Relationship Id="rId744" Type="http://schemas.openxmlformats.org/officeDocument/2006/relationships/hyperlink" Target="https://vicharkrantibooks.org/productdetail?book_name=HINP0687_PRAYASHCHIT_VIDHAN_SE_BRAHMAVARCHAS_KI_PRAPTI_xxyyyy&amp;product_id=1252" TargetMode="External"/><Relationship Id="rId951" Type="http://schemas.openxmlformats.org/officeDocument/2006/relationships/hyperlink" Target="https://vicharkrantibooks.org/productdetail?book_name=HINP0498_MANASIK_TANAV_SE_BACHEN_xxyyyy&amp;product_id=1063" TargetMode="External"/><Relationship Id="rId1167" Type="http://schemas.openxmlformats.org/officeDocument/2006/relationships/hyperlink" Target="https://vicharkrantibooks.org/productdetail?book_name=HINP1108_GAYATRI_KA_SHAKTI_STROT_SAVITA_DEVATA_xx1979&amp;product_id=1673" TargetMode="External"/><Relationship Id="rId80" Type="http://schemas.openxmlformats.org/officeDocument/2006/relationships/hyperlink" Target="https://vicharkrantibooks.org/productdetail?book_name=HINP0213_DEV_SANSKRUTI_KI_GARIMA_AUR_MAHATTA_xx1982&amp;product_id=778" TargetMode="External"/><Relationship Id="rId176" Type="http://schemas.openxmlformats.org/officeDocument/2006/relationships/hyperlink" Target="https://vicharkrantibooks.org/productdetail?book_name=HINP0731_SADAGI_AUR_NIYAMITATA_DIRGHAJIVAN_KE_DO_ADHAR_xx1982&amp;product_id=1296" TargetMode="External"/><Relationship Id="rId383" Type="http://schemas.openxmlformats.org/officeDocument/2006/relationships/hyperlink" Target="https://vicharkrantibooks.org/productdetail?book_name=GUJP1056_YUG_PARIVARTANMA_GNANYAGNANI_BHUMIKA_XXYYYY&amp;product_id=3730" TargetMode="External"/><Relationship Id="rId590" Type="http://schemas.openxmlformats.org/officeDocument/2006/relationships/hyperlink" Target="https://vicharkrantibooks.org/productdetail?book_name=HINP0018_ADHYATM_KO_JIVANT_BANAEN_xx2011&amp;product_id=583" TargetMode="External"/><Relationship Id="rId604" Type="http://schemas.openxmlformats.org/officeDocument/2006/relationships/hyperlink" Target="https://vicharkrantibooks.org/productdetail?product_id=348" TargetMode="External"/><Relationship Id="rId811" Type="http://schemas.openxmlformats.org/officeDocument/2006/relationships/hyperlink" Target="http://literature.awgp.org/book/glimpse_of_golden_future/v2" TargetMode="External"/><Relationship Id="rId1027" Type="http://schemas.openxmlformats.org/officeDocument/2006/relationships/hyperlink" Target="https://vicharkrantibooks.org/productdetail?book_name=HINP0205_DAVAEN_KHATE_JAEN_ROG_BADHATE_JAEN_YAH_KAHAN_TAK_%E2%80%8B%E2%80%8BUCHIT_HAI_xx1982&amp;product_id=770" TargetMode="External"/><Relationship Id="rId1234" Type="http://schemas.openxmlformats.org/officeDocument/2006/relationships/hyperlink" Target="https://vicharkrantibooks.org/productdetail?book_name=HINP0133_BEMEL_AHAR_SE_BACHEN_xxyyyy&amp;product_id=698" TargetMode="External"/><Relationship Id="rId243" Type="http://schemas.openxmlformats.org/officeDocument/2006/relationships/hyperlink" Target="https://vicharkrantibooks.org/productdetail?book_name=HINP0204_DANASHILATA_MEIN_GARIBI_BADHAK_NAHI_xx1982&amp;product_id=769" TargetMode="External"/><Relationship Id="rId450" Type="http://schemas.openxmlformats.org/officeDocument/2006/relationships/hyperlink" Target="https://vicharkrantibooks.org/productdetail?book_name=ENGP0733_INCREASE_YOUR_MERITS_AND_OBSERVE_CIVILITY_xxyyyy&amp;product_id=3511" TargetMode="External"/><Relationship Id="rId688" Type="http://schemas.openxmlformats.org/officeDocument/2006/relationships/hyperlink" Target="http://literature.awgp.org/book/vyavastha_buddhi_ki_garima/v2" TargetMode="External"/><Relationship Id="rId895" Type="http://schemas.openxmlformats.org/officeDocument/2006/relationships/hyperlink" Target="https://vicharkrantibooks.org/productdetail?book_name=HINP0183_BUDHAPA_MITAYA_NAHIN_JA_SAKATA_GHATAYA_JA_SAKATA_HAI_xxyyyy&amp;product_id=748" TargetMode="External"/><Relationship Id="rId909" Type="http://schemas.openxmlformats.org/officeDocument/2006/relationships/hyperlink" Target="https://vicharkrantibooks.org/productdetail?book_name=HINP1032_YUG_DHARM_xxyyyy&amp;product_id=1597" TargetMode="External"/><Relationship Id="rId1080" Type="http://schemas.openxmlformats.org/officeDocument/2006/relationships/hyperlink" Target="https://vicharkrantibooks.org/productdetail?book_name=HINP0170_BHUT_PALIT_AUR_DEVI_DEVATAON_KA_BHRAM_JANJAL_xxyyyy&amp;product_id=735" TargetMode="External"/><Relationship Id="rId38" Type="http://schemas.openxmlformats.org/officeDocument/2006/relationships/hyperlink" Target="https://vicharkrantibooks.org/productdetail?book_name=HINP0505_MANAVI_MASTISHK_VISHV_VASUDHA_KA_PRATYAKSH_KALPAVRUKSH_xx1981&amp;product_id=1070" TargetMode="External"/><Relationship Id="rId103" Type="http://schemas.openxmlformats.org/officeDocument/2006/relationships/hyperlink" Target="https://vicharkrantibooks.org/productdetail?book_name=HINP0501_MANAV_MEIN_DEVATV_KA_UDAY_SAMAY_KI_MANG_xx1981&amp;product_id=1066" TargetMode="External"/><Relationship Id="rId310" Type="http://schemas.openxmlformats.org/officeDocument/2006/relationships/hyperlink" Target="https://vicharkrantibooks.org/productdetail?book_name=HINF0298_UJJAVAL_BHAVISHY_KI_RACHANA_MEIN_SANLAGN_MAHAKAL_xxyyyy&amp;product_id=518" TargetMode="External"/><Relationship Id="rId548" Type="http://schemas.openxmlformats.org/officeDocument/2006/relationships/hyperlink" Target="https://vicharkrantibooks.org/productdetail?book_name=HINP0327_GYANAYOG_KARMAYOG_BHAKTIYOG_KI_SADHANA_xxyyyy&amp;product_id=892" TargetMode="External"/><Relationship Id="rId755" Type="http://schemas.openxmlformats.org/officeDocument/2006/relationships/hyperlink" Target="https://vicharkrantibooks.org/productdetail?book_name=HINP0277_GAYATRI_AUR_YAGY_xxyyyy&amp;product_id=842" TargetMode="External"/><Relationship Id="rId962" Type="http://schemas.openxmlformats.org/officeDocument/2006/relationships/hyperlink" Target="https://vicharkrantibooks.org/productdetail?book_name=HINP0013_ADHYATM_KA_MARM_SAMAJHEN_xx2011&amp;product_id=578" TargetMode="External"/><Relationship Id="rId1178" Type="http://schemas.openxmlformats.org/officeDocument/2006/relationships/hyperlink" Target="https://vicharkrantibooks.org/productdetail?book_name=HINP0775_SAMBHAVAMI_YUGE_YUGE_xx2011&amp;product_id=1340" TargetMode="External"/><Relationship Id="rId91" Type="http://schemas.openxmlformats.org/officeDocument/2006/relationships/hyperlink" Target="https://vicharkrantibooks.org/productdetail?book_name=HINP0492_MANAS_KI_JYOTI_xxyyyy&amp;product_id=1057" TargetMode="External"/><Relationship Id="rId187" Type="http://schemas.openxmlformats.org/officeDocument/2006/relationships/hyperlink" Target="https://vicharkrantibooks.org/productdetail?product_id=3943" TargetMode="External"/><Relationship Id="rId394" Type="http://schemas.openxmlformats.org/officeDocument/2006/relationships/hyperlink" Target="http://literature.awgp.org/book/Lose_Not_Your_Heart/v5" TargetMode="External"/><Relationship Id="rId408" Type="http://schemas.openxmlformats.org/officeDocument/2006/relationships/hyperlink" Target="https://vicharkrantibooks.org/productdetail?book_name=ENGP0584_NO_OTHER_WAY_EXCEPT_WOMEN_EVOLUTION_xxyyyy&amp;product_id=3501" TargetMode="External"/><Relationship Id="rId615" Type="http://schemas.openxmlformats.org/officeDocument/2006/relationships/hyperlink" Target="https://vicharkrantibooks.org/productdetail?book_name=HINP0771_SAMAY_KI_CHUNAUTI_HAMEN_SVIKAR_HAI_xxyyyy&amp;product_id=1336" TargetMode="External"/><Relationship Id="rId822" Type="http://schemas.openxmlformats.org/officeDocument/2006/relationships/hyperlink" Target="https://vicharkrantibooks.org/productdetail?book_name=HINP0055_APANA_APA_KITANA_MAHAN_KITANA_SAMARTH_xx1982&amp;product_id=620" TargetMode="External"/><Relationship Id="rId1038" Type="http://schemas.openxmlformats.org/officeDocument/2006/relationships/hyperlink" Target="https://vicharkrantibooks.org/productdetail?book_name=HINP0972_VIGYAN_DHARMPARAK_HOKAR_HI_MANAVOPAYOGI_xxyyyy&amp;product_id=1537" TargetMode="External"/><Relationship Id="rId254" Type="http://schemas.openxmlformats.org/officeDocument/2006/relationships/hyperlink" Target="https://vicharkrantibooks.org/productdetail?book_name=HINF0052_ATMIK_PRAGATI_KI_DISHADHARA_xxyyyy&amp;product_id=272" TargetMode="External"/><Relationship Id="rId699" Type="http://schemas.openxmlformats.org/officeDocument/2006/relationships/hyperlink" Target="https://vicharkrantibooks.org/productdetail?product_id=413" TargetMode="External"/><Relationship Id="rId1091" Type="http://schemas.openxmlformats.org/officeDocument/2006/relationships/hyperlink" Target="https://vicharkrantibooks.org/productdetail?book_name=ENGP0480_SAGACIOUS_WOMEN_SHOULD_LEAD_WOMEN_LIBERATION_xxyyyy&amp;product_id=3504" TargetMode="External"/><Relationship Id="rId1105" Type="http://schemas.openxmlformats.org/officeDocument/2006/relationships/hyperlink" Target="https://vicharkrantibooks.org/productdetail?book_name=HINP0112_AUR_BHI_TARIKE_HAIN_GYANAYAGY_KE_xxyyyy&amp;product_id=677" TargetMode="External"/><Relationship Id="rId49" Type="http://schemas.openxmlformats.org/officeDocument/2006/relationships/hyperlink" Target="https://vicharkrantibooks.org/productdetail?book_name=HINP0876_SUR_DURLABH_YAH_MANAV_JIVAN_xxyyyy&amp;product_id=1441" TargetMode="External"/><Relationship Id="rId114" Type="http://schemas.openxmlformats.org/officeDocument/2006/relationships/hyperlink" Target="https://vicharkrantibooks.org/productdetail?product_id=417" TargetMode="External"/><Relationship Id="rId461" Type="http://schemas.openxmlformats.org/officeDocument/2006/relationships/hyperlink" Target="https://vicharkrantibooks.org/productdetail?book_name=HINP1072_YUVA_SHAKTI_NAVASRUJAN_MEIN_LAGE_xxyyyy&amp;product_id=1637" TargetMode="External"/><Relationship Id="rId559" Type="http://schemas.openxmlformats.org/officeDocument/2006/relationships/hyperlink" Target="https://vicharkrantibooks.org/productdetail?book_name=HINP0258_DUGDHAHAR_SARVOPAM_xxyyyy&amp;product_id=823" TargetMode="External"/><Relationship Id="rId766" Type="http://schemas.openxmlformats.org/officeDocument/2006/relationships/hyperlink" Target="https://vicharkrantibooks.org/productdetail?book_name=ENGP0584_NO_OTHER_WAY_EXCEPT_WOMEN_EVOLUTION_xxyyyy&amp;product_id=3501" TargetMode="External"/><Relationship Id="rId1189" Type="http://schemas.openxmlformats.org/officeDocument/2006/relationships/hyperlink" Target="https://vicharkrantibooks.org/productdetail?book_name=HINP0090_ATM_SHAKTI_KA_AKUT_BHANDAR_xxyyyy&amp;product_id=655" TargetMode="External"/><Relationship Id="rId198" Type="http://schemas.openxmlformats.org/officeDocument/2006/relationships/hyperlink" Target="https://vicharkrantibooks.org/productdetail?book_name=HINP0486_MAN_KI_NIRMALATA_AUR_SHARIRIK_SWASTHY_KA_ATUT_SAMBANDH_xx1982&amp;product_id=1051" TargetMode="External"/><Relationship Id="rId321" Type="http://schemas.openxmlformats.org/officeDocument/2006/relationships/hyperlink" Target="https://vicharkrantibooks.org/productdetail?book_name=GUJP0957_VICHAR_BADALAY_TO_YUG_BADALAY_XXYYYY&amp;product_id=3912" TargetMode="External"/><Relationship Id="rId419" Type="http://schemas.openxmlformats.org/officeDocument/2006/relationships/hyperlink" Target="https://vicharkrantibooks.org/productdetail?book_name=HINF0260_SHABD_EK_PRACHAND_URJA_SHAKTI_KA_BHANDAR_xxyyyy&amp;product_id=480" TargetMode="External"/><Relationship Id="rId626" Type="http://schemas.openxmlformats.org/officeDocument/2006/relationships/hyperlink" Target="https://vicharkrantibooks.org/productdetail?book_name=HINF0311_VASANT_PARV_PAR_MAHAKAL_KA_SANDESH_xxyyyy&amp;product_id=531" TargetMode="External"/><Relationship Id="rId973" Type="http://schemas.openxmlformats.org/officeDocument/2006/relationships/hyperlink" Target="https://vicharkrantibooks.org/productdetail?book_name=HINP0923_UPASANA_HI_NAHI_SADHANA_BHI_xx1982&amp;product_id=1488" TargetMode="External"/><Relationship Id="rId1049" Type="http://schemas.openxmlformats.org/officeDocument/2006/relationships/hyperlink" Target="https://vicharkrantibooks.org/productdetail?book_name=HINP0417_KAMANAEN_BHAGAVAN_KO_SAUNP_DEN_xx2011&amp;product_id=982" TargetMode="External"/><Relationship Id="rId833" Type="http://schemas.openxmlformats.org/officeDocument/2006/relationships/hyperlink" Target="https://vicharkrantibooks.org/productdetail?book_name=HINP1067_YUGRUSHI_EVAM_UNAKI_YOJANA_xxyyyy&amp;product_id=1632" TargetMode="External"/><Relationship Id="rId1116" Type="http://schemas.openxmlformats.org/officeDocument/2006/relationships/hyperlink" Target="https://vicharkrantibooks.org/productdetail?book_name=HINP0631_PARIWAR_KO_SUSANSKARI_KAISE_BANAEN_xxyyyy&amp;product_id=1196" TargetMode="External"/><Relationship Id="rId265" Type="http://schemas.openxmlformats.org/officeDocument/2006/relationships/hyperlink" Target="https://vicharkrantibooks.org/productdetail?book_name=HINP1080_PRASANNATA_EVAM_PRAPHULLATA_KI_KUNJI_xx1982&amp;product_id=1645" TargetMode="External"/><Relationship Id="rId472" Type="http://schemas.openxmlformats.org/officeDocument/2006/relationships/hyperlink" Target="https://vicharkrantibooks.org/productdetail?book_name=HINP0163_BHAVISHY_VAKTAON_KA_KATHAN_NAVAYUG_KA_AGAMAN_xx1981&amp;product_id=728" TargetMode="External"/><Relationship Id="rId900" Type="http://schemas.openxmlformats.org/officeDocument/2006/relationships/hyperlink" Target="https://vicharkrantibooks.org/productdetail?book_name=HINP0665_PRAN_SHAKTI_SE_SWASTHY_SANVARDHAN_xxyyyy&amp;product_id=1230" TargetMode="External"/><Relationship Id="rId125" Type="http://schemas.openxmlformats.org/officeDocument/2006/relationships/hyperlink" Target="https://vicharkrantibooks.org/productdetail?book_name=HINP0375_JAN_SANKHYA_VISPHOT_KI_VINASH_LILA_KE_PURV_HI_CHETEN_xx1982&amp;product_id=940" TargetMode="External"/><Relationship Id="rId332" Type="http://schemas.openxmlformats.org/officeDocument/2006/relationships/hyperlink" Target="https://vicharkrantibooks.org/productdetail?book_name=GUJP0297_GAYATRI_UPASANANI_SAPHALATANI_TRAN_SHARATO_XXYYYY&amp;product_id=3753" TargetMode="External"/><Relationship Id="rId777" Type="http://schemas.openxmlformats.org/officeDocument/2006/relationships/hyperlink" Target="https://vicharkrantibooks.org/productdetail?book_name=ENGP0817_MOTHERHOOD_REVERED_EVERY_WHERE_xxyyyy&amp;product_id=3502" TargetMode="External"/><Relationship Id="rId984" Type="http://schemas.openxmlformats.org/officeDocument/2006/relationships/hyperlink" Target="https://vicharkrantibooks.org/productdetail?book_name=ENGP0589_WOMEN!_ABANDON_THE_REGRESSIVE_CUSTOMS_xxyyyy&amp;product_id=3498" TargetMode="External"/><Relationship Id="rId637" Type="http://schemas.openxmlformats.org/officeDocument/2006/relationships/hyperlink" Target="https://vicharkrantibooks.org/productdetail?book_name=HINP0565_NARI_KI_ADABHUT_KSHAMATA_xxyyyy&amp;product_id=1130" TargetMode="External"/><Relationship Id="rId844" Type="http://schemas.openxmlformats.org/officeDocument/2006/relationships/hyperlink" Target="https://vicharkrantibooks.org/productdetail?book_name=HINP0054_ANUSHASIT_CHHATR_HI_PRAGATISHIL_SAMAJ_KE_KARNDHAR_xx1981&amp;product_id=619" TargetMode="External"/><Relationship Id="rId276" Type="http://schemas.openxmlformats.org/officeDocument/2006/relationships/hyperlink" Target="https://vicharkrantibooks.org/productdetail?book_name=ENGP1015_RENOUNCE_THE_DEMONIAC_ADDICTION_xxyyyy&amp;product_id=3506" TargetMode="External"/><Relationship Id="rId483" Type="http://schemas.openxmlformats.org/officeDocument/2006/relationships/hyperlink" Target="https://vicharkrantibooks.org/productdetail?book_name=HINP0136_BHAGAVAN_BUDDH_KA_UTTARARDDH_PRAGYAVATAR_(POCKET)_xxyyyy&amp;product_id=701" TargetMode="External"/><Relationship Id="rId690" Type="http://schemas.openxmlformats.org/officeDocument/2006/relationships/hyperlink" Target="https://vicharkrantibooks.org/productdetail?book_name=HINF0050_ATMARAKSHA_MANOROGON_SE_BHI_KARANI_CHAHIYE_xxyyyy&amp;product_id=270" TargetMode="External"/><Relationship Id="rId704" Type="http://schemas.openxmlformats.org/officeDocument/2006/relationships/hyperlink" Target="https://vicharkrantibooks.org/productdetail?book_name=HINP0308_GOMUTR_SE_AUSHADHIYAN_BANAIE_xxyyyy&amp;product_id=873" TargetMode="External"/><Relationship Id="rId911" Type="http://schemas.openxmlformats.org/officeDocument/2006/relationships/hyperlink" Target="https://vicharkrantibooks.org/productdetail?book_name=ENGP0498_BE_SAVED_FROM_MENTAL_TENSION_xxyyyy&amp;product_id=3452" TargetMode="External"/><Relationship Id="rId1127" Type="http://schemas.openxmlformats.org/officeDocument/2006/relationships/hyperlink" Target="https://vicharkrantibooks.org/productdetail?book_name=HINP0315_GUN_KARM_SVABHAV_KI_UTKRUSHTATA_JIVAN_KI_SARVOPARI_SAMPADA_xx1981&amp;product_id=880" TargetMode="External"/><Relationship Id="rId40" Type="http://schemas.openxmlformats.org/officeDocument/2006/relationships/hyperlink" Target="https://vicharkrantibooks.org/productdetail?book_name=HINP0803_SANYUKT_PARIWAR_EK_SURAKSHIT_GADH_xxyyyy&amp;product_id=1368" TargetMode="External"/><Relationship Id="rId136" Type="http://schemas.openxmlformats.org/officeDocument/2006/relationships/hyperlink" Target="https://vicharkrantibooks.org/productdetail?book_name=HINP0906_TIN_SHAKTIYAN_TIN_SIDDHIYAN_xx2011&amp;product_id=1471" TargetMode="External"/><Relationship Id="rId343" Type="http://schemas.openxmlformats.org/officeDocument/2006/relationships/hyperlink" Target="https://vicharkrantibooks.org/productdetail?book_name=HINP0647_PITA_PUTR_KE_SAMBANDH_SAUHARDPURN_HON_xx1981&amp;product_id=1212" TargetMode="External"/><Relationship Id="rId550" Type="http://schemas.openxmlformats.org/officeDocument/2006/relationships/hyperlink" Target="https://vicharkrantibooks.org/productdetail?book_name=HINP1076_VIVAH_KYA_UNMAD_HAI_xxyyyy&amp;product_id=1641" TargetMode="External"/><Relationship Id="rId788" Type="http://schemas.openxmlformats.org/officeDocument/2006/relationships/hyperlink" Target="http://literature.awgp.org/book/vyavastha_buddhi_ki_garima/v2" TargetMode="External"/><Relationship Id="rId995" Type="http://schemas.openxmlformats.org/officeDocument/2006/relationships/hyperlink" Target="https://vicharkrantibooks.org/productdetail?book_name=HINP0957_VICHAR_BADALEN_TO_YUG_BADALEN_xxyyyy&amp;product_id=1522" TargetMode="External"/><Relationship Id="rId1180" Type="http://schemas.openxmlformats.org/officeDocument/2006/relationships/hyperlink" Target="https://vicharkrantibooks.org/productdetail?book_name=HINF0380_GAYATRI_AUR_YAGY_BHARATIY_SANSKRUTI_KE_MATA_PITA_xxyyyy&amp;product_id=4399" TargetMode="External"/><Relationship Id="rId203" Type="http://schemas.openxmlformats.org/officeDocument/2006/relationships/hyperlink" Target="https://vicharkrantibooks.org/productdetail?book_name=HINP0783_SANKALP_ABHIYAN_(VYAVAHAR_PAKSH)_xx1978&amp;product_id=1348" TargetMode="External"/><Relationship Id="rId648" Type="http://schemas.openxmlformats.org/officeDocument/2006/relationships/hyperlink" Target="https://vicharkrantibooks.org/productdetail?book_name=HINP1075_JANATA_KE_SUPRIM_COURT_MAIN_SAMASYAON_KE_SAMADHAN_KI_GUHAR_Re2015&amp;product_id=1640" TargetMode="External"/><Relationship Id="rId855" Type="http://schemas.openxmlformats.org/officeDocument/2006/relationships/hyperlink" Target="https://vicharkrantibooks.org/productdetail?book_name=HINP0612_PANCH_AMANATEN_JO_ISHWARIY_PRAYOJANO_MEIN_HI_LAGAI_JAE_xxyyyy&amp;product_id=1177" TargetMode="External"/><Relationship Id="rId1040" Type="http://schemas.openxmlformats.org/officeDocument/2006/relationships/hyperlink" Target="https://vicharkrantibooks.org/productdetail?book_name=ENGPE097_THE_GRANDEUR_AND_GLORY_OF_GURUTATVA_xxyyyy&amp;product_id=3489" TargetMode="External"/><Relationship Id="rId287" Type="http://schemas.openxmlformats.org/officeDocument/2006/relationships/hyperlink" Target="https://vicharkrantibooks.org/productdetail?product_id=3759" TargetMode="External"/><Relationship Id="rId410" Type="http://schemas.openxmlformats.org/officeDocument/2006/relationships/hyperlink" Target="https://vicharkrantibooks.org/productdetail?book_name=HINP0270_EKAGRATA_KA_ARTH_STHIRATA_NAHIN_TANMAYATA_xx1979&amp;product_id=835" TargetMode="External"/><Relationship Id="rId494" Type="http://schemas.openxmlformats.org/officeDocument/2006/relationships/hyperlink" Target="https://vicharkrantibooks.org/productdetail?book_name=HINP0737_SADHANA_KI_SAPHALATA_xxyyyy&amp;product_id=1302" TargetMode="External"/><Relationship Id="rId508" Type="http://schemas.openxmlformats.org/officeDocument/2006/relationships/hyperlink" Target="https://vicharkrantibooks.org/productdetail?book_name=HINF0174_MANTRON_ME_NIHIT_SHAKTI_EVAM_USAKI_JAGRUTI_xxyyyy&amp;product_id=394" TargetMode="External"/><Relationship Id="rId715" Type="http://schemas.openxmlformats.org/officeDocument/2006/relationships/hyperlink" Target="https://vicharkrantibooks.org/productdetail?book_name=ENGRE075_HEALTH_TIPS_FROM_THE_VEDAS_2nd2011&amp;product_id=3470" TargetMode="External"/><Relationship Id="rId922" Type="http://schemas.openxmlformats.org/officeDocument/2006/relationships/hyperlink" Target="https://vicharkrantibooks.org/productdetail?book_name=HINP0291_GAYATRI_SADHANA_KI_UPALABDHIYAN_xx2011&amp;product_id=856" TargetMode="External"/><Relationship Id="rId1138" Type="http://schemas.openxmlformats.org/officeDocument/2006/relationships/hyperlink" Target="https://vicharkrantibooks.org/productdetail?book_name=HINP0021_ADHYATMIK_JIVAN_KE_PANCH_KADAM_xxyyyy&amp;product_id=586" TargetMode="External"/><Relationship Id="rId147" Type="http://schemas.openxmlformats.org/officeDocument/2006/relationships/hyperlink" Target="https://vicharkrantibooks.org/productdetail?product_id=3819" TargetMode="External"/><Relationship Id="rId354" Type="http://schemas.openxmlformats.org/officeDocument/2006/relationships/hyperlink" Target="https://vicharkrantibooks.org/productdetail?book_name=HINP0192_CHHIDRANVESHI_NAHI_GUNAGRAHAK_BANEN_xx1982&amp;product_id=757" TargetMode="External"/><Relationship Id="rId799" Type="http://schemas.openxmlformats.org/officeDocument/2006/relationships/hyperlink" Target="https://vicharkrantibooks.org/productdetail?book_name=HINP1116_IKKISAVI_SADI_KI_UJJAVAL_SAMBHAVANAE_xxyyyy&amp;product_id=1681" TargetMode="External"/><Relationship Id="rId1191" Type="http://schemas.openxmlformats.org/officeDocument/2006/relationships/hyperlink" Target="https://vicharkrantibooks.org/productdetail?book_name=HINP0117_AVATAR_KI_ANDHI_PHIJAN_BADAL_DETI_HAI_xx2011&amp;product_id=682" TargetMode="External"/><Relationship Id="rId1205" Type="http://schemas.openxmlformats.org/officeDocument/2006/relationships/hyperlink" Target="https://vicharkrantibooks.org/productdetail?book_name=ENGP0279_GAYATRI_CHALISA_xxyyyy&amp;product_id=3416" TargetMode="External"/><Relationship Id="rId51" Type="http://schemas.openxmlformats.org/officeDocument/2006/relationships/hyperlink" Target="https://vicharkrantibooks.org/productdetail?book_name=HINP0245_DHARMATANTR_KA_SACHCHA_SWARUP_xxyyyy&amp;product_id=810" TargetMode="External"/><Relationship Id="rId561" Type="http://schemas.openxmlformats.org/officeDocument/2006/relationships/hyperlink" Target="https://vicharkrantibooks.org/productdetail?book_name=HINP0659_PRAKRUTI_KE_PRAVAH_MEIN_BADHAK_NA_BANEN_xxyyyy&amp;product_id=1224" TargetMode="External"/><Relationship Id="rId659" Type="http://schemas.openxmlformats.org/officeDocument/2006/relationships/hyperlink" Target="https://vicharkrantibooks.org/productdetail?book_name=HINP0020_ADHYATM_URJA_KE_PRAKATIKARAN_KI_SADHANA_xx1981&amp;product_id=585" TargetMode="External"/><Relationship Id="rId866" Type="http://schemas.openxmlformats.org/officeDocument/2006/relationships/hyperlink" Target="https://vicharkrantibooks.org/productdetail?book_name=ENGRE054_REVERED_GURUDEV_SOME_TOUCHING_REMINISCENCES_1st1999&amp;product_id=3447" TargetMode="External"/><Relationship Id="rId214" Type="http://schemas.openxmlformats.org/officeDocument/2006/relationships/hyperlink" Target="https://vicharkrantibooks.org/productdetail?product_id=3779" TargetMode="External"/><Relationship Id="rId298" Type="http://schemas.openxmlformats.org/officeDocument/2006/relationships/hyperlink" Target="https://vicharkrantibooks.org/productdetail?book_name=ENGB0206_BE_GOOD_1st2013&amp;product_id=3519" TargetMode="External"/><Relationship Id="rId421" Type="http://schemas.openxmlformats.org/officeDocument/2006/relationships/hyperlink" Target="https://vicharkrantibooks.org/productdetail?book_name=HINP0956_VIBHUTIYAN_APANA_DAYITV_NIBHAEN_xxyyyy&amp;product_id=1521" TargetMode="External"/><Relationship Id="rId519" Type="http://schemas.openxmlformats.org/officeDocument/2006/relationships/hyperlink" Target="https://vicharkrantibooks.org/productdetail?book_name=HINP0411_KAISE_HOGA_SAMANVAY_VIGYAN_AUR_ADHYATM_KA_xx2011&amp;product_id=976" TargetMode="External"/><Relationship Id="rId1051" Type="http://schemas.openxmlformats.org/officeDocument/2006/relationships/hyperlink" Target="https://vicharkrantibooks.org/productdetail?book_name=HINP0063_APANE_BHRAHAMAN_EVAM_SANT_KO_JINDA_RAKHEN_xx2011&amp;product_id=628" TargetMode="External"/><Relationship Id="rId1149" Type="http://schemas.openxmlformats.org/officeDocument/2006/relationships/hyperlink" Target="https://vicharkrantibooks.org/productdetail?book_name=HINP0109_ATMOTKARSH_KE_CHAR_ADHAR_xx1978&amp;product_id=674" TargetMode="External"/><Relationship Id="rId158" Type="http://schemas.openxmlformats.org/officeDocument/2006/relationships/hyperlink" Target="https://vicharkrantibooks.org/productdetail?book_name=HINP0362_IS_HANI_KO_SABHI_SAMAJHEN_xxyyyy&amp;product_id=927" TargetMode="External"/><Relationship Id="rId726" Type="http://schemas.openxmlformats.org/officeDocument/2006/relationships/hyperlink" Target="https://vicharkrantibooks.org/productdetail?book_name=HINP0006_ADHIKAR_GAUN_AUR_KARTAVY_PRADHAN_xxyyyy&amp;product_id=571" TargetMode="External"/><Relationship Id="rId933" Type="http://schemas.openxmlformats.org/officeDocument/2006/relationships/hyperlink" Target="https://vicharkrantibooks.org/productdetail?book_name=HINP0001_AAO_GADHEN_SANSKARAVAN_PIDHI_(SMALL)_Re2016&amp;product_id=566" TargetMode="External"/><Relationship Id="rId1009" Type="http://schemas.openxmlformats.org/officeDocument/2006/relationships/hyperlink" Target="https://vicharkrantibooks.org/productdetail?book_name=ENGPE037_THE_SECRETS_OF_HEALTHY_LIFE_xxyyyy&amp;product_id=3430" TargetMode="External"/><Relationship Id="rId62" Type="http://schemas.openxmlformats.org/officeDocument/2006/relationships/hyperlink" Target="https://vicharkrantibooks.org/productdetail?book_name=HINR0624_JANMA_DIVSOTSAV_IS_TARAH_MANAEN_xx2011&amp;product_id=2309" TargetMode="External"/><Relationship Id="rId365" Type="http://schemas.openxmlformats.org/officeDocument/2006/relationships/hyperlink" Target="https://vicharkrantibooks.org/productdetail?book_name=HINF0310_VANASPATIYAN_UGAYEN_AMRUTOPAM_LABH_UTHAYEN_xxyyyy&amp;product_id=530" TargetMode="External"/><Relationship Id="rId572" Type="http://schemas.openxmlformats.org/officeDocument/2006/relationships/hyperlink" Target="https://vicharkrantibooks.org/productdetail?book_name=HINP1019_YAGY_KA_GYAN_AUR_VIGYAN_xx2011&amp;product_id=1584" TargetMode="External"/><Relationship Id="rId1216" Type="http://schemas.openxmlformats.org/officeDocument/2006/relationships/hyperlink" Target="https://vicharkrantibooks.org/productdetail?book_name=HINP0445_KSHUDRATA_CHHODEN_MAHANATA_KE_PATH_PAR_CHALEN_xx2011&amp;product_id=1010" TargetMode="External"/><Relationship Id="rId225" Type="http://schemas.openxmlformats.org/officeDocument/2006/relationships/hyperlink" Target="https://vicharkrantibooks.org/productdetail?book_name=HINP0125_BACHCHON_KO_NIYAMITATA_KA_SHIKSHAN_DIJIE_xx1981&amp;product_id=690" TargetMode="External"/><Relationship Id="rId432" Type="http://schemas.openxmlformats.org/officeDocument/2006/relationships/hyperlink" Target="https://vicharkrantibooks.org/productdetail?book_name=HINF0046_ATM_SHAKTI_KA_PARISHKAR_HI_NAVAYUG_KA_MUL_ADHAR_xxyyyy&amp;product_id=266" TargetMode="External"/><Relationship Id="rId877" Type="http://schemas.openxmlformats.org/officeDocument/2006/relationships/hyperlink" Target="https://vicharkrantibooks.org/productdetail?book_name=HINP0775_SAMBHAVAMI_YUGE_YUGE_xx2011&amp;product_id=1340" TargetMode="External"/><Relationship Id="rId1062" Type="http://schemas.openxmlformats.org/officeDocument/2006/relationships/hyperlink" Target="https://vicharkrantibooks.org/productdetail?book_name=HINP0365_ISHWAR_PREM_ARTHAT_SADABHAVNAYUKT_SAMVEDANA_xx1981&amp;product_id=930" TargetMode="External"/><Relationship Id="rId737" Type="http://schemas.openxmlformats.org/officeDocument/2006/relationships/hyperlink" Target="https://vicharkrantibooks.org/productdetail?book_name=HINF0004_ADARSH_NISHTHA_HAMARE_ATIT_KI_GARIMA_xxyyyy&amp;product_id=224" TargetMode="External"/><Relationship Id="rId944" Type="http://schemas.openxmlformats.org/officeDocument/2006/relationships/hyperlink" Target="https://vicharkrantibooks.org/productdetail?book_name=HINP0598_NETR_SURAKSHA_xxyyyy&amp;product_id=1163" TargetMode="External"/><Relationship Id="rId73" Type="http://schemas.openxmlformats.org/officeDocument/2006/relationships/hyperlink" Target="https://vicharkrantibooks.org/productdetail?book_name=HINR0031_ADHYATM_VIDHYA_KA_PRAVESH_DVAR_Re2010&amp;product_id=1716" TargetMode="External"/><Relationship Id="rId169" Type="http://schemas.openxmlformats.org/officeDocument/2006/relationships/hyperlink" Target="https://vicharkrantibooks.org/productdetail?book_name=HINP0165_BHIKSHA_VYAVASAY_SAMAJ_KA_KALANK_xxyyyy&amp;product_id=730" TargetMode="External"/><Relationship Id="rId376" Type="http://schemas.openxmlformats.org/officeDocument/2006/relationships/hyperlink" Target="https://vicharkrantibooks.org/productdetail?book_name=HINP0463_MAHAKAL_KA_CHAKR_AUR_SANDHI_BELA_xxyyyy&amp;product_id=1028" TargetMode="External"/><Relationship Id="rId583" Type="http://schemas.openxmlformats.org/officeDocument/2006/relationships/hyperlink" Target="https://vicharkrantibooks.org/productdetail?book_name=HINP0608_OJAS_TEJAS_AUR_VARCHAS_KE_JAGARAN_KI_SADHANA_xx1981&amp;product_id=1173" TargetMode="External"/><Relationship Id="rId790" Type="http://schemas.openxmlformats.org/officeDocument/2006/relationships/hyperlink" Target="https://vicharkrantibooks.org/productdetail?book_name=HINP0028_ADHYATMVADI_BHAUTIKATA_APANAE_xx1979&amp;product_id=593" TargetMode="External"/><Relationship Id="rId804" Type="http://schemas.openxmlformats.org/officeDocument/2006/relationships/hyperlink" Target="https://vicharkrantibooks.org/productdetail?book_name=HINP0416_KAMADEHANU_GAYATRI_xxyyyy&amp;product_id=981" TargetMode="External"/><Relationship Id="rId1227" Type="http://schemas.openxmlformats.org/officeDocument/2006/relationships/hyperlink" Target="https://vicharkrantibooks.org/productdetail?book_name=HINP0594_NAVARATRI_KA_PAVAN_PARV_xx1980&amp;product_id=1159" TargetMode="External"/><Relationship Id="rId4" Type="http://schemas.openxmlformats.org/officeDocument/2006/relationships/hyperlink" Target="https://vicharkrantibooks.org/productdetail?book_name=HINP1057_YUG_PARIVARTAN_MEIN_SAMARTH_AGRADUTON_KI_BHUMIKA_xxyyyy&amp;product_id=1622" TargetMode="External"/><Relationship Id="rId236" Type="http://schemas.openxmlformats.org/officeDocument/2006/relationships/hyperlink" Target="https://vicharkrantibooks.org/productdetail?book_name=HINP0230_DHARM_AUR_SAMPRADAY_ALAG_ALAG_HAIN_xxyyyy&amp;product_id=795" TargetMode="External"/><Relationship Id="rId443" Type="http://schemas.openxmlformats.org/officeDocument/2006/relationships/hyperlink" Target="https://vicharkrantibooks.org/productdetail?book_name=HINP0562_NARI_KA_GAURAVASHALI_ATIT_UJJAVAL_BHAVISHY_xxyyyy&amp;product_id=1127" TargetMode="External"/><Relationship Id="rId650" Type="http://schemas.openxmlformats.org/officeDocument/2006/relationships/hyperlink" Target="https://vicharkrantibooks.org/productdetail?book_name=HINP1059_YUG_RUSHI_KI_AMAR_VANI_BHAG_1_xxyyyy&amp;product_id=1624" TargetMode="External"/><Relationship Id="rId888" Type="http://schemas.openxmlformats.org/officeDocument/2006/relationships/hyperlink" Target="https://vicharkrantibooks.org/productdetail?book_name=HINP0114_AVANCHHANIYATAON_KE_AGE_SIR_NA_JHUKAEN_xxyyyy&amp;product_id=679" TargetMode="External"/><Relationship Id="rId1073" Type="http://schemas.openxmlformats.org/officeDocument/2006/relationships/hyperlink" Target="https://vicharkrantibooks.org/productdetail?book_name=HINP0522_MANTR_VIGYAN_xxyyyy&amp;product_id=1087" TargetMode="External"/><Relationship Id="rId303" Type="http://schemas.openxmlformats.org/officeDocument/2006/relationships/hyperlink" Target="https://vicharkrantibooks.org/productdetail?product_id=378" TargetMode="External"/><Relationship Id="rId748" Type="http://schemas.openxmlformats.org/officeDocument/2006/relationships/hyperlink" Target="http://literature.awgp.org/book/Folly_of_the_wise/v2" TargetMode="External"/><Relationship Id="rId955" Type="http://schemas.openxmlformats.org/officeDocument/2006/relationships/hyperlink" Target="https://vicharkrantibooks.org/productdetail?book_name=HINP0220_DEVATA_HAMEN_KYA_DE_SAKATE_HAI_xx2011&amp;product_id=785" TargetMode="External"/><Relationship Id="rId1140" Type="http://schemas.openxmlformats.org/officeDocument/2006/relationships/hyperlink" Target="https://vicharkrantibooks.org/productdetail?book_name=HINP0642_PATH_PUJA_KA_DARSHAN_BHI_SAMAJHEN_xx2011&amp;product_id=1207" TargetMode="External"/><Relationship Id="rId84" Type="http://schemas.openxmlformats.org/officeDocument/2006/relationships/hyperlink" Target="https://vicharkrantibooks.org/productdetail?book_name=HINP1052_YUG_PARIVARTAN_KA_VATAVARAN_BANANE_VIBHUTIVAN_AGE_AYE_xx1982&amp;product_id=1617" TargetMode="External"/><Relationship Id="rId387" Type="http://schemas.openxmlformats.org/officeDocument/2006/relationships/hyperlink" Target="https://vicharkrantibooks.org/productdetail?book_name=HINP0670_PRASANNATA_APANE_BHITAR_SE_UGAIYE_xx1978&amp;product_id=1235" TargetMode="External"/><Relationship Id="rId510" Type="http://schemas.openxmlformats.org/officeDocument/2006/relationships/hyperlink" Target="https://vicharkrantibooks.org/productdetail?book_name=HINP0827_SEVA_MANUSHY_KA_AVASHYAK_DHARM_KRUTY_xxyyyy&amp;product_id=1392" TargetMode="External"/><Relationship Id="rId594" Type="http://schemas.openxmlformats.org/officeDocument/2006/relationships/hyperlink" Target="https://vicharkrantibooks.org/productdetail?book_name=HINP0676_PRATIBHA_SANVARDHAN_KE_VIGYAN_SAMMMAT_PRAYOG_xxyyyy&amp;product_id=1241" TargetMode="External"/><Relationship Id="rId608" Type="http://schemas.openxmlformats.org/officeDocument/2006/relationships/hyperlink" Target="https://vicharkrantibooks.org/productdetail?book_name=HINP0174_BINA_MOL_APHAT_DURVYASAN_xxyyyy&amp;product_id=739" TargetMode="External"/><Relationship Id="rId815" Type="http://schemas.openxmlformats.org/officeDocument/2006/relationships/hyperlink" Target="https://vicharkrantibooks.org/productdetail?book_name=HINP0423_KARMAKAND_KI_PRERANAON_MEIN_CHHIPA_ADHYATM_xx2011&amp;product_id=988" TargetMode="External"/><Relationship Id="rId1238" Type="http://schemas.openxmlformats.org/officeDocument/2006/relationships/hyperlink" Target="https://vicharkrantibooks.org/productdetail?book_name=ENGPE035_GAYATRI_A_UNIQUE_SOLUTIONS_FOR_PROBLEMS_xxyyyy&amp;product_id=3428" TargetMode="External"/><Relationship Id="rId247" Type="http://schemas.openxmlformats.org/officeDocument/2006/relationships/hyperlink" Target="https://vicharkrantibooks.org/productdetail?product_id=3795" TargetMode="External"/><Relationship Id="rId899" Type="http://schemas.openxmlformats.org/officeDocument/2006/relationships/hyperlink" Target="http://literature.awgp.org/book/glimpse_of_golden_future/v2" TargetMode="External"/><Relationship Id="rId1000" Type="http://schemas.openxmlformats.org/officeDocument/2006/relationships/hyperlink" Target="https://vicharkrantibooks.org/productdetail?book_name=ENGPE042_PAUSE_AND_THINK_xxyyyy&amp;product_id=3435" TargetMode="External"/><Relationship Id="rId1084" Type="http://schemas.openxmlformats.org/officeDocument/2006/relationships/hyperlink" Target="https://vicharkrantibooks.org/productdetail?book_name=HINP0441_KOSHTHABADDHATA_SE_BACHEN_xxyyyy&amp;product_id=1006" TargetMode="External"/><Relationship Id="rId107" Type="http://schemas.openxmlformats.org/officeDocument/2006/relationships/hyperlink" Target="https://vicharkrantibooks.org/productdetail?book_name=HINP0590_NARIYON_KI_GAYATRI_SADHANA_xxyyyy&amp;product_id=1155" TargetMode="External"/><Relationship Id="rId454" Type="http://schemas.openxmlformats.org/officeDocument/2006/relationships/hyperlink" Target="https://vicharkrantibooks.org/productdetail?book_name=ENGP0605_STEER_THE_LIFE_FOR_DEFINITE_REWARDS_xxyyyy&amp;product_id=3513" TargetMode="External"/><Relationship Id="rId661" Type="http://schemas.openxmlformats.org/officeDocument/2006/relationships/hyperlink" Target="https://vicharkrantibooks.org/productdetail?book_name=HINP0253_DIRGH_JIVAN_KI_PRAPTI_xxyyyy&amp;product_id=818" TargetMode="External"/><Relationship Id="rId759" Type="http://schemas.openxmlformats.org/officeDocument/2006/relationships/hyperlink" Target="https://vicharkrantibooks.org/productdetail?book_name=HINP0065_APANE_KO_BADALEN_xxyyyy&amp;product_id=630" TargetMode="External"/><Relationship Id="rId966" Type="http://schemas.openxmlformats.org/officeDocument/2006/relationships/hyperlink" Target="https://vicharkrantibooks.org/productdetail?book_name=HINP0006_ADHIKAR_GAUN_AUR_KARTAVY_PRADHAN_xxyyyy&amp;product_id=571" TargetMode="External"/><Relationship Id="rId11" Type="http://schemas.openxmlformats.org/officeDocument/2006/relationships/hyperlink" Target="https://vicharkrantibooks.org/productdetail?product_id=3925" TargetMode="External"/><Relationship Id="rId314" Type="http://schemas.openxmlformats.org/officeDocument/2006/relationships/hyperlink" Target="https://vicharkrantibooks.org/productdetail?book_name=HINP0030_AGNIHOTR_KI_GARIMA_AUR_MAHATTA_xx1982&amp;product_id=595" TargetMode="External"/><Relationship Id="rId398" Type="http://schemas.openxmlformats.org/officeDocument/2006/relationships/hyperlink" Target="https://vicharkrantibooks.org/productdetail?book_name=GUJP0298_GAYATRI_UPASANA_KEM_ANE_SHA_MATE_XXYYYY&amp;product_id=3956" TargetMode="External"/><Relationship Id="rId521" Type="http://schemas.openxmlformats.org/officeDocument/2006/relationships/hyperlink" Target="https://vicharkrantibooks.org/productdetail?book_name=HINP0917_UD%E2%80%8CDESHYON_KO_UNCHA_RAKHIE_xxyyyy&amp;product_id=1482" TargetMode="External"/><Relationship Id="rId619" Type="http://schemas.openxmlformats.org/officeDocument/2006/relationships/hyperlink" Target="https://vicharkrantibooks.org/productdetail?book_name=ENGP0676_SCIENTIFIC_APPROACH_TO_TALENT_GROWTH_xxyyyy&amp;product_id=3515" TargetMode="External"/><Relationship Id="rId1151" Type="http://schemas.openxmlformats.org/officeDocument/2006/relationships/hyperlink" Target="https://vicharkrantibooks.org/productdetail?book_name=ENGP0817_MOTHERHOOD_REVERED_EVERY_WHERE_xxyyyy&amp;product_id=3502" TargetMode="External"/><Relationship Id="rId95" Type="http://schemas.openxmlformats.org/officeDocument/2006/relationships/hyperlink" Target="https://vicharkrantibooks.org/productdetail?product_id=3792" TargetMode="External"/><Relationship Id="rId160" Type="http://schemas.openxmlformats.org/officeDocument/2006/relationships/hyperlink" Target="https://vicharkrantibooks.org/productdetail?book_name=HINP0674_PRASTUT_SANKAT_MEIN_HAMARA_KARTAVY_AUR_UTTARADAYITV_xxyyyy&amp;product_id=1239" TargetMode="External"/><Relationship Id="rId826" Type="http://schemas.openxmlformats.org/officeDocument/2006/relationships/hyperlink" Target="https://vicharkrantibooks.org/productdetail?book_name=HINP1060_YUG_RUSHI_KI_AMAR_VANI_BHAG_2_xxyyyy&amp;product_id=1625" TargetMode="External"/><Relationship Id="rId1011" Type="http://schemas.openxmlformats.org/officeDocument/2006/relationships/hyperlink" Target="https://vicharkrantibooks.org/productdetail?book_name=HINP0206_DAVAON_SE_BACHEN_xxyyyy&amp;product_id=771" TargetMode="External"/><Relationship Id="rId1109" Type="http://schemas.openxmlformats.org/officeDocument/2006/relationships/hyperlink" Target="https://vicharkrantibooks.org/productdetail?book_name=HINP0325_GYANAGHAT_AUR_NAVAYUG_KA_JIVAN_DARSHAN_xxyyyy&amp;product_id=890" TargetMode="External"/><Relationship Id="rId258" Type="http://schemas.openxmlformats.org/officeDocument/2006/relationships/hyperlink" Target="https://drive.google.com/file/d/1GOABqL4sQL3rZa4vUgkBGoKqy3ObgOZS/view?usp=drive_link" TargetMode="External"/><Relationship Id="rId465" Type="http://schemas.openxmlformats.org/officeDocument/2006/relationships/hyperlink" Target="https://vicharkrantibooks.org/productdetail?book_name=HINF0044_ATM_BODH_SE_DEVATTV_KI_PRAPTI_xxyyyy&amp;product_id=264" TargetMode="External"/><Relationship Id="rId672" Type="http://schemas.openxmlformats.org/officeDocument/2006/relationships/hyperlink" Target="https://vicharkrantibooks.org/productdetail?book_name=HINR0107_APURNATA_SE_PURNATA_KI_OR_xx2012&amp;product_id=1792" TargetMode="External"/><Relationship Id="rId1095" Type="http://schemas.openxmlformats.org/officeDocument/2006/relationships/hyperlink" Target="https://vicharkrantibooks.org/productdetail?book_name=HINP1069_YUGRUSHI_KI_PRERANA_AUR_HAMARE_KRIYAKALAP_xxyyyy&amp;product_id=1634" TargetMode="External"/><Relationship Id="rId22" Type="http://schemas.openxmlformats.org/officeDocument/2006/relationships/hyperlink" Target="https://vicharkrantibooks.org/productdetail?product_id=353" TargetMode="External"/><Relationship Id="rId118" Type="http://schemas.openxmlformats.org/officeDocument/2006/relationships/hyperlink" Target="https://vicharkrantibooks.org/productdetail?book_name=HINP1007_VRUKSHON_SE_HI_DHARATI_SHASY_SHYAMALA_xxyyyy&amp;product_id=1572" TargetMode="External"/><Relationship Id="rId325" Type="http://schemas.openxmlformats.org/officeDocument/2006/relationships/hyperlink" Target="https://vicharkrantibooks.org/productdetail?book_name=GUJP0695_PYAR_ANE_SAHAKARBHARYA_PARIWAR_VASE_XXYYYY&amp;product_id=3794" TargetMode="External"/><Relationship Id="rId532" Type="http://schemas.openxmlformats.org/officeDocument/2006/relationships/hyperlink" Target="https://vicharkrantibooks.org/productdetail?book_name=HINP1117_MAHAKAL_KI_BHAVISHYAVANI_xxyyyy&amp;product_id=1682" TargetMode="External"/><Relationship Id="rId977" Type="http://schemas.openxmlformats.org/officeDocument/2006/relationships/hyperlink" Target="https://vicharkrantibooks.org/productdetail?book_name=HINP1031_YUG_DEVATA_KI_SAMAYDAN_YACHANA_xxyyyy&amp;product_id=1596" TargetMode="External"/><Relationship Id="rId1162" Type="http://schemas.openxmlformats.org/officeDocument/2006/relationships/hyperlink" Target="https://vicharkrantibooks.org/productdetail?book_name=HINP0295_GAYATRI_UPASANA_KE_CHAMATKARI_SATPARINAM_xx1979&amp;product_id=860" TargetMode="External"/><Relationship Id="rId171" Type="http://schemas.openxmlformats.org/officeDocument/2006/relationships/hyperlink" Target="https://vicharkrantibooks.org/productdetail?book_name=HINP0455_LARGER_FAMILY_SAHAKARITA_KA_EK_ANUPAM_PRAYOG_xx1982&amp;product_id=1020" TargetMode="External"/><Relationship Id="rId837" Type="http://schemas.openxmlformats.org/officeDocument/2006/relationships/hyperlink" Target="https://vicharkrantibooks.org/productdetails?book_name=ENGR1216_FORM_AND_SPIRIT_OF_VEDIC_RITUAL_WORSHIP_PROCEDURE_OF_YAGYA_xx2009&amp;product_id=3442" TargetMode="External"/><Relationship Id="rId1022" Type="http://schemas.openxmlformats.org/officeDocument/2006/relationships/hyperlink" Target="https://vicharkrantibooks.org/productdetail?book_name=HINP0279_GAYATRI_CHALISA_xxyyyy&amp;product_id=844" TargetMode="External"/><Relationship Id="rId269" Type="http://schemas.openxmlformats.org/officeDocument/2006/relationships/hyperlink" Target="https://vicharkrantibooks.org/productdetail?product_id=3767" TargetMode="External"/><Relationship Id="rId476" Type="http://schemas.openxmlformats.org/officeDocument/2006/relationships/hyperlink" Target="https://vicharkrantibooks.org/productdetail?book_name=HINP0382_JATIL_KHADY_SAMASYA_KA_KUCHH_SARAL_SAMADHAN_xx1982&amp;product_id=947" TargetMode="External"/><Relationship Id="rId683" Type="http://schemas.openxmlformats.org/officeDocument/2006/relationships/hyperlink" Target="https://vicharkrantibooks.org/productdetail?book_name=HINP1032_YUG_DHARM_xxyyyy&amp;product_id=1597" TargetMode="External"/><Relationship Id="rId890" Type="http://schemas.openxmlformats.org/officeDocument/2006/relationships/hyperlink" Target="https://vicharkrantibooks.org/productdetail?book_name=ENGRE092_APPLIED_SCIENCE_OF_YAGYA_FOR_HEALTH_AND_ENVIRONMENT_RE2011&amp;product_id=3484" TargetMode="External"/><Relationship Id="rId904" Type="http://schemas.openxmlformats.org/officeDocument/2006/relationships/hyperlink" Target="http://literature.awgp.org/book/the_integrated_science_of_yagna/v1" TargetMode="External"/><Relationship Id="rId33" Type="http://schemas.openxmlformats.org/officeDocument/2006/relationships/hyperlink" Target="https://vicharkrantibooks.org/productdetail?book_name=HINF0113_HARITIMA_SE_SNEH_BADHAYEN_PHOOL_UGAYE_xxyyyy&amp;product_id=333" TargetMode="External"/><Relationship Id="rId129" Type="http://schemas.openxmlformats.org/officeDocument/2006/relationships/hyperlink" Target="https://vicharkrantibooks.org/productdetail?book_name=HINP0538_MRUDU_CHANDRAYAN_SADHANA_xxyyyy&amp;product_id=1103" TargetMode="External"/><Relationship Id="rId336" Type="http://schemas.openxmlformats.org/officeDocument/2006/relationships/hyperlink" Target="https://vicharkrantibooks.org/productdetail?book_name=GUJP0142_BHAGAVAN_SHANKAR_KON_CHHE_XXYYYY&amp;product_id=3742" TargetMode="External"/><Relationship Id="rId543" Type="http://schemas.openxmlformats.org/officeDocument/2006/relationships/hyperlink" Target="https://vicharkrantibooks.org/productdetail?book_name=HINP1010_VYAKTITV_KI_PURNATA_xxyyyy&amp;product_id=1575" TargetMode="External"/><Relationship Id="rId988" Type="http://schemas.openxmlformats.org/officeDocument/2006/relationships/hyperlink" Target="https://vicharkrantibooks.org/productdetail?book_name=HINP0259_DUKHON_KE_KARAN_AUR_UNAKE_NIVARAN_xx1978&amp;product_id=824" TargetMode="External"/><Relationship Id="rId1173" Type="http://schemas.openxmlformats.org/officeDocument/2006/relationships/hyperlink" Target="https://vicharkrantibooks.org/productdetail?book_name=HINP0643_PATHABHRASHT_PARIWAR_KAISE_SUDHAREN_xxyyyy&amp;product_id=1208" TargetMode="External"/><Relationship Id="rId182" Type="http://schemas.openxmlformats.org/officeDocument/2006/relationships/hyperlink" Target="https://drive.google.com/file/d/11t-nT0lO5qFfF_4h3WZHb8-GkdCOK-93/view?usp=sharing" TargetMode="External"/><Relationship Id="rId403" Type="http://schemas.openxmlformats.org/officeDocument/2006/relationships/hyperlink" Target="https://vicharkrantibooks.org/productdetail?book_name=HINF0118_IKKISAVI_SADI_BANAM_UJJAVAL_BHAVISHY_1st1988&amp;product_id=338" TargetMode="External"/><Relationship Id="rId750" Type="http://schemas.openxmlformats.org/officeDocument/2006/relationships/hyperlink" Target="https://vicharkrantibooks.org/productdetail?book_name=HINP0282_GAYATRI_KI_DIVY_SHAKTIYAN_xxyyyy&amp;product_id=847" TargetMode="External"/><Relationship Id="rId848" Type="http://schemas.openxmlformats.org/officeDocument/2006/relationships/hyperlink" Target="https://vicharkrantibooks.org/productdetail?book_name=HINP0242_DHARMATANTR_DVARA_LOKASHIKSHAN_xx2011&amp;product_id=807" TargetMode="External"/><Relationship Id="rId1033" Type="http://schemas.openxmlformats.org/officeDocument/2006/relationships/hyperlink" Target="https://vicharkrantibooks.org/productdetail?book_name=HINP0915_UCHCHASTARIY_SADHANA_KE_KUCHH_JANANE_YOGY_ANUSHASAN_xx1982&amp;product_id=1480" TargetMode="External"/><Relationship Id="rId487" Type="http://schemas.openxmlformats.org/officeDocument/2006/relationships/hyperlink" Target="https://vicharkrantibooks.org/productdetail?book_name=HINP0542_MURDHANYO_JAGO_xxyyyy&amp;product_id=1107" TargetMode="External"/><Relationship Id="rId610" Type="http://schemas.openxmlformats.org/officeDocument/2006/relationships/hyperlink" Target="https://vicharkrantibooks.org/productdetail?book_name=HINP1036_YUG_MANISHA_KA_NIYOJAN_YUG_DHARM_MEIN_xxyyyy&amp;product_id=1601" TargetMode="External"/><Relationship Id="rId694" Type="http://schemas.openxmlformats.org/officeDocument/2006/relationships/hyperlink" Target="https://vicharkrantibooks.org/productdetail?book_name=HINP0936_UTKRUSHT_MANAS_MEIN_HI_ISHWAR_KA_DARSHAN_xx1981&amp;product_id=1501" TargetMode="External"/><Relationship Id="rId708" Type="http://schemas.openxmlformats.org/officeDocument/2006/relationships/hyperlink" Target="https://vicharkrantibooks.org/productdetail?book_name=HINP0794_SANTANOTPADAN_AUR_NRUTATV_VIGYAN_xxyyyy&amp;product_id=1359" TargetMode="External"/><Relationship Id="rId915" Type="http://schemas.openxmlformats.org/officeDocument/2006/relationships/hyperlink" Target="https://vicharkrantibooks.org/productdetail?book_name=HINP1060_YUG_RUSHI_KI_AMAR_VANI_BHAG_2_xxyyyy&amp;product_id=1625" TargetMode="External"/><Relationship Id="rId1240" Type="http://schemas.openxmlformats.org/officeDocument/2006/relationships/hyperlink" Target="https://vicharkrantibooks.org/productdetail?book_name=HINP0498_MANASIK_TANAV_SE_BACHEN_xxyyyy&amp;product_id=1063" TargetMode="External"/><Relationship Id="rId347" Type="http://schemas.openxmlformats.org/officeDocument/2006/relationships/hyperlink" Target="https://vicharkrantibooks.org/productdetail?book_name=HINF0339_IS_SAMAY_KA_SABASE_BADA_PUNY_BRAHMABHOJ_GYAN_YAGY_xxyyyy&amp;product_id=559" TargetMode="External"/><Relationship Id="rId999" Type="http://schemas.openxmlformats.org/officeDocument/2006/relationships/hyperlink" Target="https://vicharkrantibooks.org/productdetail?book_name=HINP0385_JIVAN_AUR_MARAN_KA_ANYONYASHRIT_GATICHAKR_xx1981&amp;product_id=950" TargetMode="External"/><Relationship Id="rId1100" Type="http://schemas.openxmlformats.org/officeDocument/2006/relationships/hyperlink" Target="https://vicharkrantibooks.org/productdetail?book_name=HINP0040_ANAND_KI_GANGOTRI_APANE_HI_ANTARAL_MEIN_xx1981&amp;product_id=605" TargetMode="External"/><Relationship Id="rId1184" Type="http://schemas.openxmlformats.org/officeDocument/2006/relationships/hyperlink" Target="https://vicharkrantibooks.org/productdetail?book_name=HINP0093_ATMAGYAN_AUR_ATMKALYAN_KA_TATVADARSHAN_xx1981&amp;product_id=658" TargetMode="External"/><Relationship Id="rId44" Type="http://schemas.openxmlformats.org/officeDocument/2006/relationships/hyperlink" Target="https://vicharkrantibooks.org/productdetail?book_name=HINP1032_YUG_DHARM_xxyyyy&amp;product_id=1597" TargetMode="External"/><Relationship Id="rId554" Type="http://schemas.openxmlformats.org/officeDocument/2006/relationships/hyperlink" Target="https://vicharkrantibooks.org/productdetail?book_name=HINP0971_VIGYAN_DHARM_KA_VIRODHI_NAHI_HO_SAKATA_xx1981&amp;product_id=1536" TargetMode="External"/><Relationship Id="rId761" Type="http://schemas.openxmlformats.org/officeDocument/2006/relationships/hyperlink" Target="https://vicharkrantibooks.org/productdetail?book_name=HINR0495_GHARELU_CHIKITSA_Re2014&amp;product_id=2180" TargetMode="External"/><Relationship Id="rId859" Type="http://schemas.openxmlformats.org/officeDocument/2006/relationships/hyperlink" Target="https://vicharkrantibooks.org/productdetail?book_name=HINP0222_DEVATMA_HIMALAY_EVAM_RUSHI_PARAMPARA_xx2011&amp;product_id=787" TargetMode="External"/><Relationship Id="rId193" Type="http://schemas.openxmlformats.org/officeDocument/2006/relationships/hyperlink" Target="https://vicharkrantibooks.org/productdetail?book_name=HINP0599_NIKRUSHT_JIVAN_NA_JIYEN_xx1979&amp;product_id=1164" TargetMode="External"/><Relationship Id="rId207" Type="http://schemas.openxmlformats.org/officeDocument/2006/relationships/hyperlink" Target="https://vicharkrantibooks.org/productdetail?product_id=427" TargetMode="External"/><Relationship Id="rId414" Type="http://schemas.openxmlformats.org/officeDocument/2006/relationships/hyperlink" Target="https://vicharkrantibooks.org/productdetail?book_name=HINP0413_KAM_KRIDA_NA_BANANE_PAYE_xx1982&amp;product_id=978" TargetMode="External"/><Relationship Id="rId498" Type="http://schemas.openxmlformats.org/officeDocument/2006/relationships/hyperlink" Target="https://vicharkrantibooks.org/productdetail?book_name=HINP0707_ROGON_KA_KARAN_AUR_NIVARAN_xxyyyy&amp;product_id=1272" TargetMode="External"/><Relationship Id="rId621" Type="http://schemas.openxmlformats.org/officeDocument/2006/relationships/hyperlink" Target="https://vicharkrantibooks.org/productdetail?book_name=ENGP0069_FIGHT_YOUR_WEAKNESSES_BE_STRONG_xxyyyy&amp;product_id=3512" TargetMode="External"/><Relationship Id="rId1044" Type="http://schemas.openxmlformats.org/officeDocument/2006/relationships/hyperlink" Target="https://vicharkrantibooks.org/productdetail?book_name=HINP0971_VIGYAN_DHARM_KA_VIRODHI_NAHI_HO_SAKATA_xx1981&amp;product_id=1536" TargetMode="External"/><Relationship Id="rId260" Type="http://schemas.openxmlformats.org/officeDocument/2006/relationships/hyperlink" Target="https://drive.google.com/file/d/1MxJ_DBMCMMTlcE15A6R08LdjjWhn4keL/view?usp=sharing" TargetMode="External"/><Relationship Id="rId719" Type="http://schemas.openxmlformats.org/officeDocument/2006/relationships/hyperlink" Target="https://vicharkrantibooks.org/productdetail?book_name=HINF0304_UTKRUSHT_ADARSHAVADITA_KI_PAKSHADHAR_BHARATIY_SANSKRUTI_xxyyyy&amp;product_id=524" TargetMode="External"/><Relationship Id="rId926" Type="http://schemas.openxmlformats.org/officeDocument/2006/relationships/hyperlink" Target="http://literature.awgp.org/book/The_only_solutionto_our_all_problems/v1.1" TargetMode="External"/><Relationship Id="rId1111" Type="http://schemas.openxmlformats.org/officeDocument/2006/relationships/hyperlink" Target="https://vicharkrantibooks.org/productdetail?book_name=HINP0070_APATTIKAL_KA_ADHYATM_xx2011&amp;product_id=635" TargetMode="External"/><Relationship Id="rId55" Type="http://schemas.openxmlformats.org/officeDocument/2006/relationships/hyperlink" Target="https://vicharkrantibooks.org/productdetail?book_name=HINP0276_GAYATRI_ANUSHTHAN_AUR_USAKA_VIDHI_VIDHAN_xx1978&amp;product_id=841" TargetMode="External"/><Relationship Id="rId120" Type="http://schemas.openxmlformats.org/officeDocument/2006/relationships/hyperlink" Target="https://vicharkrantibooks.org/productdetail?product_id=3966" TargetMode="External"/><Relationship Id="rId358" Type="http://schemas.openxmlformats.org/officeDocument/2006/relationships/hyperlink" Target="https://vicharkrantibooks.org/productdetail?book_name=GUJP0495_MANASIK_SAMATULA_JALAVI_RAKHO_XXYYYY&amp;product_id=3929" TargetMode="External"/><Relationship Id="rId565" Type="http://schemas.openxmlformats.org/officeDocument/2006/relationships/hyperlink" Target="https://vicharkrantibooks.org/productdetail?book_name=HINP0160_BHAVI_MAHABHARAT_(POCKET)_xxyyyy&amp;product_id=725" TargetMode="External"/><Relationship Id="rId772" Type="http://schemas.openxmlformats.org/officeDocument/2006/relationships/hyperlink" Target="https://vicharkrantibooks.org/productdetail?book_name=HINP1050_YUG_PARIVARTAN_ISLAMIK_DRUSHTIKON_xx2013&amp;product_id=1615" TargetMode="External"/><Relationship Id="rId1195" Type="http://schemas.openxmlformats.org/officeDocument/2006/relationships/hyperlink" Target="https://vicharkrantibooks.org/productdetail?book_name=HINP0043_ANITI_EVAM_ANACHAR_MANAVI_PAURUS_KO_EK_CHUNAUTI_xx1981&amp;product_id=608" TargetMode="External"/><Relationship Id="rId1209" Type="http://schemas.openxmlformats.org/officeDocument/2006/relationships/hyperlink" Target="https://vicharkrantibooks.org/productdetail?book_name=ENGP0279_GAYATRI_CHALISA_xxyyyy&amp;product_id=3416" TargetMode="External"/><Relationship Id="rId218" Type="http://schemas.openxmlformats.org/officeDocument/2006/relationships/hyperlink" Target="https://vicharkrantibooks.org/productdetail?book_name=HINP0339_HANSEN_TO_PAR_UPAHAS_NA_KAREN_xx1982&amp;product_id=904" TargetMode="External"/><Relationship Id="rId425" Type="http://schemas.openxmlformats.org/officeDocument/2006/relationships/hyperlink" Target="https://vicharkrantibooks.org/productdetail?book_name=HINP0395_JIVAN_SADHANA_KI_URJA_RASHAMIYAN_xxyyyy&amp;product_id=960" TargetMode="External"/><Relationship Id="rId632" Type="http://schemas.openxmlformats.org/officeDocument/2006/relationships/hyperlink" Target="https://vicharkrantibooks.org/productdetail?product_id=375" TargetMode="External"/><Relationship Id="rId1055" Type="http://schemas.openxmlformats.org/officeDocument/2006/relationships/hyperlink" Target="https://vicharkrantibooks.org/productdetail?book_name=HINP0367_ISHWARIY_ANUSHASAN_KE_ANUBANDH_xxyyyy&amp;product_id=932" TargetMode="External"/><Relationship Id="rId271" Type="http://schemas.openxmlformats.org/officeDocument/2006/relationships/hyperlink" Target="https://vicharkrantibooks.org/productdetail?product_id=3907" TargetMode="External"/><Relationship Id="rId937" Type="http://schemas.openxmlformats.org/officeDocument/2006/relationships/hyperlink" Target="https://vicharkrantibooks.org/productdetail?book_name=HINP0629_PARIWAR_KI_GARIMA_MARYADA_PALAN_MEIN_xx1981&amp;product_id=1194" TargetMode="External"/><Relationship Id="rId1122" Type="http://schemas.openxmlformats.org/officeDocument/2006/relationships/hyperlink" Target="https://vicharkrantibooks.org/productdetail?book_name=HINP0065_APANE_KO_BADALEN_xxyyyy&amp;product_id=630" TargetMode="External"/><Relationship Id="rId66" Type="http://schemas.openxmlformats.org/officeDocument/2006/relationships/hyperlink" Target="https://vicharkrantibooks.org/productdetail?product_id=3477" TargetMode="External"/><Relationship Id="rId131" Type="http://schemas.openxmlformats.org/officeDocument/2006/relationships/hyperlink" Target="https://vicharkrantibooks.org/productdetail?book_name=HINP0310_GRAMIN_SAMASYAON_KA_EKAMUSHT_SAMADHAN_GAUPALAN_xxyyyy&amp;product_id=875" TargetMode="External"/><Relationship Id="rId369" Type="http://schemas.openxmlformats.org/officeDocument/2006/relationships/hyperlink" Target="https://vicharkrantibooks.org/productdetail?book_name=GUJP0177_VAVAVA_LANAVANO_APHAR_SIDDHANT_XXYYYY&amp;product_id=3741" TargetMode="External"/><Relationship Id="rId576" Type="http://schemas.openxmlformats.org/officeDocument/2006/relationships/hyperlink" Target="https://vicharkrantibooks.org/productdetail?book_name=HINP0697_RAM_KA_CHARITR_HAMARA_PRERANA_STROT_xx2011&amp;product_id=1262" TargetMode="External"/><Relationship Id="rId783" Type="http://schemas.openxmlformats.org/officeDocument/2006/relationships/hyperlink" Target="https://vicharkrantibooks.org/productdetail?book_name=HINP0548_NAR_AUR_NARI_EK_SAMAN_xxyyyy&amp;product_id=1113" TargetMode="External"/><Relationship Id="rId990" Type="http://schemas.openxmlformats.org/officeDocument/2006/relationships/hyperlink" Target="https://vicharkrantibooks.org/productdetail?book_name=HINP0252_DIRGH_JIVAN_KE_RAHASY_xx1978&amp;product_id=817" TargetMode="External"/><Relationship Id="rId229" Type="http://schemas.openxmlformats.org/officeDocument/2006/relationships/hyperlink" Target="https://drive.google.com/file/d/1D5xMHoUye9OqRb83E1S0HYWpjjidSavs/view?usp=sharing" TargetMode="External"/><Relationship Id="rId436" Type="http://schemas.openxmlformats.org/officeDocument/2006/relationships/hyperlink" Target="https://vicharkrantibooks.org/productdetail?book_name=HINP0973_VIGYAN_KA_SAHAYOGI_ADHISTHATA_HAI_ADHYATM_xx1982&amp;product_id=1538" TargetMode="External"/><Relationship Id="rId643" Type="http://schemas.openxmlformats.org/officeDocument/2006/relationships/hyperlink" Target="https://vicharkrantibooks.org/productdetail?book_name=HINP0794_SANTANOTPADAN_AUR_NRUTATV_VIGYAN_xxyyyy&amp;product_id=1359" TargetMode="External"/><Relationship Id="rId1066" Type="http://schemas.openxmlformats.org/officeDocument/2006/relationships/hyperlink" Target="https://vicharkrantibooks.org/productdetail?book_name=HINP0404_JO_SOCHEN_RACHANATMAK_SOCHEN_xx1981&amp;product_id=969" TargetMode="External"/><Relationship Id="rId850" Type="http://schemas.openxmlformats.org/officeDocument/2006/relationships/hyperlink" Target="http://literature.awgp.org/book/Prepare_Yourself_to_Excel/v1" TargetMode="External"/><Relationship Id="rId948" Type="http://schemas.openxmlformats.org/officeDocument/2006/relationships/hyperlink" Target="https://vicharkrantibooks.org/productdetail?book_name=ENGPE068_VEDIC_SYMBOLS_RE2011&amp;product_id=3458" TargetMode="External"/><Relationship Id="rId1133" Type="http://schemas.openxmlformats.org/officeDocument/2006/relationships/hyperlink" Target="https://vicharkrantibooks.org/productdetail?book_name=HINP0068_APANI_GARIMA_AUR_KSHAMATA_KO_BHULEN_NAHI_xx1981&amp;product_id=633" TargetMode="External"/><Relationship Id="rId77" Type="http://schemas.openxmlformats.org/officeDocument/2006/relationships/hyperlink" Target="http://literature.awgp.org/book/reviving_the_vedic_cultue_of_yagya/v1" TargetMode="External"/><Relationship Id="rId282" Type="http://schemas.openxmlformats.org/officeDocument/2006/relationships/hyperlink" Target="https://vicharkrantibooks.org/productdetail?book_name=HINP0909_TIRTH_YATRAON_SE_JAN_JAGARAN_xx1981&amp;product_id=1474" TargetMode="External"/><Relationship Id="rId503" Type="http://schemas.openxmlformats.org/officeDocument/2006/relationships/hyperlink" Target="https://vicharkrantibooks.org/productdetail?book_name=HINF0030_ANU_MEIN_VIBHU_LAGHU_MEIN_MAHAN_xxyyyy&amp;product_id=250" TargetMode="External"/><Relationship Id="rId587" Type="http://schemas.openxmlformats.org/officeDocument/2006/relationships/hyperlink" Target="https://vicharkrantibooks.org/productdetail?book_name=HINP0678_PRATIBHAON_KA_NIYOJAN_NAVANIRMAN_MEIN_xxyyyy&amp;product_id=1243" TargetMode="External"/><Relationship Id="rId710" Type="http://schemas.openxmlformats.org/officeDocument/2006/relationships/hyperlink" Target="https://vicharkrantibooks.org/productdetail?book_name=HINP0094_ATMAHATYA_KYON_xxyyyy&amp;product_id=659" TargetMode="External"/><Relationship Id="rId808" Type="http://schemas.openxmlformats.org/officeDocument/2006/relationships/hyperlink" Target="https://vicharkrantibooks.org/productdetail?book_name=HINP0058_APANA_SWARG_NARAK_HUM_SVAYAM_BANATE_HAIN_xxyyyy&amp;product_id=623" TargetMode="External"/><Relationship Id="rId8" Type="http://schemas.openxmlformats.org/officeDocument/2006/relationships/hyperlink" Target="https://vicharkrantibooks.org/productdetail?book_name=HINP0997_VOTARON_KI_SATARKATA_PAR_PRAJATANTR_KI_SAPHALATA_NIRBHAR_xxyyyy&amp;product_id=1562" TargetMode="External"/><Relationship Id="rId142" Type="http://schemas.openxmlformats.org/officeDocument/2006/relationships/hyperlink" Target="https://vicharkrantibooks.org/productdetail?book_name=HINP0301_GAYATRI_VIDHYA_AUR_YAGY_VIGYAN_KA_YUGM_xx1979&amp;product_id=866" TargetMode="External"/><Relationship Id="rId447" Type="http://schemas.openxmlformats.org/officeDocument/2006/relationships/hyperlink" Target="https://vicharkrantibooks.org/productdetail?book_name=HINP0817_SARVATR_PUJY_MATRUSHAKTI_xxyyyy&amp;product_id=1382" TargetMode="External"/><Relationship Id="rId794" Type="http://schemas.openxmlformats.org/officeDocument/2006/relationships/hyperlink" Target="https://vicharkrantibooks.org/productdetail?book_name=HINP0040_ANAND_KI_GANGOTRI_APANE_HI_ANTARAL_MEIN_xx1981&amp;product_id=605" TargetMode="External"/><Relationship Id="rId1077" Type="http://schemas.openxmlformats.org/officeDocument/2006/relationships/hyperlink" Target="https://vicharkrantibooks.org/productdetail?book_name=HINP0106_ATMIY_ANURODH_xxyyyy&amp;product_id=671" TargetMode="External"/><Relationship Id="rId1200" Type="http://schemas.openxmlformats.org/officeDocument/2006/relationships/hyperlink" Target="https://vicharkrantibooks.org/productdetail?book_name=HINP0422_KARM_KI_UTKRUSHTATA_TATPARATA_AUR_TANAMAYATA_SE_xx1982&amp;product_id=987" TargetMode="External"/><Relationship Id="rId654" Type="http://schemas.openxmlformats.org/officeDocument/2006/relationships/hyperlink" Target="https://vicharkrantibooks.org/productdetail?book_name=HINP0367_ISHWARIY_ANUSHASAN_KE_ANUBANDH_xxyyyy&amp;product_id=932" TargetMode="External"/><Relationship Id="rId861" Type="http://schemas.openxmlformats.org/officeDocument/2006/relationships/hyperlink" Target="https://vicharkrantibooks.org/productdetail?book_name=HINP0103_ATMHINATA_KE_BOJ_SE_DAB_NA_MAREN_xx1979&amp;product_id=668" TargetMode="External"/><Relationship Id="rId959" Type="http://schemas.openxmlformats.org/officeDocument/2006/relationships/hyperlink" Target="https://vicharkrantibooks.org/productdetail?book_name=HINP0186_BUDHAPE_SE_KAISE_BACHEN_xxyyyy&amp;product_id=751" TargetMode="External"/><Relationship Id="rId293" Type="http://schemas.openxmlformats.org/officeDocument/2006/relationships/hyperlink" Target="https://vicharkrantibooks.org/productdetail?book_name=HINP0293_GAYATRI_SHANKA_SAMADHAN_xxyyyy&amp;product_id=858" TargetMode="External"/><Relationship Id="rId307" Type="http://schemas.openxmlformats.org/officeDocument/2006/relationships/hyperlink" Target="https://vicharkrantibooks.org/productdetail?product_id=3804" TargetMode="External"/><Relationship Id="rId514" Type="http://schemas.openxmlformats.org/officeDocument/2006/relationships/hyperlink" Target="https://vicharkrantibooks.org/productdetail?book_name=HINP0395_JIVAN_SADHANA_KI_URJA_RASHAMIYAN_xxyyyy&amp;product_id=960" TargetMode="External"/><Relationship Id="rId721" Type="http://schemas.openxmlformats.org/officeDocument/2006/relationships/hyperlink" Target="https://vicharkrantibooks.org/productdetail?book_name=HINP0359_IN_CHHOTI_CHHOTI_BATON_KO_MAHATVAHIN_NA_SAMAJHEN_xx1981&amp;product_id=924" TargetMode="External"/><Relationship Id="rId1144" Type="http://schemas.openxmlformats.org/officeDocument/2006/relationships/hyperlink" Target="https://vicharkrantibooks.org/productdetail?book_name=HINP0071_APAVYAY_ROKEN_DHAN_KA_SADUPAYOG_KAREN_xxyyyy&amp;product_id=636" TargetMode="External"/><Relationship Id="rId88" Type="http://schemas.openxmlformats.org/officeDocument/2006/relationships/hyperlink" Target="https://vicharkrantibooks.org/productdetail?book_name=HINP0232_DHARM_DARSHAN_KE_CHAR_MULABHUT_SIDDHANT_xx1981&amp;product_id=797" TargetMode="External"/><Relationship Id="rId153" Type="http://schemas.openxmlformats.org/officeDocument/2006/relationships/hyperlink" Target="https://vicharkrantibooks.org/productdetail?book_name=ENGB0215_FRUITS_OF_CONTENTMENT_1st2013&amp;product_id=3534" TargetMode="External"/><Relationship Id="rId360" Type="http://schemas.openxmlformats.org/officeDocument/2006/relationships/hyperlink" Target="https://vicharkrantibooks.org/productdetail?product_id=3800" TargetMode="External"/><Relationship Id="rId598" Type="http://schemas.openxmlformats.org/officeDocument/2006/relationships/hyperlink" Target="https://vicharkrantibooks.org/productdetail?book_name=HINP0701_RASHTR_KA_BHAVANATMAK_NAV_NIRMAN_AISE_SAMBHAV_HOGA_xx1982&amp;product_id=1266" TargetMode="External"/><Relationship Id="rId819" Type="http://schemas.openxmlformats.org/officeDocument/2006/relationships/hyperlink" Target="https://vicharkrantibooks.org/productdetail?book_name=HINP0952_VATAVARAN_PRADUSHAN_KA_KYA_KOI_SAMADHAN_HAI_xxyyyy&amp;product_id=1517" TargetMode="External"/><Relationship Id="rId1004" Type="http://schemas.openxmlformats.org/officeDocument/2006/relationships/hyperlink" Target="https://vicharkrantibooks.org/productdetail?book_name=ENGPE096_GAYATRI_MANTRA_THE_GENESIS_OF_DIVINE_CULTURE_xxyyyy&amp;product_id=3488" TargetMode="External"/><Relationship Id="rId1211" Type="http://schemas.openxmlformats.org/officeDocument/2006/relationships/hyperlink" Target="https://vicharkrantibooks.org/productdetail?book_name=HINP0280_GAYATRI_KA_ARTH_CHINTAN_xx1979&amp;product_id=845" TargetMode="External"/><Relationship Id="rId220" Type="http://schemas.openxmlformats.org/officeDocument/2006/relationships/hyperlink" Target="https://drive.google.com/file/d/1NccXhcUsWMqR-yXJhzEih8BYrBfPiaUz/view?usp=sharing" TargetMode="External"/><Relationship Id="rId458" Type="http://schemas.openxmlformats.org/officeDocument/2006/relationships/hyperlink" Target="https://vicharkrantibooks.org/productdetail?book_name=HINP0555_NARI_HAR_KSHETR_MEIN_AGE_BADHEN_xxyyyy&amp;product_id=1120" TargetMode="External"/><Relationship Id="rId665" Type="http://schemas.openxmlformats.org/officeDocument/2006/relationships/hyperlink" Target="https://vicharkrantibooks.org/productdetail?product_id=363" TargetMode="External"/><Relationship Id="rId872" Type="http://schemas.openxmlformats.org/officeDocument/2006/relationships/hyperlink" Target="https://vicharkrantibooks.org/productdetail?book_name=HINP0033_AHAR_SANTULIT_RAKHEN_APACH_SE_BACHEN_xx1981&amp;product_id=598" TargetMode="External"/><Relationship Id="rId1088" Type="http://schemas.openxmlformats.org/officeDocument/2006/relationships/hyperlink" Target="https://vicharkrantibooks.org/productdetail?book_name=HINP0084_ASTIKATA_KA_PRAN_HAI_SHRADDHA_xx2011&amp;product_id=649" TargetMode="External"/><Relationship Id="rId15" Type="http://schemas.openxmlformats.org/officeDocument/2006/relationships/hyperlink" Target="https://vicharkrantibooks.org/productdetail?book_name=ENGP0712_IN_THE_ANGELIC_LIGHT_OF_RISHI_THOUGHTS_1_xxyyyy&amp;product_id=3460" TargetMode="External"/><Relationship Id="rId318" Type="http://schemas.openxmlformats.org/officeDocument/2006/relationships/hyperlink" Target="https://vicharkrantibooks.org/productdetail?book_name=GUJP0423_KARMAKANDNI_PRERANAOMA_CHHUPAYELU_ADHYATM_XXYYYY&amp;product_id=3764" TargetMode="External"/><Relationship Id="rId525" Type="http://schemas.openxmlformats.org/officeDocument/2006/relationships/hyperlink" Target="https://vicharkrantibooks.org/productdetail?book_name=HINP0882_SUVYAVASTHIT_JIVAN_KA_MANOVIGYAN_xxyyyy&amp;product_id=1447" TargetMode="External"/><Relationship Id="rId732" Type="http://schemas.openxmlformats.org/officeDocument/2006/relationships/hyperlink" Target="https://vicharkrantibooks.org/productdetail?book_name=HINF0032_APANE_ANTAH_KE_DEVATA_KO_JAGAIE_xxyyyy&amp;product_id=252" TargetMode="External"/><Relationship Id="rId1155" Type="http://schemas.openxmlformats.org/officeDocument/2006/relationships/hyperlink" Target="https://vicharkrantibooks.org/productdetail?book_name=ENGP0714_IN_THE_ANGELIC_LIGHT_OF_RISHI_THOUGHTS_3_xxyyyy&amp;product_id=3462" TargetMode="External"/><Relationship Id="rId99" Type="http://schemas.openxmlformats.org/officeDocument/2006/relationships/hyperlink" Target="https://vicharkrantibooks.org/productdetail?book_name=HINP1084_DHARMCHARCHA_HI_NAHIN_DHARM_PARAYANATA_BHI_AVASHYAK_xx1981&amp;product_id=1649" TargetMode="External"/><Relationship Id="rId164" Type="http://schemas.openxmlformats.org/officeDocument/2006/relationships/hyperlink" Target="https://vicharkrantibooks.org/productdetail?book_name=HINP0361_IS_ASAHY_STHITI_KA_ANT_HONA_HI_CHAHIE_xx1982&amp;product_id=926" TargetMode="External"/><Relationship Id="rId371" Type="http://schemas.openxmlformats.org/officeDocument/2006/relationships/hyperlink" Target="https://vicharkrantibooks.org/productdetail?book_name=ENGP0069_FIGHT_YOUR_WEAKNESSES_BE_STRONG_xxyyyy&amp;product_id=3512" TargetMode="External"/><Relationship Id="rId1015" Type="http://schemas.openxmlformats.org/officeDocument/2006/relationships/hyperlink" Target="https://vicharkrantibooks.org/productdetail?book_name=HINP0828_SEVA_SADHANA_xx2011&amp;product_id=1393" TargetMode="External"/><Relationship Id="rId1222" Type="http://schemas.openxmlformats.org/officeDocument/2006/relationships/hyperlink" Target="https://vicharkrantibooks.org/productdetail?book_name=HINP0030_AGNIHOTR_KI_GARIMA_AUR_MAHATTA_xx1982&amp;product_id=595" TargetMode="External"/><Relationship Id="rId469" Type="http://schemas.openxmlformats.org/officeDocument/2006/relationships/hyperlink" Target="https://vicharkrantibooks.org/productdetail?book_name=HINP0721_RUSHI_CHINTAN_KE_SANIDHYA_MEIN_10_(POCKET)_xxyyyy&amp;product_id=1286" TargetMode="External"/><Relationship Id="rId676" Type="http://schemas.openxmlformats.org/officeDocument/2006/relationships/hyperlink" Target="https://vicharkrantibooks.org/productdetail?book_name=HINF0007_ADHYATM_AUR_VIGYAN_KE_SAMANVAY_KI_SHODH_PRAKRIYA_xxyyyy&amp;product_id=227" TargetMode="External"/><Relationship Id="rId883" Type="http://schemas.openxmlformats.org/officeDocument/2006/relationships/hyperlink" Target="https://vicharkrantibooks.org/productdetail?book_name=HINP0145_BHAJ_SEVAYAM_HI_HAI_BHAKTI_xx2011&amp;product_id=710" TargetMode="External"/><Relationship Id="rId1099" Type="http://schemas.openxmlformats.org/officeDocument/2006/relationships/hyperlink" Target="https://vicharkrantibooks.org/productdetail?book_name=HINP0410_KAISA_HOGA_ANE_VALA_YUG_xxyyyy&amp;product_id=975" TargetMode="External"/><Relationship Id="rId26" Type="http://schemas.openxmlformats.org/officeDocument/2006/relationships/hyperlink" Target="https://vicharkrantibooks.org/productdetail?book_name=HINP1097_HANSATI-HANSATI_JINDAGI_JIYEN_xxyyyy&amp;product_id=1662" TargetMode="External"/><Relationship Id="rId231" Type="http://schemas.openxmlformats.org/officeDocument/2006/relationships/hyperlink" Target="https://drive.google.com/file/d/1GOABqL4sQL3rZa4vUgkBGoKqy3ObgOZS/view?usp=drive_link" TargetMode="External"/><Relationship Id="rId329" Type="http://schemas.openxmlformats.org/officeDocument/2006/relationships/hyperlink" Target="https://vicharkrantibooks.org/productdetail?book_name=ENGP0810_DETERMINATION_PAVES_THE_WAY_TO_SUCCESS_xxyyyy&amp;product_id=3508" TargetMode="External"/><Relationship Id="rId536" Type="http://schemas.openxmlformats.org/officeDocument/2006/relationships/hyperlink" Target="https://vicharkrantibooks.org/productdetail?book_name=HINP0547_NAMO_VEDAMATA_NAMO_VISHVAMATA_xxyyyy&amp;product_id=1112" TargetMode="External"/><Relationship Id="rId1166" Type="http://schemas.openxmlformats.org/officeDocument/2006/relationships/hyperlink" Target="https://vicharkrantibooks.org/productdetail?book_name=HINP0888_SWADHYAY_KI_UPEKSHA_NA_KAREN_xx1978&amp;product_id=1453" TargetMode="External"/><Relationship Id="rId175" Type="http://schemas.openxmlformats.org/officeDocument/2006/relationships/hyperlink" Target="https://vicharkrantibooks.org/productdetail?book_name=HINP1093_SAMAJ_KA_RUN_CHUKAEN_xxyyyy&amp;product_id=1658" TargetMode="External"/><Relationship Id="rId743" Type="http://schemas.openxmlformats.org/officeDocument/2006/relationships/hyperlink" Target="https://vicharkrantibooks.org/productdetail?book_name=HINR0426_GAYATRI_KE_PANCH_MUKH_PANCH_DIVY_KOSH_xx2010&amp;product_id=2111" TargetMode="External"/><Relationship Id="rId950" Type="http://schemas.openxmlformats.org/officeDocument/2006/relationships/hyperlink" Target="https://vicharkrantibooks.org/productdetail?book_name=HINP0831_SHAKAHAR_(ANKURIT_AHAR)_xxyyyy&amp;product_id=1396" TargetMode="External"/><Relationship Id="rId1026" Type="http://schemas.openxmlformats.org/officeDocument/2006/relationships/hyperlink" Target="https://vicharkrantibooks.org/productdetail?book_name=HINP0121_BACHCHON_KA_SUDHAR_MANOVAIGYANIK_DHANG_SE_KAREN_xxyyyy&amp;product_id=686" TargetMode="External"/><Relationship Id="rId382" Type="http://schemas.openxmlformats.org/officeDocument/2006/relationships/hyperlink" Target="https://vicharkrantibooks.org/productdetail?book_name=GUJP0771_SAMAYANA_PADAKARANE_APANE_SVIKARIYE_XXYYYY&amp;product_id=3919" TargetMode="External"/><Relationship Id="rId603" Type="http://schemas.openxmlformats.org/officeDocument/2006/relationships/hyperlink" Target="https://vicharkrantibooks.org/productdetail?book_name=HINP0141_BHAGAVAN_KO_MAT_BAHAKAIYE_xx2011&amp;product_id=706" TargetMode="External"/><Relationship Id="rId687" Type="http://schemas.openxmlformats.org/officeDocument/2006/relationships/hyperlink" Target="https://vicharkrantibooks.org/productdetail?book_name=HINP0535_MATRUSHAKTI_KE_AMRUT_VACHAN_xxyyyy&amp;product_id=1100" TargetMode="External"/><Relationship Id="rId810" Type="http://schemas.openxmlformats.org/officeDocument/2006/relationships/hyperlink" Target="https://vicharkrantibooks.org/productdetail?book_name=HINP0416_KAMADEHANU_GAYATRI_xxyyyy&amp;product_id=981" TargetMode="External"/><Relationship Id="rId908" Type="http://schemas.openxmlformats.org/officeDocument/2006/relationships/hyperlink" Target="https://vicharkrantibooks.org/productdetail?book_name=HINP0427_KARMAPHAL_VYAVASTHA_KE_PRATI_ANASTHA_HI_NASTIKATA_xx1982&amp;product_id=992" TargetMode="External"/><Relationship Id="rId1233" Type="http://schemas.openxmlformats.org/officeDocument/2006/relationships/hyperlink" Target="https://vicharkrantibooks.org/productdetail?book_name=HINP0032_AHAR_CHIKITSA_xxyyyy&amp;product_id=597" TargetMode="External"/><Relationship Id="rId242" Type="http://schemas.openxmlformats.org/officeDocument/2006/relationships/hyperlink" Target="https://vicharkrantibooks.org/productdetail?product_id=311" TargetMode="External"/><Relationship Id="rId894" Type="http://schemas.openxmlformats.org/officeDocument/2006/relationships/hyperlink" Target="https://vicharkrantibooks.org/productdetail?book_name=HINP0113_AVANCHHANIYATA_KE_VIRUDDH_SANGHARSH_JARI_RAHEN_xx1981&amp;product_id=678" TargetMode="External"/><Relationship Id="rId1177" Type="http://schemas.openxmlformats.org/officeDocument/2006/relationships/hyperlink" Target="https://vicharkrantibooks.org/productdetail?book_name=HINP0097_ATMANIRMAN_SABASE_BADA_PURUSARTH_xx1981&amp;product_id=662" TargetMode="External"/><Relationship Id="rId37" Type="http://schemas.openxmlformats.org/officeDocument/2006/relationships/hyperlink" Target="https://vicharkrantibooks.org/productdetail?book_name=HINP0148_BHARATIY_DHARM_KA_PITA_YAGY_xxyyyy&amp;product_id=713" TargetMode="External"/><Relationship Id="rId102" Type="http://schemas.openxmlformats.org/officeDocument/2006/relationships/hyperlink" Target="https://vicharkrantibooks.org/productdetail?book_name=HINP0616_PANCHAMUKHI_GAYATRI_KE_PANCH_DIVY_VARADAN_xx1982&amp;product_id=1181" TargetMode="External"/><Relationship Id="rId547" Type="http://schemas.openxmlformats.org/officeDocument/2006/relationships/hyperlink" Target="https://vicharkrantibooks.org/productdetail?book_name=HINF0286_SWARG_AUR_NARAK_HMARI_APANI_KARANI_KE_HI_PHAL_xxyyyy&amp;product_id=506" TargetMode="External"/><Relationship Id="rId754" Type="http://schemas.openxmlformats.org/officeDocument/2006/relationships/hyperlink" Target="https://vicharkrantibooks.org/productdetail?book_name=HINP0657_PRAGYAYOG_KI_SUGAM_SADHANA_xx2011&amp;product_id=1222" TargetMode="External"/><Relationship Id="rId961" Type="http://schemas.openxmlformats.org/officeDocument/2006/relationships/hyperlink" Target="https://vicharkrantibooks.org/productdetail?book_name=HINP1003_VRUKSH_SAMPADA_KO_GHATANE_NA_DEN_xxyyyy&amp;product_id=1568" TargetMode="External"/><Relationship Id="rId90" Type="http://schemas.openxmlformats.org/officeDocument/2006/relationships/hyperlink" Target="https://vicharkrantibooks.org/productdetail?product_id=276" TargetMode="External"/><Relationship Id="rId186" Type="http://schemas.openxmlformats.org/officeDocument/2006/relationships/hyperlink" Target="https://vicharkrantibooks.org/productdetail?book_name=HINP0130_BALAKON_MEIN_SATPRAVRUTTIYON_KA_BIJAROPAN_xx1981&amp;product_id=695" TargetMode="External"/><Relationship Id="rId393" Type="http://schemas.openxmlformats.org/officeDocument/2006/relationships/hyperlink" Target="https://vicharkrantibooks.org/productdetail?book_name=HINP0487_MAN_KI_SHANTI_xxyyyy&amp;product_id=1052" TargetMode="External"/><Relationship Id="rId407" Type="http://schemas.openxmlformats.org/officeDocument/2006/relationships/hyperlink" Target="https://vicharkrantibooks.org/productdetail?book_name=HINP0324_GYANADAN_IS_YUG_KA_SABASE_BADA_PAROPAKAR_xxyyyy&amp;product_id=889" TargetMode="External"/><Relationship Id="rId614" Type="http://schemas.openxmlformats.org/officeDocument/2006/relationships/hyperlink" Target="https://vicharkrantibooks.org/productdetail?book_name=HINP0556_NARI_JAGARAN_Re2011&amp;product_id=1121" TargetMode="External"/><Relationship Id="rId821" Type="http://schemas.openxmlformats.org/officeDocument/2006/relationships/hyperlink" Target="https://vicharkrantibooks.org/productdetail?book_name=HINP1057_YUG_PARIVARTAN_MEIN_SAMARTH_AGRADUTON_KI_BHUMIKA_xxyyyy&amp;product_id=1622" TargetMode="External"/><Relationship Id="rId1037" Type="http://schemas.openxmlformats.org/officeDocument/2006/relationships/hyperlink" Target="https://vicharkrantibooks.org/productdetail?book_name=HINP0913_TULASI_AMRUTOPAM_xxyyyy&amp;product_id=1478" TargetMode="External"/><Relationship Id="rId253" Type="http://schemas.openxmlformats.org/officeDocument/2006/relationships/hyperlink" Target="https://vicharkrantibooks.org/productdetail?book_name=HINP0210_DEV_SANSKRUTI_EVAM_DIVY_KALAEN_xxyyyy&amp;product_id=775" TargetMode="External"/><Relationship Id="rId460" Type="http://schemas.openxmlformats.org/officeDocument/2006/relationships/hyperlink" Target="https://vicharkrantibooks.org/productdetail?book_name=HINP1070_YUN_HOIE_SAPHAL_xxyyyy&amp;product_id=1635" TargetMode="External"/><Relationship Id="rId698" Type="http://schemas.openxmlformats.org/officeDocument/2006/relationships/hyperlink" Target="https://vicharkrantibooks.org/productdetail?book_name=HINP0136_BHAGAVAN_BUDDH_KA_UTTARARDDH_PRAGYAVATAR_(POCKET)_xxyyyy&amp;product_id=701" TargetMode="External"/><Relationship Id="rId919" Type="http://schemas.openxmlformats.org/officeDocument/2006/relationships/hyperlink" Target="https://vicharkrantibooks.org/productdetail?book_name=ENGP0716_IN_THE_ANGELIC_LIGHT_OF_RISHI_THOUGHTS_5_xxyyyy&amp;product_id=3464" TargetMode="External"/><Relationship Id="rId1090" Type="http://schemas.openxmlformats.org/officeDocument/2006/relationships/hyperlink" Target="https://vicharkrantibooks.org/productdetail?book_name=HINP1116_IKKISAVI_SADI_KI_UJJAVAL_SAMBHAVANAE_xxyyyy&amp;product_id=1681" TargetMode="External"/><Relationship Id="rId1104" Type="http://schemas.openxmlformats.org/officeDocument/2006/relationships/hyperlink" Target="https://vicharkrantibooks.org/productdetail?book_name=HINP0082_ASTIKATA_APANANE_MEIN_HI_KALYAN_xxyyyy&amp;product_id=647" TargetMode="External"/><Relationship Id="rId48" Type="http://schemas.openxmlformats.org/officeDocument/2006/relationships/hyperlink" Target="https://vicharkrantibooks.org/productdetail?book_name=HINP0953_VAYU_PRADUSHAN_AUR_TULASI_ROPAN_xxyyyy&amp;product_id=1518" TargetMode="External"/><Relationship Id="rId113" Type="http://schemas.openxmlformats.org/officeDocument/2006/relationships/hyperlink" Target="https://vicharkrantibooks.org/productdetail?book_name=HINP0975_VIKRUTIYAN_HATANE_SE_NAHI_MITANE_SE_MITATI_HAI_xx1981&amp;product_id=1540" TargetMode="External"/><Relationship Id="rId320" Type="http://schemas.openxmlformats.org/officeDocument/2006/relationships/hyperlink" Target="https://vicharkrantibooks.org/productdetail?book_name=MRTP0069_APALA_NYUNAGAND_DUR_KARA_KHMBIR_BANA%20_XXYYYY&amp;product_id=4352" TargetMode="External"/><Relationship Id="rId558" Type="http://schemas.openxmlformats.org/officeDocument/2006/relationships/hyperlink" Target="https://vicharkrantibooks.org/productdetail?book_name=HINP0291_GAYATRI_SADHANA_KI_UPALABDHIYAN_xx2011&amp;product_id=856" TargetMode="External"/><Relationship Id="rId765" Type="http://schemas.openxmlformats.org/officeDocument/2006/relationships/hyperlink" Target="https://vicharkrantibooks.org/productdetail?book_name=HINP0291_GAYATRI_SADHANA_KI_UPALABDHIYAN_xx2011&amp;product_id=856" TargetMode="External"/><Relationship Id="rId972" Type="http://schemas.openxmlformats.org/officeDocument/2006/relationships/hyperlink" Target="https://vicharkrantibooks.org/productdetail?book_name=HINP1039_YUG_NIRMAN_PARIWAR_KE_SADASY_IS_BHANTI_SOCHEN_xxyyyy&amp;product_id=1604" TargetMode="External"/><Relationship Id="rId1188" Type="http://schemas.openxmlformats.org/officeDocument/2006/relationships/hyperlink" Target="https://vicharkrantibooks.org/productdetail?book_name=HINP0313_GRUHASTH_RUPI_TAPOVAN_MEIN_NARI_KI_BHUMIKA_xx1982&amp;product_id=878" TargetMode="External"/><Relationship Id="rId197" Type="http://schemas.openxmlformats.org/officeDocument/2006/relationships/hyperlink" Target="https://vicharkrantibooks.org/productdetail?book_name=ENGB0200_LET_US_KNOW_YUGRISHI_1st2013&amp;product_id=3516" TargetMode="External"/><Relationship Id="rId418" Type="http://schemas.openxmlformats.org/officeDocument/2006/relationships/hyperlink" Target="https://vicharkrantibooks.org/productdetail?book_name=GUJP0117_AVATARANI_ANDHI_DISHA_BADALI_NAKHE_CHHE_XXYYYY&amp;product_id=3819" TargetMode="External"/><Relationship Id="rId625" Type="http://schemas.openxmlformats.org/officeDocument/2006/relationships/hyperlink" Target="https://vicharkrantibooks.org/productdetail?product_id=369" TargetMode="External"/><Relationship Id="rId832" Type="http://schemas.openxmlformats.org/officeDocument/2006/relationships/hyperlink" Target="https://vicharkrantibooks.org/productdetail?book_name=HINP0306_GOBAR_MEIN_LAKSHMI_KA_NIVAS_xxyyyy&amp;product_id=871" TargetMode="External"/><Relationship Id="rId1048" Type="http://schemas.openxmlformats.org/officeDocument/2006/relationships/hyperlink" Target="https://vicharkrantibooks.org/productdetail?book_name=HINP1056_YUG_PARIVARTAN_MEIN_GYANYAGY_KI_BHUMIKA_xx2011&amp;product_id=1621" TargetMode="External"/><Relationship Id="rId264" Type="http://schemas.openxmlformats.org/officeDocument/2006/relationships/hyperlink" Target="https://vicharkrantibooks.org/productdetail?product_id=3771" TargetMode="External"/><Relationship Id="rId471" Type="http://schemas.openxmlformats.org/officeDocument/2006/relationships/hyperlink" Target="https://vicharkrantibooks.org/productdetail?book_name=HINF0275_SUKSHM_SHARIR_KI_PRATIBHA_PRAKHARATA_KA_NIKHAR_xxyyyy&amp;product_id=495" TargetMode="External"/><Relationship Id="rId1115" Type="http://schemas.openxmlformats.org/officeDocument/2006/relationships/hyperlink" Target="https://vicharkrantibooks.org/productdetail?book_name=ENGP0716_IN_THE_ANGELIC_LIGHT_OF_RISHI_THOUGHTS_5_xxyyyy&amp;product_id=3464" TargetMode="External"/><Relationship Id="rId59" Type="http://schemas.openxmlformats.org/officeDocument/2006/relationships/hyperlink" Target="https://vicharkrantibooks.org/productdetail?book_name=HINP0653_PRAGATI_SHANTI_AUR_PRASANNATA_xx1981&amp;product_id=1218" TargetMode="External"/><Relationship Id="rId124" Type="http://schemas.openxmlformats.org/officeDocument/2006/relationships/hyperlink" Target="http://literature.awgp.org/book/Old_New_Herbal_Remedies/v1" TargetMode="External"/><Relationship Id="rId569" Type="http://schemas.openxmlformats.org/officeDocument/2006/relationships/hyperlink" Target="https://vicharkrantibooks.org/productdetail?book_name=HINP0205_DAVAEN_KHATE_JAEN_ROG_BADHATE_JAEN_YAH_KAHAN_TAK_%E2%80%8B%E2%80%8BUCHIT_HAI_xx1982&amp;product_id=770" TargetMode="External"/><Relationship Id="rId776" Type="http://schemas.openxmlformats.org/officeDocument/2006/relationships/hyperlink" Target="https://vicharkrantibooks.org/productdetail?book_name=HINP0304_GAYATRI_YUG_DHARM_xxyyyy&amp;product_id=869" TargetMode="External"/><Relationship Id="rId983" Type="http://schemas.openxmlformats.org/officeDocument/2006/relationships/hyperlink" Target="https://vicharkrantibooks.org/productdetail?book_name=HINP0300_GAYATRI_UPASANA_SE_SHATCHAKRON_KA_JAGARAN_xx1976&amp;product_id=865" TargetMode="External"/><Relationship Id="rId1199" Type="http://schemas.openxmlformats.org/officeDocument/2006/relationships/hyperlink" Target="https://vicharkrantibooks.org/productdetail?book_name=HINP1062_YUG_RUSHI_PARICHAY_EVAM_CHINTAN_xxyyyy&amp;product_id=1627" TargetMode="External"/><Relationship Id="rId331" Type="http://schemas.openxmlformats.org/officeDocument/2006/relationships/hyperlink" Target="https://vicharkrantibooks.org/productdetail?book_name=GUJP0611_MELAVAVU_HOY_TO_APATA_SHIKHO_XXYYYY&amp;product_id=3752" TargetMode="External"/><Relationship Id="rId429" Type="http://schemas.openxmlformats.org/officeDocument/2006/relationships/hyperlink" Target="https://vicharkrantibooks.org/productdetail?book_name=HINP0276_GAYATRI_ANUSHTHAN_AUR_USAKA_VIDHI_VIDHAN_xx1978&amp;product_id=841" TargetMode="External"/><Relationship Id="rId636" Type="http://schemas.openxmlformats.org/officeDocument/2006/relationships/hyperlink" Target="https://vicharkrantibooks.org/productdetail?book_name=HINP0572_NARI_KO_VIKAS_KA_AVASAR_MILE_xxyyyy&amp;product_id=1137" TargetMode="External"/><Relationship Id="rId1059" Type="http://schemas.openxmlformats.org/officeDocument/2006/relationships/hyperlink" Target="https://vicharkrantibooks.org/productdetail?book_name=HINP0393_JIVAN_SADHANA_KAREN_DEVATA_BANEN_xx2011&amp;product_id=958" TargetMode="External"/><Relationship Id="rId843" Type="http://schemas.openxmlformats.org/officeDocument/2006/relationships/hyperlink" Target="https://vicharkrantibooks.org/productdetail?book_name=HINP0918_UJJVAL_BHAVISHY_KI_SUKHAD_SAMBHAVANAEN_xx1981&amp;product_id=1483" TargetMode="External"/><Relationship Id="rId1126" Type="http://schemas.openxmlformats.org/officeDocument/2006/relationships/hyperlink" Target="https://vicharkrantibooks.org/productdetail?book_name=HINP0489_MAN_KO_KUVICHARON_AUR_DURBHAVANAON_SE_BACHAE_RAKHANE_KE_LIE_SWADHYAY_EVAM_SATSANG_KI_VYAVASTHA_RAKHE_RAHENGE_xxyyyy&amp;product_id=1054" TargetMode="External"/><Relationship Id="rId275" Type="http://schemas.openxmlformats.org/officeDocument/2006/relationships/hyperlink" Target="https://vicharkrantibooks.org/productdetail?product_id=3754" TargetMode="External"/><Relationship Id="rId482" Type="http://schemas.openxmlformats.org/officeDocument/2006/relationships/hyperlink" Target="https://vicharkrantibooks.org/productdetail?book_name=HINF0002_ACHINTY_CHINTAN_SE_MANOBAL_NA_GAVAYEN_xxyyyy&amp;product_id=222" TargetMode="External"/><Relationship Id="rId703" Type="http://schemas.openxmlformats.org/officeDocument/2006/relationships/hyperlink" Target="https://vicharkrantibooks.org/productdetail?book_name=HINP0562_NARI_KA_GAURAVASHALI_ATIT_UJJAVAL_BHAVISHY_xxyyyy&amp;product_id=1127" TargetMode="External"/><Relationship Id="rId910" Type="http://schemas.openxmlformats.org/officeDocument/2006/relationships/hyperlink" Target="https://vicharkrantibooks.org/productdetail?book_name=HINP0749_SAHASTITV_KA_NAISARGIK_NIYAM_xx1982&amp;product_id=1314" TargetMode="External"/><Relationship Id="rId135" Type="http://schemas.openxmlformats.org/officeDocument/2006/relationships/hyperlink" Target="https://vicharkrantibooks.org/productdetail?book_name=HINP0233_DHARM_KA_MARM_HAI_NITIMATTA_xx1982&amp;product_id=798" TargetMode="External"/><Relationship Id="rId342" Type="http://schemas.openxmlformats.org/officeDocument/2006/relationships/hyperlink" Target="https://vicharkrantibooks.org/productdetail?book_name=GUJP1034_YUG_DEVATANI_APIL_ASAMBHALI_NA_KARASHO_XXYYYY&amp;product_id=3739" TargetMode="External"/><Relationship Id="rId787" Type="http://schemas.openxmlformats.org/officeDocument/2006/relationships/hyperlink" Target="https://vicharkrantibooks.org/productdetail?book_name=HINP0116_AVATAR_KA_PRAYOJAN_AUR_SWARUP_xx1981&amp;product_id=681" TargetMode="External"/><Relationship Id="rId994" Type="http://schemas.openxmlformats.org/officeDocument/2006/relationships/hyperlink" Target="https://vicharkrantibooks.org/productdetail?book_name=HINP0254_DIVY_JADI_BUTIYON_MEIN_APAR_SHAKTI_xxyyyy&amp;product_id=819" TargetMode="External"/><Relationship Id="rId202" Type="http://schemas.openxmlformats.org/officeDocument/2006/relationships/hyperlink" Target="https://vicharkrantibooks.org/productdetail?book_name=HINP0127_BADAPPAN_NAHI_MAHANATA_KAMAEN_xx1982&amp;product_id=692" TargetMode="External"/><Relationship Id="rId647" Type="http://schemas.openxmlformats.org/officeDocument/2006/relationships/hyperlink" Target="https://vicharkrantibooks.org/productdetail?book_name=HINP0137_BHAGAVAN_KA_KAM_GHATE_KA_SAUDA_NAHI_xx2011&amp;product_id=702" TargetMode="External"/><Relationship Id="rId854" Type="http://schemas.openxmlformats.org/officeDocument/2006/relationships/hyperlink" Target="https://vicharkrantibooks.org/productdetail?book_name=HINP0345_HARITIMA_SANVARDHAN_xxyyyy&amp;product_id=910" TargetMode="External"/><Relationship Id="rId286" Type="http://schemas.openxmlformats.org/officeDocument/2006/relationships/hyperlink" Target="https://vicharkrantibooks.org/productdetail?book_name=HINP0008_ADHUNIKATA_KE_VIKRUT_MAPADANDON_KO_BADALA_JAE_xx1982&amp;product_id=573" TargetMode="External"/><Relationship Id="rId493" Type="http://schemas.openxmlformats.org/officeDocument/2006/relationships/hyperlink" Target="https://vicharkrantibooks.org/productdetail?book_name=HINP0904_TAPASHCHARYA_KA_TATVADARSHAN_xx1981&amp;product_id=1469" TargetMode="External"/><Relationship Id="rId507" Type="http://schemas.openxmlformats.org/officeDocument/2006/relationships/hyperlink" Target="https://vicharkrantibooks.org/productdetail?book_name=HINP0480_MAHILA_JAGARAN_KI_KAMAN_PRABUDDH_NARI_SANBHALEN_xxyyyy&amp;product_id=1045" TargetMode="External"/><Relationship Id="rId714" Type="http://schemas.openxmlformats.org/officeDocument/2006/relationships/hyperlink" Target="http://literature.awgp.org/book/a_manual_of_hindu_marriage/v1" TargetMode="External"/><Relationship Id="rId921" Type="http://schemas.openxmlformats.org/officeDocument/2006/relationships/hyperlink" Target="https://vicharkrantibooks.org/productdetail?book_name=HINP0059_APANE_ANG_AVAYAVON_SE_Re2015&amp;product_id=624" TargetMode="External"/><Relationship Id="rId1137" Type="http://schemas.openxmlformats.org/officeDocument/2006/relationships/hyperlink" Target="https://vicharkrantibooks.org/productdetail?book_name=HINP0390_JIVAN_KO_UTKRUSHT_BANAO_xxyyyy&amp;product_id=955" TargetMode="External"/><Relationship Id="rId50" Type="http://schemas.openxmlformats.org/officeDocument/2006/relationships/hyperlink" Target="https://vicharkrantibooks.org/productdetail?book_name=HINP0916_UDAR_SAHAKARITA_APANAEN_xxyyyy&amp;product_id=1481" TargetMode="External"/><Relationship Id="rId146" Type="http://schemas.openxmlformats.org/officeDocument/2006/relationships/hyperlink" Target="https://vicharkrantibooks.org/productdetail?book_name=ENGP0715_IN_THE_ANGELIC_LIGHT_OF_RISHI_THOUGHTS_4_xxyyyy&amp;product_id=3463" TargetMode="External"/><Relationship Id="rId353" Type="http://schemas.openxmlformats.org/officeDocument/2006/relationships/hyperlink" Target="https://vicharkrantibooks.org/productdetail?book_name=HINP0420_KAMAVASANA_MEIN_SHARIR_KI_URJA_NASHT_NA_KAREN_xxyyyy&amp;product_id=985" TargetMode="External"/><Relationship Id="rId560" Type="http://schemas.openxmlformats.org/officeDocument/2006/relationships/hyperlink" Target="https://vicharkrantibooks.org/productdetail?book_name=HINP0673_PRASANNATA_KI_PARASAMANI_NA_GANVAE_xxyyyy&amp;product_id=1238" TargetMode="External"/><Relationship Id="rId798" Type="http://schemas.openxmlformats.org/officeDocument/2006/relationships/hyperlink" Target="https://vicharkrantibooks.org/productdetail?book_name=HINP0228_DHARATI_SATY_PAR_TIKI_HAI_xx1978&amp;product_id=793" TargetMode="External"/><Relationship Id="rId1190" Type="http://schemas.openxmlformats.org/officeDocument/2006/relationships/hyperlink" Target="https://vicharkrantibooks.org/productdetail?book_name=HINP0447_KUCHH_TO_SOCHEN_xxyyyy&amp;product_id=1012" TargetMode="External"/><Relationship Id="rId1204" Type="http://schemas.openxmlformats.org/officeDocument/2006/relationships/hyperlink" Target="https://vicharkrantibooks.org/productdetail?book_name=HINP0018_ADHYATM_KO_JIVANT_BANAEN_xx2011&amp;product_id=583" TargetMode="External"/><Relationship Id="rId213" Type="http://schemas.openxmlformats.org/officeDocument/2006/relationships/hyperlink" Target="https://vicharkrantibooks.org/productdetail?product_id=351" TargetMode="External"/><Relationship Id="rId420" Type="http://schemas.openxmlformats.org/officeDocument/2006/relationships/hyperlink" Target="https://vicharkrantibooks.org/productdetail?book_name=HINP0919_ULLAS_KI_AKANKSHA_KUMARGAGAMI_NA_BANE_xx1981&amp;product_id=1484" TargetMode="External"/><Relationship Id="rId658" Type="http://schemas.openxmlformats.org/officeDocument/2006/relationships/hyperlink" Target="https://vicharkrantibooks.org/productdetail?book_name=HINP1117_MAHAKAL_KI_BHAVISHYAVANI_xxyyyy&amp;product_id=1682" TargetMode="External"/><Relationship Id="rId865" Type="http://schemas.openxmlformats.org/officeDocument/2006/relationships/hyperlink" Target="https://vicharkrantibooks.org/productdetail?book_name=ENGR0976_ELITE_SHOULD_COME_FORWARD_TO_MANAGE_THE_RELIGIOUS_SET_UP_RE2011&amp;product_id=3402" TargetMode="External"/><Relationship Id="rId1050" Type="http://schemas.openxmlformats.org/officeDocument/2006/relationships/hyperlink" Target="https://vicharkrantibooks.org/productdetail?book_name=HINP0735_SADGURU_VACHANAMRUT_xxyyyy&amp;product_id=1300" TargetMode="External"/><Relationship Id="rId297" Type="http://schemas.openxmlformats.org/officeDocument/2006/relationships/hyperlink" Target="https://vicharkrantibooks.org/productdetail?product_id=4239" TargetMode="External"/><Relationship Id="rId518" Type="http://schemas.openxmlformats.org/officeDocument/2006/relationships/hyperlink" Target="https://vicharkrantibooks.org/productdetail?book_name=HINP0474_MAHAKRANTI_KA_SHANKHANAD_xxyyyy&amp;product_id=1039" TargetMode="External"/><Relationship Id="rId725" Type="http://schemas.openxmlformats.org/officeDocument/2006/relationships/hyperlink" Target="http://literature.awgp.org/book/Rejuvenation_without_medicines/v1.1" TargetMode="External"/><Relationship Id="rId932" Type="http://schemas.openxmlformats.org/officeDocument/2006/relationships/hyperlink" Target="http://literature.awgp.org/book/The_Revival_of_Satyug_The_Golden_Age/v1" TargetMode="External"/><Relationship Id="rId1148" Type="http://schemas.openxmlformats.org/officeDocument/2006/relationships/hyperlink" Target="https://vicharkrantibooks.org/productdetail?book_name=HINP0930_UPAVAS_EK_SAMAGR_EVAM_SAMARTH_UPACHAR_PADDHATI_xx1981&amp;product_id=1495" TargetMode="External"/><Relationship Id="rId157" Type="http://schemas.openxmlformats.org/officeDocument/2006/relationships/hyperlink" Target="https://vicharkrantibooks.org/productdetail?book_name=HINP0234_DHARM_KA_TATVADARSHAN_xx1981&amp;product_id=799" TargetMode="External"/><Relationship Id="rId364" Type="http://schemas.openxmlformats.org/officeDocument/2006/relationships/hyperlink" Target="https://vicharkrantibooks.org/productdetail?book_name=HINP0804_SANYUKT_PARIWAR_KA_ADHAR_SNEH_AUR_SAHAKAR_xx1981&amp;product_id=1369" TargetMode="External"/><Relationship Id="rId1008" Type="http://schemas.openxmlformats.org/officeDocument/2006/relationships/hyperlink" Target="https://vicharkrantibooks.org/productdetail?book_name=HINP0716_RUSHI_CHINTAN_KE_SANIDHYA_MEIN_05_(POCKET)_xxyyyy&amp;product_id=1281" TargetMode="External"/><Relationship Id="rId1215" Type="http://schemas.openxmlformats.org/officeDocument/2006/relationships/hyperlink" Target="https://vicharkrantibooks.org/productdetail?book_name=HINP0595_NAVAYUG_KE_DO_ADHAR_ADHYATM_AUR_VIGYAN_xx1978&amp;product_id=1160" TargetMode="External"/><Relationship Id="rId61" Type="http://schemas.openxmlformats.org/officeDocument/2006/relationships/hyperlink" Target="https://vicharkrantibooks.org/productdetail?product_id=4063" TargetMode="External"/><Relationship Id="rId571" Type="http://schemas.openxmlformats.org/officeDocument/2006/relationships/hyperlink" Target="https://vicharkrantibooks.org/productdetail?book_name=HINP0466_MAHAKAL_KA_SANDESH_JAAGRUT_ATMAON_KE_NAM_xxyyyy&amp;product_id=1031" TargetMode="External"/><Relationship Id="rId669" Type="http://schemas.openxmlformats.org/officeDocument/2006/relationships/hyperlink" Target="https://vicharkrantibooks.org/productdetail?book_name=HINF0010_ADHYATM_KE_AVALAMBAN_SE_NAR_KA_NARAYAN_MEIN_PARIWARTAN_xxyyyy&amp;product_id=230" TargetMode="External"/><Relationship Id="rId876" Type="http://schemas.openxmlformats.org/officeDocument/2006/relationships/hyperlink" Target="https://vicharkrantibooks.org/productdetail?book_name=HINP0101_ATMAVISHVASI_BANEN_SAPHALATA_PAYEN_xx1982&amp;product_id=666" TargetMode="External"/><Relationship Id="rId19" Type="http://schemas.openxmlformats.org/officeDocument/2006/relationships/hyperlink" Target="https://vicharkrantibooks.org/productdetail?book_name=HINP0464_MAHAKAL_KA_DIVY_CHINTAN_xxyyyy&amp;product_id=1029" TargetMode="External"/><Relationship Id="rId224" Type="http://schemas.openxmlformats.org/officeDocument/2006/relationships/hyperlink" Target="https://vicharkrantibooks.org/productdetail?book_name=HINP0966_VICHARON_KI_APAR_SHAKTI_xxyyyy&amp;product_id=1531" TargetMode="External"/><Relationship Id="rId431" Type="http://schemas.openxmlformats.org/officeDocument/2006/relationships/hyperlink" Target="https://vicharkrantibooks.org/productdetail?book_name=HINP0066_APANE_KO_PAHACHANE_xxyyyy&amp;product_id=631" TargetMode="External"/><Relationship Id="rId529" Type="http://schemas.openxmlformats.org/officeDocument/2006/relationships/hyperlink" Target="https://vicharkrantibooks.org/productdetail?book_name=HINP0172_BINA_AUSHADHIYON_KE_ROG_NIVRUTTI_xxyyyy&amp;product_id=737" TargetMode="External"/><Relationship Id="rId736" Type="http://schemas.openxmlformats.org/officeDocument/2006/relationships/hyperlink" Target="https://vicharkrantibooks.org/productdetail?book_name=HINF0255_SANTAN_KITANI_AUR_KYON_PAIDA_KAREN_xxyyyy&amp;product_id=475" TargetMode="External"/><Relationship Id="rId1061" Type="http://schemas.openxmlformats.org/officeDocument/2006/relationships/hyperlink" Target="https://vicharkrantibooks.org/productdetail?book_name=HINP0366_ISHWARIY_ANUDAN_AUR_USAKA_SADUPAYOG_xx1981&amp;product_id=931" TargetMode="External"/><Relationship Id="rId1159" Type="http://schemas.openxmlformats.org/officeDocument/2006/relationships/hyperlink" Target="https://vicharkrantibooks.org/productdetail?book_name=HINP0055_APANA_APA_KITANA_MAHAN_KITANA_SAMARTH_xx1982&amp;product_id=620" TargetMode="External"/><Relationship Id="rId168" Type="http://schemas.openxmlformats.org/officeDocument/2006/relationships/hyperlink" Target="https://vicharkrantibooks.org/productdetail?product_id=4242" TargetMode="External"/><Relationship Id="rId943" Type="http://schemas.openxmlformats.org/officeDocument/2006/relationships/hyperlink" Target="https://vicharkrantibooks.org/productdetail?book_name=HINP0216_DEVADHIDEV_ATMADEV_KI_SADHANA_xx1981&amp;product_id=781" TargetMode="External"/><Relationship Id="rId1019" Type="http://schemas.openxmlformats.org/officeDocument/2006/relationships/hyperlink" Target="https://vicharkrantibooks.org/productdetail?book_name=HINP0037_AKHAND_ANAND_KA_STROT_APANE_HI_ANDAR_xx1981&amp;product_id=602" TargetMode="External"/><Relationship Id="rId72" Type="http://schemas.openxmlformats.org/officeDocument/2006/relationships/hyperlink" Target="https://vicharkrantibooks.org/productdetail?book_name=HINP0239_DHARM_PRATHAON_MEIN_NAHI_SADACHARAN_MEIN_xx1979&amp;product_id=804" TargetMode="External"/><Relationship Id="rId375" Type="http://schemas.openxmlformats.org/officeDocument/2006/relationships/hyperlink" Target="https://vicharkrantibooks.org/productdetail?book_name=GUJP0305_GHAR_EK_TAPOVAN_KUTUMB_EK_PRAYOGSHALA_XXYYYY&amp;product_id=3789" TargetMode="External"/><Relationship Id="rId582" Type="http://schemas.openxmlformats.org/officeDocument/2006/relationships/hyperlink" Target="https://vicharkrantibooks.org/productdetail?book_name=HINP0426_KARMAPHAL_KA_BHOG_ANIVARY_xxyyyy&amp;product_id=991" TargetMode="External"/><Relationship Id="rId803" Type="http://schemas.openxmlformats.org/officeDocument/2006/relationships/hyperlink" Target="https://vicharkrantibooks.org/productdetail?book_name=HINP0052_ANTARJAGAT_KA_DEVASUR_SANGRAM_xx1978&amp;product_id=617" TargetMode="External"/><Relationship Id="rId1226" Type="http://schemas.openxmlformats.org/officeDocument/2006/relationships/hyperlink" Target="https://vicharkrantibooks.org/productdetail?book_name=HINP0425_KARMAKAND_NAHI_BHAVANA_PRADHAN_xx2011&amp;product_id=990" TargetMode="External"/><Relationship Id="rId3" Type="http://schemas.openxmlformats.org/officeDocument/2006/relationships/hyperlink" Target="https://vicharkrantibooks.org/productdetail?book_name=HINP0709_RUGN_RAHEN_YA_SWASTH_YAH_APANE_MAN_PAR_NIRBHAR_HAI_xx1982&amp;product_id=1274" TargetMode="External"/><Relationship Id="rId235" Type="http://schemas.openxmlformats.org/officeDocument/2006/relationships/hyperlink" Target="https://vicharkrantibooks.org/productdetail?product_id=3773" TargetMode="External"/><Relationship Id="rId442" Type="http://schemas.openxmlformats.org/officeDocument/2006/relationships/hyperlink" Target="https://vicharkrantibooks.org/productdetail?book_name=HINF0047_ATM_VISMRUTI_KI_YAH_STHITI_KAB_TAK_RAHEGI_xxyyyy&amp;product_id=267" TargetMode="External"/><Relationship Id="rId887" Type="http://schemas.openxmlformats.org/officeDocument/2006/relationships/hyperlink" Target="https://vicharkrantibooks.org/productdetail?book_name=HINP0685_PRAYASHCHIT_EK_SAMAGR_MANASHCHIKITSA_xxyyyy&amp;product_id=1250" TargetMode="External"/><Relationship Id="rId1072" Type="http://schemas.openxmlformats.org/officeDocument/2006/relationships/hyperlink" Target="https://vicharkrantibooks.org/productdetail?book_name=HINP0700_RANGO_KI_SHAKTI_xxyyyy&amp;product_id=1265" TargetMode="External"/><Relationship Id="rId302" Type="http://schemas.openxmlformats.org/officeDocument/2006/relationships/hyperlink" Target="https://vicharkrantibooks.org/productdetail?book_name=HINF0297_UJJAVAL_BHAVISHY_KE_LIE_VARTAMAN_KA_SADUPAYOG_KAREN_xxyyyy&amp;product_id=517" TargetMode="External"/><Relationship Id="rId747" Type="http://schemas.openxmlformats.org/officeDocument/2006/relationships/hyperlink" Target="https://vicharkrantibooks.org/productdetail?book_name=HINP0880_SUSANTATI_NIRMAN_KI_SAMAGR_PRAKRIYA_xxyyyy&amp;product_id=1445" TargetMode="External"/><Relationship Id="rId954" Type="http://schemas.openxmlformats.org/officeDocument/2006/relationships/hyperlink" Target="https://vicharkrantibooks.org/productdetail?book_name=HINP0847_SHIKSHA_OR_VIDHYA_Re2012&amp;product_id=1412" TargetMode="External"/><Relationship Id="rId83" Type="http://schemas.openxmlformats.org/officeDocument/2006/relationships/hyperlink" Target="https://vicharkrantibooks.org/productdetail?book_name=HINP0239_DHARM_PRATHAON_MEIN_NAHI_SADACHARAN_MEIN_xx1979&amp;product_id=804" TargetMode="External"/><Relationship Id="rId179" Type="http://schemas.openxmlformats.org/officeDocument/2006/relationships/hyperlink" Target="https://vicharkrantibooks.org/productdetail?product_id=3781" TargetMode="External"/><Relationship Id="rId386" Type="http://schemas.openxmlformats.org/officeDocument/2006/relationships/hyperlink" Target="https://vicharkrantibooks.org/productdetail?book_name=MRTP0521_MANTR_NAVHE_UCHCHARAN_1st2013&amp;product_id=4358" TargetMode="External"/><Relationship Id="rId593" Type="http://schemas.openxmlformats.org/officeDocument/2006/relationships/hyperlink" Target="https://vicharkrantibooks.org/productdetail?book_name=HINP0934_UTKARSH_KE_LIE_SVAYAM_AGE_BADHEN_xxyyyy&amp;product_id=1499" TargetMode="External"/><Relationship Id="rId607" Type="http://schemas.openxmlformats.org/officeDocument/2006/relationships/hyperlink" Target="https://vicharkrantibooks.org/productdetail?book_name=HINP0139_BHAGAVAN_KE_ANUDAN_KIN_SHARTO_PAR_xx2011&amp;product_id=704" TargetMode="External"/><Relationship Id="rId814" Type="http://schemas.openxmlformats.org/officeDocument/2006/relationships/hyperlink" Target="https://vicharkrantibooks.org/productdetail?book_name=HINP1061_YUG_RUSHI_KI_APEKSHAEN_HAM_SABASE_xxyyyy&amp;product_id=1626" TargetMode="External"/><Relationship Id="rId1237" Type="http://schemas.openxmlformats.org/officeDocument/2006/relationships/hyperlink" Target="https://vicharkrantibooks.org/productdetail?book_name=HINP1058_YUG_PARIVARTAN_MEIN_SAMARTH_DIPYAGY_xx2011&amp;product_id=1623" TargetMode="External"/><Relationship Id="rId246" Type="http://schemas.openxmlformats.org/officeDocument/2006/relationships/hyperlink" Target="https://vicharkrantibooks.org/productdetail?book_name=ENGB0216_FIRM_ENDEAVOUR_1st2013&amp;product_id=3533" TargetMode="External"/><Relationship Id="rId453" Type="http://schemas.openxmlformats.org/officeDocument/2006/relationships/hyperlink" Target="https://vicharkrantibooks.org/productdetail?book_name=HINP0696_RAJANITI_MEIN_HAMARI_BHUMIKA_xx2011&amp;product_id=1261" TargetMode="External"/><Relationship Id="rId660" Type="http://schemas.openxmlformats.org/officeDocument/2006/relationships/hyperlink" Target="https://vicharkrantibooks.org/productdetail?book_name=ENGPE078_LOOSE_NOT_YOUR_HEART_COLOUR_RE2012&amp;product_id=3473" TargetMode="External"/><Relationship Id="rId898" Type="http://schemas.openxmlformats.org/officeDocument/2006/relationships/hyperlink" Target="http://literature.awgp.org/book/a_manual_of_hindu_marriage/v1" TargetMode="External"/><Relationship Id="rId1083" Type="http://schemas.openxmlformats.org/officeDocument/2006/relationships/hyperlink" Target="https://vicharkrantibooks.org/productdetail?book_name=HINP0407_JYOTIRVIDON_KI_DRUSHTI_MEIN_YUGASANDHI_xx1981&amp;product_id=972" TargetMode="External"/><Relationship Id="rId106" Type="http://schemas.openxmlformats.org/officeDocument/2006/relationships/hyperlink" Target="https://vicharkrantibooks.org/productdetail?product_id=3808" TargetMode="External"/><Relationship Id="rId313" Type="http://schemas.openxmlformats.org/officeDocument/2006/relationships/hyperlink" Target="https://vicharkrantibooks.org/productdetail?book_name=HINF0042_ASURATA_KA_MAN-MARDANSANGH_SHAKTI_KE_BAL_PAR_xxyyyy&amp;product_id=262" TargetMode="External"/><Relationship Id="rId758" Type="http://schemas.openxmlformats.org/officeDocument/2006/relationships/hyperlink" Target="https://vicharkrantibooks.org/productdetail?book_name=HINP0970_VIGYAN_AUR_ADHYATM_PARASPAR_PURAK_BANE_xx1982&amp;product_id=1535" TargetMode="External"/><Relationship Id="rId965" Type="http://schemas.openxmlformats.org/officeDocument/2006/relationships/hyperlink" Target="https://vicharkrantibooks.org/productdetail?book_name=HINP0929_UPASANAE_SAPHAL_KYON_NAHIN_HOTIN_xx1981&amp;product_id=1494" TargetMode="External"/><Relationship Id="rId1150" Type="http://schemas.openxmlformats.org/officeDocument/2006/relationships/hyperlink" Target="https://vicharkrantibooks.org/productdetail?book_name=HINP0108_ATMOTKARSH_KA_SADHANA_MARG_xx1978&amp;product_id=673" TargetMode="External"/><Relationship Id="rId10" Type="http://schemas.openxmlformats.org/officeDocument/2006/relationships/hyperlink" Target="https://vicharkrantibooks.org/productdetail?book_name=HINP0832_SHAKAHAR_HI_MANUSHY_KA_PRAKRUTIK_BHOJAN_xxyyyy&amp;product_id=1397" TargetMode="External"/><Relationship Id="rId94" Type="http://schemas.openxmlformats.org/officeDocument/2006/relationships/hyperlink" Target="https://vicharkrantibooks.org/productdetail?book_name=HINP0999_VRUDDHAVASTHA_JIVAN_KA_NAVANIT_HAI_xxyyyy&amp;product_id=1564" TargetMode="External"/><Relationship Id="rId397" Type="http://schemas.openxmlformats.org/officeDocument/2006/relationships/hyperlink" Target="https://vicharkrantibooks.org/productdetail?book_name=HINP0648_PRABHU_SAMARPIT_JIVAN_xxyyyy&amp;product_id=1213" TargetMode="External"/><Relationship Id="rId520" Type="http://schemas.openxmlformats.org/officeDocument/2006/relationships/hyperlink" Target="https://vicharkrantibooks.org/productdetail?book_name=HINP0718_RUSHI_CHINTAN_KE_SANIDHYA_MEIN_07_(POCKET)_xxyyyy&amp;product_id=1283" TargetMode="External"/><Relationship Id="rId618" Type="http://schemas.openxmlformats.org/officeDocument/2006/relationships/hyperlink" Target="https://vicharkrantibooks.org/productdetail?book_name=ENGP0676_SCIENTIFIC_APPROACH_TO_TALENT_GROWTH_xxyyyy&amp;product_id=3515" TargetMode="External"/><Relationship Id="rId825" Type="http://schemas.openxmlformats.org/officeDocument/2006/relationships/hyperlink" Target="https://vicharkrantibooks.org/productdetail?book_name=HINP0360_INDRIY_SANYAM_ARTH_SANYAM_SAMAY_SANYAM_AUR_VICHAR_SANYAM_KA_SATAT%E2%80%8C_ABHYAS_KARENGE_xxyyyy&amp;product_id=925" TargetMode="External"/><Relationship Id="rId257" Type="http://schemas.openxmlformats.org/officeDocument/2006/relationships/hyperlink" Target="https://vicharkrantibooks.org/productdetail?book_name=HINP0914_TYAG_SE_PRAPTI_KA_SUNISHCHIT_EVAM_AKATY_NIYAM_xx1982&amp;product_id=1479" TargetMode="External"/><Relationship Id="rId464" Type="http://schemas.openxmlformats.org/officeDocument/2006/relationships/hyperlink" Target="https://vicharkrantibooks.org/productdetail?book_name=HINP0671_PRASANNATA_HAR_PARISTHITI_MEIN_SAMBHAV_xx1982&amp;product_id=1236" TargetMode="External"/><Relationship Id="rId1010" Type="http://schemas.openxmlformats.org/officeDocument/2006/relationships/hyperlink" Target="https://vicharkrantibooks.org/productdetail?book_name=ENGPE039_THE_SCIENCE_OF_MANTRA_xxyyyy&amp;product_id=3432" TargetMode="External"/><Relationship Id="rId1094" Type="http://schemas.openxmlformats.org/officeDocument/2006/relationships/hyperlink" Target="https://vicharkrantibooks.org/productdetail?book_name=HINP0715_RUSHI_CHINTAN_KE_SANIDHYA_MEIN_04_(POCKET)_xxyyyy&amp;product_id=1280" TargetMode="External"/><Relationship Id="rId1108" Type="http://schemas.openxmlformats.org/officeDocument/2006/relationships/hyperlink" Target="https://vicharkrantibooks.org/productdetail?book_name=HINP0082_ASTIKATA_APANANE_MEIN_HI_KALYAN_xxyyyy&amp;product_id=647" TargetMode="External"/><Relationship Id="rId117" Type="http://schemas.openxmlformats.org/officeDocument/2006/relationships/hyperlink" Target="https://vicharkrantibooks.org/productdetail?product_id=3776" TargetMode="External"/><Relationship Id="rId671" Type="http://schemas.openxmlformats.org/officeDocument/2006/relationships/hyperlink" Target="https://vicharkrantibooks.org/productdetail?book_name=HINF0311_VASANT_PARV_PAR_MAHAKAL_KA_SANDESH_xxyyyy&amp;product_id=531" TargetMode="External"/><Relationship Id="rId769" Type="http://schemas.openxmlformats.org/officeDocument/2006/relationships/hyperlink" Target="https://vicharkrantibooks.org/productdetail?book_name=HINP1048_YUG_NIRMAN_YOJANA_KA_SAT%E2%80%8C_SANKALP_xxyyyy&amp;product_id=1613" TargetMode="External"/><Relationship Id="rId976" Type="http://schemas.openxmlformats.org/officeDocument/2006/relationships/hyperlink" Target="https://vicharkrantibooks.org/productdetail?book_name=HINP0249_DHUP_SNAN_xxyyyy&amp;product_id=814" TargetMode="External"/><Relationship Id="rId324" Type="http://schemas.openxmlformats.org/officeDocument/2006/relationships/hyperlink" Target="https://vicharkrantibooks.org/productdetail?book_name=GUJP0146_BHAKTI_EK_DARSHAN_EK_VIGNAN_XXYYYY&amp;product_id=3757" TargetMode="External"/><Relationship Id="rId531" Type="http://schemas.openxmlformats.org/officeDocument/2006/relationships/hyperlink" Target="https://vicharkrantibooks.org/productdetail?product_id=510" TargetMode="External"/><Relationship Id="rId629" Type="http://schemas.openxmlformats.org/officeDocument/2006/relationships/hyperlink" Target="https://vicharkrantibooks.org/productdetail?book_name=HINF0119_IKKISAVI_SADI_KI_YUG_CHETANA_KA_UDGAM_SHANTIKUNJ_xxyyyy&amp;product_id=339" TargetMode="External"/><Relationship Id="rId1161" Type="http://schemas.openxmlformats.org/officeDocument/2006/relationships/hyperlink" Target="https://vicharkrantibooks.org/productdetail?book_name=HINP0195_CHINTAN_CHARITR_KO_UNCHA_UTHAEN_xx2011&amp;product_id=760" TargetMode="External"/><Relationship Id="rId836" Type="http://schemas.openxmlformats.org/officeDocument/2006/relationships/hyperlink" Target="https://vicharkrantibooks.org/productdetail?book_name=HINP0012_ADHYATM_EK_PRAKAR_KA_SAMAR_xx2011&amp;product_id=577" TargetMode="External"/><Relationship Id="rId1021" Type="http://schemas.openxmlformats.org/officeDocument/2006/relationships/hyperlink" Target="https://vicharkrantibooks.org/productdetail?book_name=ENGP0009_DON%E2%80%99T_BE_TRAPPED_BY_THE_EVILS_OF_MODERNISATION_xxyyyy&amp;product_id=3503" TargetMode="External"/><Relationship Id="rId1119" Type="http://schemas.openxmlformats.org/officeDocument/2006/relationships/hyperlink" Target="https://vicharkrantibooks.org/productdetail?book_name=HINP0390_JIVAN_KO_UTKRUSHT_BANAO_xxyyyy&amp;product_id=955" TargetMode="External"/><Relationship Id="rId903" Type="http://schemas.openxmlformats.org/officeDocument/2006/relationships/hyperlink" Target="https://vicharkrantibooks.org/productdetail?book_name=HINP0321_GYAN_KI_SARTHAKATA_KARM_SE_xxyyyy&amp;product_id=886" TargetMode="External"/><Relationship Id="rId32" Type="http://schemas.openxmlformats.org/officeDocument/2006/relationships/hyperlink" Target="https://vicharkrantibooks.org/productdetail?product_id=444" TargetMode="External"/><Relationship Id="rId181" Type="http://schemas.openxmlformats.org/officeDocument/2006/relationships/hyperlink" Target="https://vicharkrantibooks.org/productdetail?book_name=HINF0051_ATMIK_PRAGATI_KE_TIN_SOPAN_xxyyyy&amp;product_id=271" TargetMode="External"/><Relationship Id="rId279" Type="http://schemas.openxmlformats.org/officeDocument/2006/relationships/hyperlink" Target="https://vicharkrantibooks.org/productdetail?book_name=HINP0874_SUKSHM_JAGAT_KA_PARISHODHAN_GAYATRI_YAGYON_SE_xx1979&amp;product_id=1439" TargetMode="External"/><Relationship Id="rId486" Type="http://schemas.openxmlformats.org/officeDocument/2006/relationships/hyperlink" Target="https://vicharkrantibooks.org/productdetail?book_name=HINP0512_MANISHI_EVAM_RUSHI_KE_RUP_MEIN_HAMARI_PAROKSH_BHUMIKA_xxyyyy&amp;product_id=1077" TargetMode="External"/><Relationship Id="rId693" Type="http://schemas.openxmlformats.org/officeDocument/2006/relationships/hyperlink" Target="https://vicharkrantibooks.org/productdetail?book_name=HINP0128_BAHARI_YOG_SE_ANTARYOG_ADHIK_SHREYASHAKAR_xxyyyy&amp;product_id=693" TargetMode="External"/><Relationship Id="rId139" Type="http://schemas.openxmlformats.org/officeDocument/2006/relationships/hyperlink" Target="http://literature.awgp.org/book/support_is_needed_for_self_evolution/v1" TargetMode="External"/><Relationship Id="rId346" Type="http://schemas.openxmlformats.org/officeDocument/2006/relationships/hyperlink" Target="https://vicharkrantibooks.org/productdetail?book_name=HINF0053_ATMIK_PRAGATI_KI_KUNJI_ACHETAN_KI_PARISHKRUTI_xxyyyy&amp;product_id=273" TargetMode="External"/><Relationship Id="rId553" Type="http://schemas.openxmlformats.org/officeDocument/2006/relationships/hyperlink" Target="https://vicharkrantibooks.org/productdetail?book_name=HINP0499_MANAV_CHETANA_MEIN_PRAN_CHETANA_KA_KAMAL_xxyyyy&amp;product_id=1064" TargetMode="External"/><Relationship Id="rId760" Type="http://schemas.openxmlformats.org/officeDocument/2006/relationships/hyperlink" Target="https://vicharkrantibooks.org/productdetail?book_name=HINP1046_YUG_NIRMAN_SHAKHAON_KE_NIYAM_TATHA_KARYAKRAM_xxyyyy&amp;product_id=1611" TargetMode="External"/><Relationship Id="rId998" Type="http://schemas.openxmlformats.org/officeDocument/2006/relationships/hyperlink" Target="https://vicharkrantibooks.org/productdetail?book_name=HINP0254_DIVY_JADI_BUTIYON_MEIN_APAR_SHAKTI_xxyyyy&amp;product_id=819" TargetMode="External"/><Relationship Id="rId1183" Type="http://schemas.openxmlformats.org/officeDocument/2006/relationships/hyperlink" Target="https://vicharkrantibooks.org/productdetail?book_name=HINP0388_JIVAN_KA_PARAM_LAKSHY_SATYAM_SHIVAM_SUNDARAM_xx1981&amp;product_id=953" TargetMode="External"/><Relationship Id="rId206" Type="http://schemas.openxmlformats.org/officeDocument/2006/relationships/hyperlink" Target="https://vicharkrantibooks.org/productdetail?book_name=HINP0162_BHAVI_PIDHI_KE_NIRMAN_MEIN_ABHIBHAVAKON_KA_UTTARADAYITV_xx1981&amp;product_id=727" TargetMode="External"/><Relationship Id="rId413" Type="http://schemas.openxmlformats.org/officeDocument/2006/relationships/hyperlink" Target="https://vicharkrantibooks.org/productdetail?book_name=HINP0421_KAPADE_KAISE_PAHANE_xxyyyy&amp;product_id=986" TargetMode="External"/><Relationship Id="rId858" Type="http://schemas.openxmlformats.org/officeDocument/2006/relationships/hyperlink" Target="https://vicharkrantibooks.org/productdetail?product_id=744" TargetMode="External"/><Relationship Id="rId1043" Type="http://schemas.openxmlformats.org/officeDocument/2006/relationships/hyperlink" Target="https://vicharkrantibooks.org/productdetail?book_name=HINP1037_YUG_NIRMAN_ABHIYAN_Re2011&amp;product_id=1602" TargetMode="External"/><Relationship Id="rId620" Type="http://schemas.openxmlformats.org/officeDocument/2006/relationships/hyperlink" Target="https://vicharkrantibooks.org/productdetail?book_name=ENGP0676_SCIENTIFIC_APPROACH_TO_TALENT_GROWTH_xxyyyy&amp;product_id=3515" TargetMode="External"/><Relationship Id="rId718" Type="http://schemas.openxmlformats.org/officeDocument/2006/relationships/hyperlink" Target="https://vicharkrantibooks.org/productdetail?book_name=HINF0020_AHAMANYATA_MITE_DEVATV_KI_SADASHAYATA_VIKASE_xxyyyy&amp;product_id=240" TargetMode="External"/><Relationship Id="rId925" Type="http://schemas.openxmlformats.org/officeDocument/2006/relationships/hyperlink" Target="https://vicharkrantibooks.org/productdetail?book_name=ENGPE098_FOUR_PILLARS_OF_SELF_DEVELOPMENTS_xxyyyy&amp;product_id=3490" TargetMode="External"/><Relationship Id="rId1110" Type="http://schemas.openxmlformats.org/officeDocument/2006/relationships/hyperlink" Target="https://vicharkrantibooks.org/productdetail?book_name=HINP0296_GAYATRI_UPASANA_KE_PANCH_CHARAN_xx1979&amp;product_id=861" TargetMode="External"/><Relationship Id="rId1208" Type="http://schemas.openxmlformats.org/officeDocument/2006/relationships/hyperlink" Target="https://vicharkrantibooks.org/productdetail?book_name=HINP0050_ANTARIK_ASHANTI_KI_SAMASYA_AUR_SAMADHAN_xxyyyy&amp;product_id=615" TargetMode="External"/><Relationship Id="rId54" Type="http://schemas.openxmlformats.org/officeDocument/2006/relationships/hyperlink" Target="https://vicharkrantibooks.org/productdetail?book_name=HINP0454_LAKSHMI_KO_ROKEN_NAHIN_NARAYAN_KE_PAS_JANE_DEN_xxyyyy&amp;product_id=1019" TargetMode="External"/><Relationship Id="rId270" Type="http://schemas.openxmlformats.org/officeDocument/2006/relationships/hyperlink" Target="https://vicharkrantibooks.org/productdetail?product_id=3766" TargetMode="External"/><Relationship Id="rId130" Type="http://schemas.openxmlformats.org/officeDocument/2006/relationships/hyperlink" Target="https://vicharkrantibooks.org/productdetail?book_name=HINP0532_MATA_HI_BACHCHON_KO_SUSANSAKARI_BANATI_HAI_xx1981&amp;product_id=1097" TargetMode="External"/><Relationship Id="rId368" Type="http://schemas.openxmlformats.org/officeDocument/2006/relationships/hyperlink" Target="https://vicharkrantibooks.org/productdetail?book_name=GUJP0251_DHYANANU_DARSHANIK_PASU_XXYYYY&amp;product_id=3749" TargetMode="External"/><Relationship Id="rId575" Type="http://schemas.openxmlformats.org/officeDocument/2006/relationships/hyperlink" Target="https://vicharkrantibooks.org/productdetail?book_name=HINP0970_VIGYAN_AUR_ADHYATM_PARASPAR_PURAK_BANE_xx1982&amp;product_id=1535" TargetMode="External"/><Relationship Id="rId782" Type="http://schemas.openxmlformats.org/officeDocument/2006/relationships/hyperlink" Target="https://vicharkrantibooks.org/productdetail?book_name=HINF0002_ACHINTY_CHINTAN_SE_MANOBAL_NA_GAVAYEN_xxyyyy&amp;product_id=222" TargetMode="External"/><Relationship Id="rId228" Type="http://schemas.openxmlformats.org/officeDocument/2006/relationships/hyperlink" Target="https://drive.google.com/file/d/1GOABqL4sQL3rZa4vUgkBGoKqy3ObgOZS/view?usp=drive_link" TargetMode="External"/><Relationship Id="rId435" Type="http://schemas.openxmlformats.org/officeDocument/2006/relationships/hyperlink" Target="https://vicharkrantibooks.org/productdetail?book_name=HINP0209_DESHABHAKT_RASHTR_KE_NAVANIRMAN_MEIN_JUTEN_xxyyyy&amp;product_id=774" TargetMode="External"/><Relationship Id="rId642" Type="http://schemas.openxmlformats.org/officeDocument/2006/relationships/hyperlink" Target="https://vicharkrantibooks.org/productdetail?book_name=HINF0013_ADHYATM_VIGYAN_KI_BRAHMAVARCHAS%E2%80%8C_SHODH_PRAKRIYA_xxyyyy&amp;product_id=233" TargetMode="External"/><Relationship Id="rId1065" Type="http://schemas.openxmlformats.org/officeDocument/2006/relationships/hyperlink" Target="https://vicharkrantibooks.org/productdetail?book_name=HINP0227_DHARATI_PAR_SWARG_EK_KALPANA_NAHI_SATY_xx1982&amp;product_id=792" TargetMode="External"/><Relationship Id="rId502" Type="http://schemas.openxmlformats.org/officeDocument/2006/relationships/hyperlink" Target="https://vicharkrantibooks.org/productdetail?book_name=HINP0340_HAR_GHAR_BANE_DEV_MANDIR_AUR_GYAN_MANDIR_xx2011&amp;product_id=905" TargetMode="External"/><Relationship Id="rId947" Type="http://schemas.openxmlformats.org/officeDocument/2006/relationships/hyperlink" Target="https://vicharkrantibooks.org/productdetail?book_name=ENGPE044_LISTEN_TO_MAHAKALS_CALL_xxyyyy&amp;product_id=3437" TargetMode="External"/><Relationship Id="rId1132" Type="http://schemas.openxmlformats.org/officeDocument/2006/relationships/hyperlink" Target="https://vicharkrantibooks.org/productdetail?book_name=HINP0714_RUSHI_CHINTAN_KE_SANIDHYA_MEIN_03_(POCKET)_xxyyyy&amp;product_id=1279" TargetMode="External"/><Relationship Id="rId76" Type="http://schemas.openxmlformats.org/officeDocument/2006/relationships/hyperlink" Target="https://vicharkrantibooks.org/productdetail?book_name=HINR0319_DEV_SANSKRUTI_KA_MERUDAND_VANPRASTH_xx2010&amp;product_id=2004" TargetMode="External"/><Relationship Id="rId807" Type="http://schemas.openxmlformats.org/officeDocument/2006/relationships/hyperlink" Target="https://vicharkrantibooks.org/productdetail?book_name=HINP0535_MATRUSHAKTI_KE_AMRUT_VACHAN_xxyyyy&amp;product_id=1100" TargetMode="External"/><Relationship Id="rId292" Type="http://schemas.openxmlformats.org/officeDocument/2006/relationships/hyperlink" Target="https://vicharkrantibooks.org/productdetail?book_name=HINP0933_UTAR_CHADHAV_HI_JIVAN_HAI_xx1981&amp;product_id=1498" TargetMode="External"/><Relationship Id="rId597" Type="http://schemas.openxmlformats.org/officeDocument/2006/relationships/hyperlink" Target="https://vicharkrantibooks.org/productdetail?book_name=HINP0562_NARI_KA_GAURAVASHALI_ATIT_UJJAVAL_BHAVISHY_xxyyyy&amp;product_id=1127" TargetMode="External"/><Relationship Id="rId152" Type="http://schemas.openxmlformats.org/officeDocument/2006/relationships/hyperlink" Target="https://vicharkrantibooks.org/productdetail?book_name=HINP0619_PARAMPARAON_KI_TULANA_MEIN_VIVEK_KO_MAHATV_DENGE_xxyyyy&amp;product_id=1184" TargetMode="External"/><Relationship Id="rId457" Type="http://schemas.openxmlformats.org/officeDocument/2006/relationships/hyperlink" Target="https://vicharkrantibooks.org/productdetail?book_name=HINP0632_PARIWAR_MEIN_DHARMIK_VATAVARAN_BANAEN_xx1982&amp;product_id=1197" TargetMode="External"/><Relationship Id="rId1087" Type="http://schemas.openxmlformats.org/officeDocument/2006/relationships/hyperlink" Target="https://vicharkrantibooks.org/productdetail?book_name=ENGPE078_LOOSE_NOT_YOUR_HEART_COLOUR_RE2012&amp;product_id=3473" TargetMode="External"/><Relationship Id="rId664" Type="http://schemas.openxmlformats.org/officeDocument/2006/relationships/hyperlink" Target="https://vicharkrantibooks.org/productdetail?book_name=HINP1002_VRUKSH_HAMARE_JIVAN_PRAN_xxyyyy&amp;product_id=1567" TargetMode="External"/><Relationship Id="rId871" Type="http://schemas.openxmlformats.org/officeDocument/2006/relationships/hyperlink" Target="https://vicharkrantibooks.org/productdetail?book_name=HINP0273_GANV_SARVSUKHAPRADA_Re2014&amp;product_id=838" TargetMode="External"/><Relationship Id="rId969" Type="http://schemas.openxmlformats.org/officeDocument/2006/relationships/hyperlink" Target="https://vicharkrantibooks.org/productdetail?book_name=HINP0830_SHABD_BRAHM_AUR_YOG_VIGYAN_xx1982&amp;product_id=1395" TargetMode="External"/><Relationship Id="rId317" Type="http://schemas.openxmlformats.org/officeDocument/2006/relationships/hyperlink" Target="https://vicharkrantibooks.org/productdetail?book_name=HINP0518_MANSAHAR_xxyyyy&amp;product_id=1083" TargetMode="External"/><Relationship Id="rId524" Type="http://schemas.openxmlformats.org/officeDocument/2006/relationships/hyperlink" Target="https://vicharkrantibooks.org/productdetail?book_name=HINP0806_SAPHAL_JIVAN_KI_DISHADHARA_(POCKET)_xxyyyy&amp;product_id=1371" TargetMode="External"/><Relationship Id="rId731" Type="http://schemas.openxmlformats.org/officeDocument/2006/relationships/hyperlink" Target="https://vicharkrantibooks.org/productdetail?book_name=HINP0597_NAYE_YUG_KA_MANTR_GAYATRI_MAHAMANTR_xx2011&amp;product_id=1162" TargetMode="External"/><Relationship Id="rId1154" Type="http://schemas.openxmlformats.org/officeDocument/2006/relationships/hyperlink" Target="https://vicharkrantibooks.org/productdetail?book_name=HINP0952_VATAVARAN_PRADUSHAN_KA_KYA_KOI_SAMADHAN_HAI_xxyyyy&amp;product_id=1517" TargetMode="External"/><Relationship Id="rId98" Type="http://schemas.openxmlformats.org/officeDocument/2006/relationships/hyperlink" Target="https://vicharkrantibooks.org/productdetail?product_id=3807" TargetMode="External"/><Relationship Id="rId829" Type="http://schemas.openxmlformats.org/officeDocument/2006/relationships/hyperlink" Target="https://vicharkrantibooks.org/productdetail?book_name=HINP0054_ANUSHASIT_CHHATR_HI_PRAGATISHIL_SAMAJ_KE_KARNDHAR_xx1981&amp;product_id=619" TargetMode="External"/><Relationship Id="rId1014" Type="http://schemas.openxmlformats.org/officeDocument/2006/relationships/hyperlink" Target="https://vicharkrantibooks.org/productdetail?book_name=HINP0632_PARIWAR_MEIN_DHARMIK_VATAVARAN_BANAEN_xx1982&amp;product_id=1197" TargetMode="External"/><Relationship Id="rId1221" Type="http://schemas.openxmlformats.org/officeDocument/2006/relationships/hyperlink" Target="https://vicharkrantibooks.org/productdetail?book_name=HINP0596_NAVAYUG_KI_ADHARASHILA_SADBHAV_YUKT_SHRADDHA_xx1981&amp;product_id=1161" TargetMode="External"/><Relationship Id="rId25" Type="http://schemas.openxmlformats.org/officeDocument/2006/relationships/hyperlink" Target="https://vicharkrantibooks.org/productdetail?book_name=HINP0168_BHRASHT_RAJANETAON_KA_ANT_ATI_NIKAT_xxyyyy&amp;product_id=733" TargetMode="External"/><Relationship Id="rId174" Type="http://schemas.openxmlformats.org/officeDocument/2006/relationships/hyperlink" Target="https://vicharkrantibooks.org/productdetail?book_name=HINP0035_AKANKSHAEN_NIYANTRIT_AUR_SODDESHY_HO_xx1982&amp;product_id=600" TargetMode="External"/><Relationship Id="rId381" Type="http://schemas.openxmlformats.org/officeDocument/2006/relationships/hyperlink" Target="https://vicharkrantibooks.org/productdetail?book_name=HINF0261_SHABDVIDHYA_CHAMATKARON_SE_BHARI_EK_ADBHUT_SHAKTI_xxyyyy&amp;product_id=481" TargetMode="External"/><Relationship Id="rId241" Type="http://schemas.openxmlformats.org/officeDocument/2006/relationships/hyperlink" Target="https://drive.google.com/file/d/1NccXhcUsWMqR-yXJhzEih8BYrBfPiaUz/view?usp=sharing" TargetMode="External"/><Relationship Id="rId479" Type="http://schemas.openxmlformats.org/officeDocument/2006/relationships/hyperlink" Target="https://vicharkrantibooks.org/productdetail?book_name=HINF0025_AJIVIKA_KE_STROT_DEHAT_MEIN_KHOJEN_xxyyyy&amp;product_id=245" TargetMode="External"/><Relationship Id="rId686" Type="http://schemas.openxmlformats.org/officeDocument/2006/relationships/hyperlink" Target="https://vicharkrantibooks.org/productdetail?book_name=HINP1068_YUGRUSHI_KI_JANMASHATI_xxyyyy&amp;product_id=1633" TargetMode="External"/><Relationship Id="rId893" Type="http://schemas.openxmlformats.org/officeDocument/2006/relationships/hyperlink" Target="http://literature.awgp.org/book/The_Great_Momentsof_Change/v2" TargetMode="External"/><Relationship Id="rId339" Type="http://schemas.openxmlformats.org/officeDocument/2006/relationships/hyperlink" Target="https://vicharkrantibooks.org/productdetail?book_name=HINP0119_BACHCHE_SUSANSKARI_KAISE_BANEN_xx1982&amp;product_id=684" TargetMode="External"/><Relationship Id="rId546" Type="http://schemas.openxmlformats.org/officeDocument/2006/relationships/hyperlink" Target="https://vicharkrantibooks.org/productdetail?book_name=ENGP0605_STEER_THE_LIFE_FOR_DEFINITE_REWARDS_xxyyyy&amp;product_id=3513" TargetMode="External"/><Relationship Id="rId753" Type="http://schemas.openxmlformats.org/officeDocument/2006/relationships/hyperlink" Target="https://vicharkrantibooks.org/productdetail?book_name=ENGR0263_REJUVENATION_WITHOUT_MEDICINES_RE2014&amp;product_id=3480" TargetMode="External"/><Relationship Id="rId1176" Type="http://schemas.openxmlformats.org/officeDocument/2006/relationships/hyperlink" Target="https://vicharkrantibooks.org/productdetail?book_name=HINP0314_GRUHASTHASHRAM_SHRESHTH_ASHRAM_xxyyyy&amp;product_id=879" TargetMode="External"/><Relationship Id="rId101" Type="http://schemas.openxmlformats.org/officeDocument/2006/relationships/hyperlink" Target="https://vicharkrantibooks.org/productdetail?book_name=HINP0496_MANASIK_SHANTI_EVAM_SANTOSH_KA_MUL_SHROT_xx1982&amp;product_id=1061" TargetMode="External"/><Relationship Id="rId406" Type="http://schemas.openxmlformats.org/officeDocument/2006/relationships/hyperlink" Target="https://vicharkrantibooks.org/productdetail?book_name=GUJP1068_YUGRUSHINI_JANMASHATABDI_XXYYYY&amp;product_id=3978" TargetMode="External"/><Relationship Id="rId960" Type="http://schemas.openxmlformats.org/officeDocument/2006/relationships/hyperlink" Target="https://vicharkrantibooks.org/productdetail?book_name=ENGR1378_DIAGNOSE_CURE_AND_EMPOWER_YOUR_SELF_BY_CURRENT_OF_BREATH_RE2011&amp;product_id=3457" TargetMode="External"/><Relationship Id="rId1036" Type="http://schemas.openxmlformats.org/officeDocument/2006/relationships/hyperlink" Target="https://vicharkrantibooks.org/productdetail?book_name=HINP0076_ASHLILATA_KE_AJAGAR_SE_BACHEN_xxyyyy&amp;product_id=641" TargetMode="External"/><Relationship Id="rId613" Type="http://schemas.openxmlformats.org/officeDocument/2006/relationships/hyperlink" Target="https://vicharkrantibooks.org/productdetail?book_name=HINP0921_UNNATI_KE_TIN_GUN_CHAR_CHARAN_xxyyyy&amp;product_id=1486" TargetMode="External"/><Relationship Id="rId820" Type="http://schemas.openxmlformats.org/officeDocument/2006/relationships/hyperlink" Target="https://vicharkrantibooks.org/productdetail?book_name=HINP0052_ANTARJAGAT_KA_DEVASUR_SANGRAM_xx1978&amp;product_id=617" TargetMode="External"/><Relationship Id="rId918" Type="http://schemas.openxmlformats.org/officeDocument/2006/relationships/hyperlink" Target="https://vicharkrantibooks.org/productdetail?book_name=HINP0277_GAYATRI_AUR_YAGY_xxyyyy&amp;product_id=842" TargetMode="External"/><Relationship Id="rId1103" Type="http://schemas.openxmlformats.org/officeDocument/2006/relationships/hyperlink" Target="https://vicharkrantibooks.org/productdetail?book_name=HINP0080_ASTIKATA_ADHYATMIKATA_AUR_DHARMIKATA_xx1980&amp;product_id=645" TargetMode="External"/><Relationship Id="rId47" Type="http://schemas.openxmlformats.org/officeDocument/2006/relationships/hyperlink" Target="https://vicharkrantibooks.org/productdetail?book_name=HINP0931_UPAYOGITA_VAD_NAHI_SAHAKARITA_VAD_xx1982&amp;product_id=1496" TargetMode="External"/><Relationship Id="rId196" Type="http://schemas.openxmlformats.org/officeDocument/2006/relationships/hyperlink" Target="https://vicharkrantibooks.org/productdetail?book_name=HINP0363_IS_SABHY_DAKAITI_SE_BHI_JUJHIE_xxyyyy&amp;product_id=928" TargetMode="External"/><Relationship Id="rId263" Type="http://schemas.openxmlformats.org/officeDocument/2006/relationships/hyperlink" Target="https://vicharkrantibooks.org/productdetail?book_name=HINP0283_GAYATRI_MAHASHAKTI_DVARA_YUG_PARIVARTAN_KA_ASHVASAN_xx1982&amp;product_id=848" TargetMode="External"/><Relationship Id="rId470" Type="http://schemas.openxmlformats.org/officeDocument/2006/relationships/hyperlink" Target="https://vicharkrantibooks.org/productdetail?book_name=HINP0986_VISHVAVARA_DEV_SANSKRUTI_xx2011&amp;product_id=1551" TargetMode="External"/><Relationship Id="rId123" Type="http://schemas.openxmlformats.org/officeDocument/2006/relationships/hyperlink" Target="https://vicharkrantibooks.org/productdetail?product_id=3805" TargetMode="External"/><Relationship Id="rId330" Type="http://schemas.openxmlformats.org/officeDocument/2006/relationships/hyperlink" Target="https://vicharkrantibooks.org/productdetail?book_name=GUJP0242_DHRAMATANTR_DVARA_LOK_SHIKSHAN_XXYYYY&amp;product_id=3755" TargetMode="External"/><Relationship Id="rId568" Type="http://schemas.openxmlformats.org/officeDocument/2006/relationships/hyperlink" Target="https://vicharkrantibooks.org/productdetail?book_name=HINP0653_PRAGATI_SHANTI_AUR_PRASANNATA_xx1981&amp;product_id=1218" TargetMode="External"/><Relationship Id="rId775" Type="http://schemas.openxmlformats.org/officeDocument/2006/relationships/hyperlink" Target="https://vicharkrantibooks.org/productdetail?book_name=HINP0388_JIVAN_KA_PARAM_LAKSHY_SATYAM_SHIVAM_SUNDARAM_xx1981&amp;product_id=953" TargetMode="External"/><Relationship Id="rId982" Type="http://schemas.openxmlformats.org/officeDocument/2006/relationships/hyperlink" Target="https://vicharkrantibooks.org/productdetail?book_name=HINP0903_TAP_SE_MILATI_HAIN_SIDDHIYAN_xx2011&amp;product_id=1468" TargetMode="External"/><Relationship Id="rId1198" Type="http://schemas.openxmlformats.org/officeDocument/2006/relationships/hyperlink" Target="https://vicharkrantibooks.org/productdetail?book_name=HINP0251_DHYAN_KA_DARSHANIK_PAKSH_xx2011&amp;product_id=816" TargetMode="External"/><Relationship Id="rId428" Type="http://schemas.openxmlformats.org/officeDocument/2006/relationships/hyperlink" Target="https://vicharkrantibooks.org/productdetail?book_name=HINP0595_NAVAYUG_KE_DO_ADHAR_ADHYATM_AUR_VIGYAN_xx1978&amp;product_id=1160" TargetMode="External"/><Relationship Id="rId635" Type="http://schemas.openxmlformats.org/officeDocument/2006/relationships/hyperlink" Target="https://vicharkrantibooks.org/productdetail?book_name=HINP1038_YUG_NIRMAN_MISHAN_KE_PANCH_PRAMUKH_SANSTHAN_xxyyyy&amp;product_id=1603" TargetMode="External"/><Relationship Id="rId842" Type="http://schemas.openxmlformats.org/officeDocument/2006/relationships/hyperlink" Target="https://vicharkrantibooks.org/productdetail?book_name=HINP0295_GAYATRI_UPASANA_KE_CHAMATKARI_SATPARINAM_xx1979&amp;product_id=860" TargetMode="External"/><Relationship Id="rId1058" Type="http://schemas.openxmlformats.org/officeDocument/2006/relationships/hyperlink" Target="https://vicharkrantibooks.org/productdetail?book_name=HINP0194_CHINTA_RUPI_CHITA_MEIN_JALAKAR_APANI_KSHAMATAYEN_NASHT_NA_KAREN_xx1982&amp;product_id=759" TargetMode="External"/><Relationship Id="rId702" Type="http://schemas.openxmlformats.org/officeDocument/2006/relationships/hyperlink" Target="https://vicharkrantibooks.org/productdetail?book_name=HINP1117_MAHAKAL_KI_BHAVISHYAVANI_xxyyyy&amp;product_id=1682" TargetMode="External"/><Relationship Id="rId1125" Type="http://schemas.openxmlformats.org/officeDocument/2006/relationships/hyperlink" Target="https://vicharkrantibooks.org/productdetail?book_name=HINP0024_ADHYATMIK_PRAUDHATA_KA_CHINH_PARAMARTH_PARAYANATA_xx1982&amp;product_id=589" TargetMode="External"/><Relationship Id="rId69" Type="http://schemas.openxmlformats.org/officeDocument/2006/relationships/hyperlink" Target="https://vicharkrantibooks.org/productdetail?book_name=HINP1006_VRUKSHON_KA_DHARMIK_MAHATV_xxyyyy&amp;product_id=1571" TargetMode="External"/><Relationship Id="rId285" Type="http://schemas.openxmlformats.org/officeDocument/2006/relationships/hyperlink" Target="https://vicharkrantibooks.org/productdetail?product_id=3761" TargetMode="External"/><Relationship Id="rId492" Type="http://schemas.openxmlformats.org/officeDocument/2006/relationships/hyperlink" Target="https://vicharkrantibooks.org/productdetail?book_name=HINP0589_NARI_VIVEKASHIL_BANE_KURITIYAN_MITAEN_xxyyyy&amp;product_id=1154" TargetMode="External"/><Relationship Id="rId797" Type="http://schemas.openxmlformats.org/officeDocument/2006/relationships/hyperlink" Target="https://vicharkrantibooks.org/productdetail?book_name=HINP0115_AVARODHON_KE_DO_ANUDAN_SAHAS_AUR_PARAKRAM_xx1981&amp;product_id=680" TargetMode="External"/><Relationship Id="rId145" Type="http://schemas.openxmlformats.org/officeDocument/2006/relationships/hyperlink" Target="https://vicharkrantibooks.org/productdetail?book_name=HINR1429_UNASE_JO_PACHAS_KE_HO_CHALE_xx2011&amp;product_id=3114" TargetMode="External"/><Relationship Id="rId352" Type="http://schemas.openxmlformats.org/officeDocument/2006/relationships/hyperlink" Target="https://vicharkrantibooks.org/productdetail?book_name=HINP0516_MANOVIKARON_KA_SHARIR_PAR_PRABHAV_xxyyyy&amp;product_id=1081" TargetMode="External"/><Relationship Id="rId212" Type="http://schemas.openxmlformats.org/officeDocument/2006/relationships/hyperlink" Target="http://literature.awgp.org/book/sensitization_program_for_parents/v1" TargetMode="External"/><Relationship Id="rId657" Type="http://schemas.openxmlformats.org/officeDocument/2006/relationships/hyperlink" Target="https://vicharkrantibooks.org/productdetail?book_name=HINP0108_ATMOTKARSH_KA_SADHANA_MARG_xx1978&amp;product_id=673" TargetMode="External"/><Relationship Id="rId864" Type="http://schemas.openxmlformats.org/officeDocument/2006/relationships/hyperlink" Target="https://vicharkrantibooks.org/productdetail?book_name=HINP0243_DHARMATANTR_KA_DURUPAYOG_RUKE_xx2011&amp;product_id=808" TargetMode="External"/><Relationship Id="rId517" Type="http://schemas.openxmlformats.org/officeDocument/2006/relationships/hyperlink" Target="https://vicharkrantibooks.org/productdetail?book_name=HINP0056_APANA_MULYANKAN_BHI_KARATE_RAHEN_xxyyyy&amp;product_id=621" TargetMode="External"/><Relationship Id="rId724" Type="http://schemas.openxmlformats.org/officeDocument/2006/relationships/hyperlink" Target="https://vicharkrantibooks.org/productdetail?book_name=ENGR1584_REFINEMENT_OF_TALENTS_NEED_OF_THE_PRESENT_ERA_PART_1_RE2010&amp;product_id=3400" TargetMode="External"/><Relationship Id="rId931" Type="http://schemas.openxmlformats.org/officeDocument/2006/relationships/hyperlink" Target="https://vicharkrantibooks.org/productdetail?book_name=HINP0426_KARMAPHAL_KA_BHOG_ANIVARY_xxyyyy&amp;product_id=991" TargetMode="External"/><Relationship Id="rId1147" Type="http://schemas.openxmlformats.org/officeDocument/2006/relationships/hyperlink" Target="https://vicharkrantibooks.org/productdetail?book_name=HINP0911_TONA-TOTAKA_JANTAR-MANTAR_xxyyyy&amp;product_id=1476" TargetMode="External"/><Relationship Id="rId60" Type="http://schemas.openxmlformats.org/officeDocument/2006/relationships/hyperlink" Target="https://vicharkrantibooks.org/productdetail?book_name=HINP1082_UNCHA_UTHANA_HO_TO_UNCHA_HI_SOCHEN_xx1981&amp;product_id=1647" TargetMode="External"/><Relationship Id="rId1007" Type="http://schemas.openxmlformats.org/officeDocument/2006/relationships/hyperlink" Target="https://vicharkrantibooks.org/productdetail?book_name=HINP0609_PADHEN_AUR_USE_JIVAN_MEIN_UTAREN_xxyyyy&amp;product_id=1174" TargetMode="External"/><Relationship Id="rId1214" Type="http://schemas.openxmlformats.org/officeDocument/2006/relationships/hyperlink" Target="https://vicharkrantibooks.org/productdetail?book_name=HINP0045_ANITI_KE_VIRUDDH_ASAHAYOG_EVAM_VIRODH_KE_ASTRON_SE_JUJHEN_xx1981&amp;product_id=610" TargetMode="External"/><Relationship Id="rId18" Type="http://schemas.openxmlformats.org/officeDocument/2006/relationships/hyperlink" Target="https://vicharkrantibooks.org/productdetail?book_name=HINP0684_PRAUDH_MAHILA_SHIKSHA_YOJANA_2nd1976&amp;product_id=1249" TargetMode="External"/><Relationship Id="rId167" Type="http://schemas.openxmlformats.org/officeDocument/2006/relationships/hyperlink" Target="https://vicharkrantibooks.org/productdetail?book_name=HINP1001_VRUKSH_HAMARE_ADHYATMIK_PRASHIKSHAK_xxyyyy&amp;product_id=1566" TargetMode="External"/><Relationship Id="rId374" Type="http://schemas.openxmlformats.org/officeDocument/2006/relationships/hyperlink" Target="https://vicharkrantibooks.org/productdetail?book_name=GUJP0393_JIVAN_SADHANA_KARO_DEVATA_BAO_XXYYYY&amp;product_id=3780" TargetMode="External"/><Relationship Id="rId581" Type="http://schemas.openxmlformats.org/officeDocument/2006/relationships/hyperlink" Target="https://vicharkrantibooks.org/productdetail?book_name=HINP0433_KAYAKALP_xxyyyy&amp;product_id=998" TargetMode="External"/><Relationship Id="rId234" Type="http://schemas.openxmlformats.org/officeDocument/2006/relationships/hyperlink" Target="https://vicharkrantibooks.org/productdetail?book_name=HINP0777_SAMPATTI_HI_NAHIN_VIBHUTIYAN_KAMAYEN_xx1979&amp;product_id=1342" TargetMode="External"/><Relationship Id="rId679" Type="http://schemas.openxmlformats.org/officeDocument/2006/relationships/hyperlink" Target="https://vicharkrantibooks.org/productdetail?book_name=HINF0022_AHAR_PAUSHTIK_HI_NAHI_SATVIK_BHI_HO_xxyyyy&amp;product_id=242" TargetMode="External"/><Relationship Id="rId886" Type="http://schemas.openxmlformats.org/officeDocument/2006/relationships/hyperlink" Target="https://vicharkrantibooks.org/productdetail?book_name=HINP1110_KUNDALINI_JAGARAN_GAYATRI_KI_UCHCHASTARIY_TAP_SADHANA_xx1979&amp;product_id=1675" TargetMode="External"/><Relationship Id="rId2" Type="http://schemas.openxmlformats.org/officeDocument/2006/relationships/hyperlink" Target="https://vicharkrantibooks.org/productdetail?book_name=ENGB0208_MOTHER%E2%80%99S_TEACHINGS_1st2013&amp;product_id=3526" TargetMode="External"/><Relationship Id="rId441" Type="http://schemas.openxmlformats.org/officeDocument/2006/relationships/hyperlink" Target="https://vicharkrantibooks.org/productdetail?book_name=HINF0049_ATMANIRMAN_JIVAN_KA_PRATHAM_SOPAN_xxyyyy&amp;product_id=269" TargetMode="External"/><Relationship Id="rId539" Type="http://schemas.openxmlformats.org/officeDocument/2006/relationships/hyperlink" Target="https://vicharkrantibooks.org/productdetail?book_name=HINP0960_VICHAR_KRANTI_HI_EKMATR_UPACHAR_xx2011&amp;product_id=1525" TargetMode="External"/><Relationship Id="rId746" Type="http://schemas.openxmlformats.org/officeDocument/2006/relationships/hyperlink" Target="https://vicharkrantibooks.org/productdetail?book_name=HINP0392_JIVAN_SADHANA_xxyyyy&amp;product_id=957" TargetMode="External"/><Relationship Id="rId1071" Type="http://schemas.openxmlformats.org/officeDocument/2006/relationships/hyperlink" Target="https://vicharkrantibooks.org/productdetail?book_name=HINP0115_AVARODHON_KE_DO_ANUDAN_SAHAS_AUR_PARAKRAM_xx1981&amp;product_id=680" TargetMode="External"/><Relationship Id="rId1169" Type="http://schemas.openxmlformats.org/officeDocument/2006/relationships/hyperlink" Target="https://vicharkrantibooks.org/productdetail?book_name=HINP0111_ATMVIKAS_KE_CHAR_CHARAN_xx2011&amp;product_id=676" TargetMode="External"/><Relationship Id="rId301" Type="http://schemas.openxmlformats.org/officeDocument/2006/relationships/hyperlink" Target="https://vicharkrantibooks.org/productdetail?book_name=HINP0798_SANTULIT_AHAR_xxyyyy&amp;product_id=1363" TargetMode="External"/><Relationship Id="rId953" Type="http://schemas.openxmlformats.org/officeDocument/2006/relationships/hyperlink" Target="https://vicharkrantibooks.org/productdetail?book_name=HINP0221_DEVATAON_KE_VARADAN_SATPRAVRUTTIYAN_xx2011&amp;product_id=786" TargetMode="External"/><Relationship Id="rId1029" Type="http://schemas.openxmlformats.org/officeDocument/2006/relationships/hyperlink" Target="https://vicharkrantibooks.org/productdetail?book_name=HINP0075_ASHLILATA_HAMEN_PATIT_BANA_RAHI_HAI_xxyyyy&amp;product_id=640" TargetMode="External"/><Relationship Id="rId1236" Type="http://schemas.openxmlformats.org/officeDocument/2006/relationships/hyperlink" Target="https://vicharkrantibooks.org/productdetail?book_name=HINP0257_DUDH_KE_DO_VIKALP_SOYABIN_AUR_MUNGAPHALI_xx1981&amp;product_id=822" TargetMode="External"/><Relationship Id="rId82" Type="http://schemas.openxmlformats.org/officeDocument/2006/relationships/hyperlink" Target="https://vicharkrantibooks.org/productdetail?book_name=HINP0803_SANYUKT_PARIWAR_EK_SURAKSHIT_GADH_xxyyyy&amp;product_id=1368" TargetMode="External"/><Relationship Id="rId606" Type="http://schemas.openxmlformats.org/officeDocument/2006/relationships/hyperlink" Target="https://vicharkrantibooks.org/productdetail?book_name=HINP0462_MADYAPAN_ASAMAY_MRUTYU_KA_KARAN_xxyyyy&amp;product_id=1027" TargetMode="External"/><Relationship Id="rId813" Type="http://schemas.openxmlformats.org/officeDocument/2006/relationships/hyperlink" Target="https://vicharkrantibooks.org/productdetail?book_name=HINP1060_YUG_RUSHI_KI_AMAR_VANI_BHAG_2_xxyyyy&amp;product_id=16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315"/>
  <sheetViews>
    <sheetView tabSelected="1" topLeftCell="B2" workbookViewId="0">
      <selection activeCell="J11" sqref="J11"/>
    </sheetView>
  </sheetViews>
  <sheetFormatPr defaultColWidth="12.6640625" defaultRowHeight="15.75" customHeight="1" x14ac:dyDescent="0.25"/>
  <cols>
    <col min="1" max="2" width="31.6640625" customWidth="1"/>
    <col min="3" max="3" width="15.44140625" customWidth="1"/>
    <col min="4" max="4" width="44.77734375" bestFit="1" customWidth="1"/>
  </cols>
  <sheetData>
    <row r="1" spans="1:8" ht="13.2" x14ac:dyDescent="0.25">
      <c r="A1" s="1" t="str">
        <f ca="1">IFERROR(__xludf.DUMMYFUNCTION("importrange(""https://docs.google.com/spreadsheets/d/1akleC3bvWeEcnH1Pj5uWltjv3Rl6nDXxWZ818BKrICo/edit?usp=sharing"",""MasterSet"")"),"Book Name")</f>
        <v>Book Name</v>
      </c>
      <c r="B1" s="1" t="str">
        <f ca="1">IFERROR(__xludf.DUMMYFUNCTION("""COMPUTED_VALUE"""),"BookNameAndCode")</f>
        <v>BookNameAndCode</v>
      </c>
      <c r="C1" s="1" t="str">
        <f ca="1">IFERROR(__xludf.DUMMYFUNCTION("""COMPUTED_VALUE"""),"Book Size")</f>
        <v>Book Size</v>
      </c>
      <c r="D1" s="1" t="str">
        <f ca="1">IFERROR(__xludf.DUMMYFUNCTION("""COMPUTED_VALUE"""),"Main category")</f>
        <v>Main category</v>
      </c>
      <c r="E1" s="1" t="str">
        <f ca="1">IFERROR(__xludf.DUMMYFUNCTION("""COMPUTED_VALUE"""),"Sub Category")</f>
        <v>Sub Category</v>
      </c>
      <c r="F1" s="1" t="str">
        <f ca="1">IFERROR(__xludf.DUMMYFUNCTION("""COMPUTED_VALUE"""),"Shantikunj Code")</f>
        <v>Shantikunj Code</v>
      </c>
      <c r="G1" s="1" t="str">
        <f ca="1">IFERROR(__xludf.DUMMYFUNCTION("""COMPUTED_VALUE"""),"Book Link")</f>
        <v>Book Link</v>
      </c>
      <c r="H1" s="1" t="str">
        <f ca="1">IFERROR(__xludf.DUMMYFUNCTION("importrange(""https://docs.google.com/spreadsheets/d/1akleC3bvWeEcnH1Pj5uWltjv3Rl6nDXxWZ818BKrICo/edit?usp=sharing"",""Language"")"),"Language")</f>
        <v>Language</v>
      </c>
    </row>
    <row r="2" spans="1:8" ht="19.2" x14ac:dyDescent="0.45">
      <c r="A2" s="2" t="str">
        <f ca="1">IFERROR(__xludf.DUMMYFUNCTION("""COMPUTED_VALUE"""),"A Glimpse Of The Golden Future")</f>
        <v>A Glimpse Of The Golden Future</v>
      </c>
      <c r="B2" s="1" t="str">
        <f ca="1">IFERROR(__xludf.DUMMYFUNCTION("""COMPUTED_VALUE"""),"A Glimpse Of The Golden Future : EP_71")</f>
        <v>A Glimpse Of The Golden Future : EP_71</v>
      </c>
      <c r="C2" s="1" t="str">
        <f ca="1">IFERROR(__xludf.DUMMYFUNCTION("""COMPUTED_VALUE"""),"Regular")</f>
        <v>Regular</v>
      </c>
      <c r="D2" s="10" t="s">
        <v>0</v>
      </c>
      <c r="E2" s="1" t="s">
        <v>4</v>
      </c>
      <c r="F2" s="2" t="str">
        <f ca="1">IFERROR(__xludf.DUMMYFUNCTION("""COMPUTED_VALUE"""),"EP_71")</f>
        <v>EP_71</v>
      </c>
      <c r="G2" s="3" t="str">
        <f ca="1">IFERROR(__xludf.DUMMYFUNCTION("""COMPUTED_VALUE"""),"http://literature.awgp.org/book/glimpse_of_golden_future/v2")</f>
        <v>http://literature.awgp.org/book/glimpse_of_golden_future/v2</v>
      </c>
      <c r="H2" s="1" t="str">
        <f ca="1">IFERROR(__xludf.DUMMYFUNCTION("""COMPUTED_VALUE"""),"English")</f>
        <v>English</v>
      </c>
    </row>
    <row r="3" spans="1:8" ht="19.2" x14ac:dyDescent="0.45">
      <c r="A3" s="2" t="str">
        <f ca="1">IFERROR(__xludf.DUMMYFUNCTION("""COMPUTED_VALUE"""),"A Manual Of Hindu Marriage")</f>
        <v>A Manual Of Hindu Marriage</v>
      </c>
      <c r="B3" s="1" t="str">
        <f ca="1">IFERROR(__xludf.DUMMYFUNCTION("""COMPUTED_VALUE"""),"A Manual Of Hindu Marriage : EP_03")</f>
        <v>A Manual Of Hindu Marriage : EP_03</v>
      </c>
      <c r="C3" s="1" t="str">
        <f ca="1">IFERROR(__xludf.DUMMYFUNCTION("""COMPUTED_VALUE"""),"Regular")</f>
        <v>Regular</v>
      </c>
      <c r="D3" s="10" t="s">
        <v>1</v>
      </c>
      <c r="E3" s="1" t="s">
        <v>1</v>
      </c>
      <c r="F3" s="2" t="str">
        <f ca="1">IFERROR(__xludf.DUMMYFUNCTION("""COMPUTED_VALUE"""),"EP_03")</f>
        <v>EP_03</v>
      </c>
      <c r="G3" s="3" t="str">
        <f ca="1">IFERROR(__xludf.DUMMYFUNCTION("""COMPUTED_VALUE"""),"http://literature.awgp.org/book/a_manual_of_hindu_marriage/v1")</f>
        <v>http://literature.awgp.org/book/a_manual_of_hindu_marriage/v1</v>
      </c>
      <c r="H3" s="1" t="str">
        <f ca="1">IFERROR(__xludf.DUMMYFUNCTION("""COMPUTED_VALUE"""),"English")</f>
        <v>English</v>
      </c>
    </row>
    <row r="4" spans="1:8" ht="19.2" x14ac:dyDescent="0.45">
      <c r="A4" s="2" t="str">
        <f ca="1">IFERROR(__xludf.DUMMYFUNCTION("""COMPUTED_VALUE"""),"Applied Science Of Yagya For Health And Environment")</f>
        <v>Applied Science Of Yagya For Health And Environment</v>
      </c>
      <c r="B4" s="1" t="str">
        <f ca="1">IFERROR(__xludf.DUMMYFUNCTION("""COMPUTED_VALUE"""),"Applied Science Of Yagya For Health And Environment : EP_92")</f>
        <v>Applied Science Of Yagya For Health And Environment : EP_92</v>
      </c>
      <c r="C4" s="1" t="str">
        <f ca="1">IFERROR(__xludf.DUMMYFUNCTION("""COMPUTED_VALUE"""),"Regular")</f>
        <v>Regular</v>
      </c>
      <c r="D4" s="10" t="s">
        <v>3</v>
      </c>
      <c r="E4" s="1" t="s">
        <v>3</v>
      </c>
      <c r="F4" s="2" t="str">
        <f ca="1">IFERROR(__xludf.DUMMYFUNCTION("""COMPUTED_VALUE"""),"EP_92")</f>
        <v>EP_92</v>
      </c>
      <c r="G4" s="3" t="str">
        <f ca="1">IFERROR(__xludf.DUMMYFUNCTION("""COMPUTED_VALUE"""),"https://vicharkrantibooks.org/productdetail?book_name=ENGRE092_APPLIED_SCIENCE_OF_YAGYA_FOR_HEALTH_AND_ENVIRONMENT_RE2011&amp;product_id=3484")</f>
        <v>https://vicharkrantibooks.org/productdetail?book_name=ENGRE092_APPLIED_SCIENCE_OF_YAGYA_FOR_HEALTH_AND_ENVIRONMENT_RE2011&amp;product_id=3484</v>
      </c>
      <c r="H4" s="1" t="str">
        <f ca="1">IFERROR(__xludf.DUMMYFUNCTION("""COMPUTED_VALUE"""),"English")</f>
        <v>English</v>
      </c>
    </row>
    <row r="5" spans="1:8" ht="19.2" x14ac:dyDescent="0.45">
      <c r="A5" s="1" t="str">
        <f ca="1">IFERROR(__xludf.DUMMYFUNCTION("""COMPUTED_VALUE"""),"Assign Your Goals In Student Life")</f>
        <v>Assign Your Goals In Student Life</v>
      </c>
      <c r="B5" s="1" t="str">
        <f ca="1">IFERROR(__xludf.DUMMYFUNCTION("""COMPUTED_VALUE"""),"Assign Your Goals In Student Life : EP_122")</f>
        <v>Assign Your Goals In Student Life : EP_122</v>
      </c>
      <c r="C5" s="1" t="str">
        <f ca="1">IFERROR(__xludf.DUMMYFUNCTION("""COMPUTED_VALUE"""),"Pocket")</f>
        <v>Pocket</v>
      </c>
      <c r="D5" s="10" t="s">
        <v>2</v>
      </c>
      <c r="E5" s="1" t="s">
        <v>2</v>
      </c>
      <c r="F5" s="1" t="str">
        <f ca="1">IFERROR(__xludf.DUMMYFUNCTION("""COMPUTED_VALUE"""),"EP_122")</f>
        <v>EP_122</v>
      </c>
      <c r="G5" s="3" t="str">
        <f ca="1">IFERROR(__xludf.DUMMYFUNCTION("""COMPUTED_VALUE"""),"https://vicharkrantibooks.org/productdetail?book_name=ENGP0968_ASSIGN_YOUR_GOALS_IN_STUDENT_LIFE_xxyyyy&amp;product_id=3507")</f>
        <v>https://vicharkrantibooks.org/productdetail?book_name=ENGP0968_ASSIGN_YOUR_GOALS_IN_STUDENT_LIFE_xxyyyy&amp;product_id=3507</v>
      </c>
      <c r="H5" s="1" t="str">
        <f ca="1">IFERROR(__xludf.DUMMYFUNCTION("""COMPUTED_VALUE"""),"English")</f>
        <v>English</v>
      </c>
    </row>
    <row r="6" spans="1:8" ht="19.2" x14ac:dyDescent="0.45">
      <c r="A6" s="2" t="str">
        <f ca="1">IFERROR(__xludf.DUMMYFUNCTION("""COMPUTED_VALUE"""),"Astonishing Power Of Biophysical And Subtle Energies Of The Human Body (New)")</f>
        <v>Astonishing Power Of Biophysical And Subtle Energies Of The Human Body (New)</v>
      </c>
      <c r="B6" s="1" t="str">
        <f ca="1">IFERROR(__xludf.DUMMYFUNCTION("""COMPUTED_VALUE"""),"Astonishing Power Of Biophysical And Subtle Energies Of The Human Body (New) : EP_04")</f>
        <v>Astonishing Power Of Biophysical And Subtle Energies Of The Human Body (New) : EP_04</v>
      </c>
      <c r="C6" s="1" t="str">
        <f ca="1">IFERROR(__xludf.DUMMYFUNCTION("""COMPUTED_VALUE"""),"Regular")</f>
        <v>Regular</v>
      </c>
      <c r="D6" s="10" t="s">
        <v>3</v>
      </c>
      <c r="E6" s="1" t="s">
        <v>3</v>
      </c>
      <c r="F6" s="2" t="str">
        <f ca="1">IFERROR(__xludf.DUMMYFUNCTION("""COMPUTED_VALUE"""),"EP_04")</f>
        <v>EP_04</v>
      </c>
      <c r="G6" s="3" t="str">
        <f ca="1">IFERROR(__xludf.DUMMYFUNCTION("""COMPUTED_VALUE"""),"http://literature.awgp.org/book/astonishing_power_of_physical_subtle_energy_of_human/v1")</f>
        <v>http://literature.awgp.org/book/astonishing_power_of_physical_subtle_energy_of_human/v1</v>
      </c>
      <c r="H6" s="1" t="str">
        <f ca="1">IFERROR(__xludf.DUMMYFUNCTION("""COMPUTED_VALUE"""),"English")</f>
        <v>English</v>
      </c>
    </row>
    <row r="7" spans="1:8" ht="19.2" x14ac:dyDescent="0.45">
      <c r="A7" s="2" t="str">
        <f ca="1">IFERROR(__xludf.DUMMYFUNCTION("""COMPUTED_VALUE"""),"Awake O'Talented And Come ForwardBook in English")</f>
        <v>Awake O'Talented And Come ForwardBook in English</v>
      </c>
      <c r="B7" s="1" t="str">
        <f ca="1">IFERROR(__xludf.DUMMYFUNCTION("""COMPUTED_VALUE"""),"Awake O'Talented And Come ForwardBook in English : EP_43")</f>
        <v>Awake O'Talented And Come ForwardBook in English : EP_43</v>
      </c>
      <c r="C7" s="1" t="str">
        <f ca="1">IFERROR(__xludf.DUMMYFUNCTION("""COMPUTED_VALUE"""),"Regular")</f>
        <v>Regular</v>
      </c>
      <c r="D7" s="10" t="s">
        <v>4</v>
      </c>
      <c r="E7" s="1" t="s">
        <v>4</v>
      </c>
      <c r="F7" s="2" t="str">
        <f ca="1">IFERROR(__xludf.DUMMYFUNCTION("""COMPUTED_VALUE"""),"EP_43")</f>
        <v>EP_43</v>
      </c>
      <c r="G7" s="3" t="str">
        <f ca="1">IFERROR(__xludf.DUMMYFUNCTION("""COMPUTED_VALUE"""),"https://vicharkrantibooks.org/productdetail?book_name=ENGRE043_AWAKE_O%27TALENTED_AND_COME_FORWARD_RE2012&amp;product_id=3436")</f>
        <v>https://vicharkrantibooks.org/productdetail?book_name=ENGRE043_AWAKE_O%27TALENTED_AND_COME_FORWARD_RE2012&amp;product_id=3436</v>
      </c>
      <c r="H7" s="1" t="str">
        <f ca="1">IFERROR(__xludf.DUMMYFUNCTION("""COMPUTED_VALUE"""),"English")</f>
        <v>English</v>
      </c>
    </row>
    <row r="8" spans="1:8" ht="13.2" x14ac:dyDescent="0.25">
      <c r="A8" s="2" t="str">
        <f ca="1">IFERROR(__xludf.DUMMYFUNCTION("""COMPUTED_VALUE"""),"Be Good")</f>
        <v>Be Good</v>
      </c>
      <c r="B8" s="1" t="str">
        <f ca="1">IFERROR(__xludf.DUMMYFUNCTION("""COMPUTED_VALUE"""),"Be Good : EPB_134")</f>
        <v>Be Good : EPB_134</v>
      </c>
      <c r="C8" s="1" t="str">
        <f ca="1">IFERROR(__xludf.DUMMYFUNCTION("""COMPUTED_VALUE"""),"Big")</f>
        <v>Big</v>
      </c>
      <c r="D8" s="11" t="s">
        <v>1</v>
      </c>
      <c r="E8" s="1" t="s">
        <v>1</v>
      </c>
      <c r="F8" s="2" t="str">
        <f ca="1">IFERROR(__xludf.DUMMYFUNCTION("""COMPUTED_VALUE"""),"EPB_134")</f>
        <v>EPB_134</v>
      </c>
      <c r="G8" s="3" t="str">
        <f ca="1">IFERROR(__xludf.DUMMYFUNCTION("""COMPUTED_VALUE"""),"https://vicharkrantibooks.org/productdetail?book_name=ENGB0206_BE_GOOD_1st2013&amp;product_id=3519")</f>
        <v>https://vicharkrantibooks.org/productdetail?book_name=ENGB0206_BE_GOOD_1st2013&amp;product_id=3519</v>
      </c>
      <c r="H8" s="1" t="str">
        <f ca="1">IFERROR(__xludf.DUMMYFUNCTION("""COMPUTED_VALUE"""),"English")</f>
        <v>English</v>
      </c>
    </row>
    <row r="9" spans="1:8" ht="19.2" x14ac:dyDescent="0.45">
      <c r="A9" s="2" t="str">
        <f ca="1">IFERROR(__xludf.DUMMYFUNCTION("""COMPUTED_VALUE"""),"Be Saved From Mental Tension")</f>
        <v>Be Saved From Mental Tension</v>
      </c>
      <c r="B9" s="1" t="str">
        <f ca="1">IFERROR(__xludf.DUMMYFUNCTION("""COMPUTED_VALUE"""),"Be Saved From Mental Tension : EP_60")</f>
        <v>Be Saved From Mental Tension : EP_60</v>
      </c>
      <c r="C9" s="1" t="str">
        <f ca="1">IFERROR(__xludf.DUMMYFUNCTION("""COMPUTED_VALUE"""),"Pocket")</f>
        <v>Pocket</v>
      </c>
      <c r="D9" s="10" t="s">
        <v>5</v>
      </c>
      <c r="E9" s="1" t="s">
        <v>5</v>
      </c>
      <c r="F9" s="1" t="str">
        <f ca="1">IFERROR(__xludf.DUMMYFUNCTION("""COMPUTED_VALUE"""),"EP_60")</f>
        <v>EP_60</v>
      </c>
      <c r="G9" s="3" t="str">
        <f ca="1">IFERROR(__xludf.DUMMYFUNCTION("""COMPUTED_VALUE"""),"https://vicharkrantibooks.org/productdetail?book_name=ENGP0498_BE_SAVED_FROM_MENTAL_TENSION_xxyyyy&amp;product_id=3452")</f>
        <v>https://vicharkrantibooks.org/productdetail?book_name=ENGP0498_BE_SAVED_FROM_MENTAL_TENSION_xxyyyy&amp;product_id=3452</v>
      </c>
      <c r="H9" s="1" t="str">
        <f ca="1">IFERROR(__xludf.DUMMYFUNCTION("""COMPUTED_VALUE"""),"English")</f>
        <v>English</v>
      </c>
    </row>
    <row r="10" spans="1:8" ht="19.2" x14ac:dyDescent="0.45">
      <c r="A10" s="2" t="str">
        <f ca="1">IFERROR(__xludf.DUMMYFUNCTION("""COMPUTED_VALUE"""),"Bhagwan Buddha")</f>
        <v>Bhagwan Buddha</v>
      </c>
      <c r="B10" s="1" t="str">
        <f ca="1">IFERROR(__xludf.DUMMYFUNCTION("""COMPUTED_VALUE"""),"Bhagwan Buddha : EPB_139")</f>
        <v>Bhagwan Buddha : EPB_139</v>
      </c>
      <c r="C10" s="1" t="str">
        <f ca="1">IFERROR(__xludf.DUMMYFUNCTION("""COMPUTED_VALUE"""),"Big")</f>
        <v>Big</v>
      </c>
      <c r="D10" s="10" t="s">
        <v>1</v>
      </c>
      <c r="E10" s="1" t="s">
        <v>1</v>
      </c>
      <c r="F10" s="2" t="str">
        <f ca="1">IFERROR(__xludf.DUMMYFUNCTION("""COMPUTED_VALUE"""),"EPB_139")</f>
        <v>EPB_139</v>
      </c>
      <c r="G10" s="3" t="str">
        <f ca="1">IFERROR(__xludf.DUMMYFUNCTION("""COMPUTED_VALUE"""),"https://vicharkrantibooks.org/productdetail?book_name=ENGB0204_BHAGWAN_BUDDHA_1st2013&amp;product_id=3524")</f>
        <v>https://vicharkrantibooks.org/productdetail?book_name=ENGB0204_BHAGWAN_BUDDHA_1st2013&amp;product_id=3524</v>
      </c>
      <c r="H10" s="1" t="str">
        <f ca="1">IFERROR(__xludf.DUMMYFUNCTION("""COMPUTED_VALUE"""),"English")</f>
        <v>English</v>
      </c>
    </row>
    <row r="11" spans="1:8" ht="19.2" x14ac:dyDescent="0.45">
      <c r="A11" s="2" t="str">
        <f ca="1">IFERROR(__xludf.DUMMYFUNCTION("""COMPUTED_VALUE"""),"Change Of Thoughts Changes The Era")</f>
        <v>Change Of Thoughts Changes The Era</v>
      </c>
      <c r="B11" s="1" t="str">
        <f ca="1">IFERROR(__xludf.DUMMYFUNCTION("""COMPUTED_VALUE"""),"Change Of Thoughts Changes The Era : EP_94")</f>
        <v>Change Of Thoughts Changes The Era : EP_94</v>
      </c>
      <c r="C11" s="1" t="str">
        <f ca="1">IFERROR(__xludf.DUMMYFUNCTION("""COMPUTED_VALUE"""),"Pocket")</f>
        <v>Pocket</v>
      </c>
      <c r="D11" s="10" t="s">
        <v>4</v>
      </c>
      <c r="E11" s="1" t="s">
        <v>4</v>
      </c>
      <c r="F11" s="1" t="str">
        <f ca="1">IFERROR(__xludf.DUMMYFUNCTION("""COMPUTED_VALUE"""),"EP_94")</f>
        <v>EP_94</v>
      </c>
      <c r="G11" s="3" t="str">
        <f ca="1">IFERROR(__xludf.DUMMYFUNCTION("""COMPUTED_VALUE"""),"https://vicharkrantibooks.org/productdetail?book_name=ENGP0957_CHANGE_OF_THOUGHTS_CHANGES_THE_ERA_xxyyyy&amp;product_id=3486")</f>
        <v>https://vicharkrantibooks.org/productdetail?book_name=ENGP0957_CHANGE_OF_THOUGHTS_CHANGES_THE_ERA_xxyyyy&amp;product_id=3486</v>
      </c>
      <c r="H11" s="1" t="str">
        <f ca="1">IFERROR(__xludf.DUMMYFUNCTION("""COMPUTED_VALUE"""),"English")</f>
        <v>English</v>
      </c>
    </row>
    <row r="12" spans="1:8" ht="19.2" x14ac:dyDescent="0.45">
      <c r="A12" s="2" t="str">
        <f ca="1">IFERROR(__xludf.DUMMYFUNCTION("""COMPUTED_VALUE"""),"Contribution Of India To Global Cultural (New)")</f>
        <v>Contribution Of India To Global Cultural (New)</v>
      </c>
      <c r="B12" s="1" t="str">
        <f ca="1">IFERROR(__xludf.DUMMYFUNCTION("""COMPUTED_VALUE"""),"Contribution Of India To Global Cultural (New) : EP_112")</f>
        <v>Contribution Of India To Global Cultural (New) : EP_112</v>
      </c>
      <c r="C12" s="1" t="str">
        <f ca="1">IFERROR(__xludf.DUMMYFUNCTION("""COMPUTED_VALUE"""),"Regular")</f>
        <v>Regular</v>
      </c>
      <c r="D12" s="10" t="s">
        <v>6</v>
      </c>
      <c r="E12" s="1" t="s">
        <v>6</v>
      </c>
      <c r="F12" s="2" t="str">
        <f ca="1">IFERROR(__xludf.DUMMYFUNCTION("""COMPUTED_VALUE"""),"EP_112")</f>
        <v>EP_112</v>
      </c>
      <c r="G12" s="3" t="str">
        <f ca="1">IFERROR(__xludf.DUMMYFUNCTION("""COMPUTED_VALUE"""),"https://vicharkrantibooks.org/productdetail?product_id=3497")</f>
        <v>https://vicharkrantibooks.org/productdetail?product_id=3497</v>
      </c>
      <c r="H12" s="1" t="str">
        <f ca="1">IFERROR(__xludf.DUMMYFUNCTION("""COMPUTED_VALUE"""),"English")</f>
        <v>English</v>
      </c>
    </row>
    <row r="13" spans="1:8" ht="19.2" x14ac:dyDescent="0.45">
      <c r="A13" s="2" t="str">
        <f ca="1">IFERROR(__xludf.DUMMYFUNCTION("""COMPUTED_VALUE"""),"Deep Yagya Yug Yagya Paddhti")</f>
        <v>Deep Yagya Yug Yagya Paddhti</v>
      </c>
      <c r="B13" s="1" t="str">
        <f ca="1">IFERROR(__xludf.DUMMYFUNCTION("""COMPUTED_VALUE"""),"Deep Yagya Yug Yagya Paddhti : EP_02")</f>
        <v>Deep Yagya Yug Yagya Paddhti : EP_02</v>
      </c>
      <c r="C13" s="1" t="str">
        <f ca="1">IFERROR(__xludf.DUMMYFUNCTION("""COMPUTED_VALUE"""),"Regular")</f>
        <v>Regular</v>
      </c>
      <c r="D13" s="10" t="s">
        <v>7</v>
      </c>
      <c r="E13" s="1" t="s">
        <v>7</v>
      </c>
      <c r="F13" s="2" t="str">
        <f ca="1">IFERROR(__xludf.DUMMYFUNCTION("""COMPUTED_VALUE"""),"EP_02")</f>
        <v>EP_02</v>
      </c>
      <c r="G13" s="3" t="str">
        <f ca="1">IFERROR(__xludf.DUMMYFUNCTION("""COMPUTED_VALUE"""),"http://literature.awgp.org/book/deep_yagya/v1")</f>
        <v>http://literature.awgp.org/book/deep_yagya/v1</v>
      </c>
      <c r="H13" s="1" t="str">
        <f ca="1">IFERROR(__xludf.DUMMYFUNCTION("""COMPUTED_VALUE"""),"English")</f>
        <v>English</v>
      </c>
    </row>
    <row r="14" spans="1:8" ht="19.2" x14ac:dyDescent="0.45">
      <c r="A14" s="1" t="str">
        <f ca="1">IFERROR(__xludf.DUMMYFUNCTION("""COMPUTED_VALUE"""),"Determination Paves The Way To Success")</f>
        <v>Determination Paves The Way To Success</v>
      </c>
      <c r="B14" s="1" t="str">
        <f ca="1">IFERROR(__xludf.DUMMYFUNCTION("""COMPUTED_VALUE"""),"Determination Paves The Way To Success : EP_123")</f>
        <v>Determination Paves The Way To Success : EP_123</v>
      </c>
      <c r="C14" s="1" t="str">
        <f ca="1">IFERROR(__xludf.DUMMYFUNCTION("""COMPUTED_VALUE"""),"Pocket")</f>
        <v>Pocket</v>
      </c>
      <c r="D14" s="10" t="s">
        <v>2</v>
      </c>
      <c r="E14" s="1" t="s">
        <v>2</v>
      </c>
      <c r="F14" s="1" t="str">
        <f ca="1">IFERROR(__xludf.DUMMYFUNCTION("""COMPUTED_VALUE"""),"EP_123")</f>
        <v>EP_123</v>
      </c>
      <c r="G14" s="3" t="str">
        <f ca="1">IFERROR(__xludf.DUMMYFUNCTION("""COMPUTED_VALUE"""),"https://vicharkrantibooks.org/productdetail?book_name=ENGP0810_DETERMINATION_PAVES_THE_WAY_TO_SUCCESS_xxyyyy&amp;product_id=3508")</f>
        <v>https://vicharkrantibooks.org/productdetail?book_name=ENGP0810_DETERMINATION_PAVES_THE_WAY_TO_SUCCESS_xxyyyy&amp;product_id=3508</v>
      </c>
      <c r="H14" s="1" t="str">
        <f ca="1">IFERROR(__xludf.DUMMYFUNCTION("""COMPUTED_VALUE"""),"English")</f>
        <v>English</v>
      </c>
    </row>
    <row r="15" spans="1:8" ht="19.2" x14ac:dyDescent="0.45">
      <c r="A15" s="2" t="str">
        <f ca="1">IFERROR(__xludf.DUMMYFUNCTION("""COMPUTED_VALUE"""),"Diagnose Cure And Empower Your Self By Current Of Breath")</f>
        <v>Diagnose Cure And Empower Your Self By Current Of Breath</v>
      </c>
      <c r="B15" s="1" t="str">
        <f ca="1">IFERROR(__xludf.DUMMYFUNCTION("""COMPUTED_VALUE"""),"Diagnose Cure And Empower Your Self By Current Of Breath : EP_67")</f>
        <v>Diagnose Cure And Empower Your Self By Current Of Breath : EP_67</v>
      </c>
      <c r="C15" s="1" t="str">
        <f ca="1">IFERROR(__xludf.DUMMYFUNCTION("""COMPUTED_VALUE"""),"Pocket")</f>
        <v>Pocket</v>
      </c>
      <c r="D15" s="10" t="s">
        <v>5</v>
      </c>
      <c r="E15" s="1" t="s">
        <v>5</v>
      </c>
      <c r="F15" s="1" t="str">
        <f ca="1">IFERROR(__xludf.DUMMYFUNCTION("""COMPUTED_VALUE"""),"EP_67")</f>
        <v>EP_67</v>
      </c>
      <c r="G15" s="3" t="str">
        <f ca="1">IFERROR(__xludf.DUMMYFUNCTION("""COMPUTED_VALUE"""),"https://vicharkrantibooks.org/productdetail?book_name=ENGR1378_DIAGNOSE_CURE_AND_EMPOWER_YOUR_SELF_BY_CURRENT_OF_BREATH_RE2011&amp;product_id=3457")</f>
        <v>https://vicharkrantibooks.org/productdetail?book_name=ENGR1378_DIAGNOSE_CURE_AND_EMPOWER_YOUR_SELF_BY_CURRENT_OF_BREATH_RE2011&amp;product_id=3457</v>
      </c>
      <c r="H15" s="1" t="str">
        <f ca="1">IFERROR(__xludf.DUMMYFUNCTION("""COMPUTED_VALUE"""),"English")</f>
        <v>English</v>
      </c>
    </row>
    <row r="16" spans="1:8" ht="19.2" x14ac:dyDescent="0.45">
      <c r="A16" s="2" t="str">
        <f ca="1">IFERROR(__xludf.DUMMYFUNCTION("""COMPUTED_VALUE"""),"Dignity Of Organisational Skill")</f>
        <v>Dignity Of Organisational Skill</v>
      </c>
      <c r="B16" s="1" t="str">
        <f ca="1">IFERROR(__xludf.DUMMYFUNCTION("""COMPUTED_VALUE"""),"Dignity Of Organisational Skill : EP_17")</f>
        <v>Dignity Of Organisational Skill : EP_17</v>
      </c>
      <c r="C16" s="1" t="str">
        <f ca="1">IFERROR(__xludf.DUMMYFUNCTION("""COMPUTED_VALUE"""),"Regular")</f>
        <v>Regular</v>
      </c>
      <c r="D16" s="10" t="s">
        <v>8</v>
      </c>
      <c r="E16" s="1" t="s">
        <v>8</v>
      </c>
      <c r="F16" s="2" t="str">
        <f ca="1">IFERROR(__xludf.DUMMYFUNCTION("""COMPUTED_VALUE"""),"EP_17")</f>
        <v>EP_17</v>
      </c>
      <c r="G16" s="3" t="str">
        <f ca="1">IFERROR(__xludf.DUMMYFUNCTION("""COMPUTED_VALUE"""),"http://literature.awgp.org/book/vyavastha_buddhi_ki_garima/v2")</f>
        <v>http://literature.awgp.org/book/vyavastha_buddhi_ki_garima/v2</v>
      </c>
      <c r="H16" s="1" t="str">
        <f ca="1">IFERROR(__xludf.DUMMYFUNCTION("""COMPUTED_VALUE"""),"English")</f>
        <v>English</v>
      </c>
    </row>
    <row r="17" spans="1:8" ht="19.2" x14ac:dyDescent="0.45">
      <c r="A17" s="2" t="str">
        <f ca="1">IFERROR(__xludf.DUMMYFUNCTION("""COMPUTED_VALUE"""),"Divine Message Of The Veds")</f>
        <v>Divine Message Of The Veds</v>
      </c>
      <c r="B17" s="1" t="str">
        <f ca="1">IFERROR(__xludf.DUMMYFUNCTION("""COMPUTED_VALUE"""),"Divine Message Of The Veds : EP_53")</f>
        <v>Divine Message Of The Veds : EP_53</v>
      </c>
      <c r="C17" s="1" t="str">
        <f ca="1">IFERROR(__xludf.DUMMYFUNCTION("""COMPUTED_VALUE"""),"Regular")</f>
        <v>Regular</v>
      </c>
      <c r="D17" s="10" t="s">
        <v>9</v>
      </c>
      <c r="E17" s="1" t="s">
        <v>9</v>
      </c>
      <c r="F17" s="2" t="str">
        <f ca="1">IFERROR(__xludf.DUMMYFUNCTION("""COMPUTED_VALUE"""),"EP_53")</f>
        <v>EP_53</v>
      </c>
      <c r="G17" s="3" t="str">
        <f ca="1">IFERROR(__xludf.DUMMYFUNCTION("""COMPUTED_VALUE"""),"https://vicharkrantibooks.org/productdetail?product_id=3446")</f>
        <v>https://vicharkrantibooks.org/productdetail?product_id=3446</v>
      </c>
      <c r="H17" s="1" t="str">
        <f ca="1">IFERROR(__xludf.DUMMYFUNCTION("""COMPUTED_VALUE"""),"English")</f>
        <v>English</v>
      </c>
    </row>
    <row r="18" spans="1:8" ht="19.2" x14ac:dyDescent="0.45">
      <c r="A18" s="2" t="str">
        <f ca="1">IFERROR(__xludf.DUMMYFUNCTION("""COMPUTED_VALUE"""),"Don’T Be Trapped By The Evils Of Modernisation")</f>
        <v>Don’T Be Trapped By The Evils Of Modernisation</v>
      </c>
      <c r="B18" s="1" t="str">
        <f ca="1">IFERROR(__xludf.DUMMYFUNCTION("""COMPUTED_VALUE"""),"Don’T Be Trapped By The Evils Of Modernisation : EP_118")</f>
        <v>Don’T Be Trapped By The Evils Of Modernisation : EP_118</v>
      </c>
      <c r="C18" s="1" t="str">
        <f ca="1">IFERROR(__xludf.DUMMYFUNCTION("""COMPUTED_VALUE"""),"Pocket")</f>
        <v>Pocket</v>
      </c>
      <c r="D18" s="10" t="s">
        <v>10</v>
      </c>
      <c r="E18" s="1" t="s">
        <v>10</v>
      </c>
      <c r="F18" s="1" t="str">
        <f ca="1">IFERROR(__xludf.DUMMYFUNCTION("""COMPUTED_VALUE"""),"EP_118")</f>
        <v>EP_118</v>
      </c>
      <c r="G18" s="3" t="str">
        <f ca="1">IFERROR(__xludf.DUMMYFUNCTION("""COMPUTED_VALUE"""),"https://vicharkrantibooks.org/productdetail?book_name=ENGP0009_DON%E2%80%99T_BE_TRAPPED_BY_THE_EVILS_OF_MODERNISATION_xxyyyy&amp;product_id=3503")</f>
        <v>https://vicharkrantibooks.org/productdetail?book_name=ENGP0009_DON%E2%80%99T_BE_TRAPPED_BY_THE_EVILS_OF_MODERNISATION_xxyyyy&amp;product_id=3503</v>
      </c>
      <c r="H18" s="1" t="str">
        <f ca="1">IFERROR(__xludf.DUMMYFUNCTION("""COMPUTED_VALUE"""),"English")</f>
        <v>English</v>
      </c>
    </row>
    <row r="19" spans="1:8" ht="19.2" x14ac:dyDescent="0.45">
      <c r="A19" s="1" t="str">
        <f ca="1">IFERROR(__xludf.DUMMYFUNCTION("""COMPUTED_VALUE"""),"Don’T Scare But Fight The Adversities")</f>
        <v>Don’T Scare But Fight The Adversities</v>
      </c>
      <c r="B19" s="1" t="str">
        <f ca="1">IFERROR(__xludf.DUMMYFUNCTION("""COMPUTED_VALUE"""),"Don’T Scare But Fight The Adversities : EP_129")</f>
        <v>Don’T Scare But Fight The Adversities : EP_129</v>
      </c>
      <c r="C19" s="1" t="str">
        <f ca="1">IFERROR(__xludf.DUMMYFUNCTION("""COMPUTED_VALUE"""),"Pocket")</f>
        <v>Pocket</v>
      </c>
      <c r="D19" s="10" t="s">
        <v>2</v>
      </c>
      <c r="E19" s="1" t="s">
        <v>2</v>
      </c>
      <c r="F19" s="1" t="str">
        <f ca="1">IFERROR(__xludf.DUMMYFUNCTION("""COMPUTED_VALUE"""),"EP_129")</f>
        <v>EP_129</v>
      </c>
      <c r="G19" s="3" t="str">
        <f ca="1">IFERROR(__xludf.DUMMYFUNCTION("""COMPUTED_VALUE"""),"https://vicharkrantibooks.org/productdetail?book_name=ENGP0981_DON%E2%80%99T_SCARE_BUT_FIGHT_THE_ADVERSITIES_xxyyyy&amp;product_id=3514")</f>
        <v>https://vicharkrantibooks.org/productdetail?book_name=ENGP0981_DON%E2%80%99T_SCARE_BUT_FIGHT_THE_ADVERSITIES_xxyyyy&amp;product_id=3514</v>
      </c>
      <c r="H19" s="1" t="str">
        <f ca="1">IFERROR(__xludf.DUMMYFUNCTION("""COMPUTED_VALUE"""),"English")</f>
        <v>English</v>
      </c>
    </row>
    <row r="20" spans="1:8" ht="19.2" x14ac:dyDescent="0.45">
      <c r="A20" s="2" t="str">
        <f ca="1">IFERROR(__xludf.DUMMYFUNCTION("""COMPUTED_VALUE"""),"Donation Of Time The Supreme Charity")</f>
        <v>Donation Of Time The Supreme Charity</v>
      </c>
      <c r="B20" s="1" t="str">
        <f ca="1">IFERROR(__xludf.DUMMYFUNCTION("""COMPUTED_VALUE"""),"Donation Of Time The Supreme Charity : EP_18")</f>
        <v>Donation Of Time The Supreme Charity : EP_18</v>
      </c>
      <c r="C20" s="1" t="str">
        <f ca="1">IFERROR(__xludf.DUMMYFUNCTION("""COMPUTED_VALUE"""),"Regular")</f>
        <v>Regular</v>
      </c>
      <c r="D20" s="10" t="s">
        <v>10</v>
      </c>
      <c r="E20" s="1" t="s">
        <v>10</v>
      </c>
      <c r="F20" s="2" t="str">
        <f ca="1">IFERROR(__xludf.DUMMYFUNCTION("""COMPUTED_VALUE"""),"EP_18")</f>
        <v>EP_18</v>
      </c>
      <c r="G20" s="3" t="str">
        <f ca="1">IFERROR(__xludf.DUMMYFUNCTION("""COMPUTED_VALUE"""),"https://vicharkrantibooks.org/productdetail?book_name=ENGR1152_DONATION_OF_TIME_THE_SUPREME_CHARITY_RE2011&amp;product_id=3411")</f>
        <v>https://vicharkrantibooks.org/productdetail?book_name=ENGR1152_DONATION_OF_TIME_THE_SUPREME_CHARITY_RE2011&amp;product_id=3411</v>
      </c>
      <c r="H20" s="1" t="str">
        <f ca="1">IFERROR(__xludf.DUMMYFUNCTION("""COMPUTED_VALUE"""),"English")</f>
        <v>English</v>
      </c>
    </row>
    <row r="21" spans="1:8" ht="19.2" x14ac:dyDescent="0.45">
      <c r="A21" s="2" t="str">
        <f ca="1">IFERROR(__xludf.DUMMYFUNCTION("""COMPUTED_VALUE"""),"Drops Of Nectar")</f>
        <v>Drops Of Nectar</v>
      </c>
      <c r="B21" s="1" t="str">
        <f ca="1">IFERROR(__xludf.DUMMYFUNCTION("""COMPUTED_VALUE"""),"Drops Of Nectar : EPB_138")</f>
        <v>Drops Of Nectar : EPB_138</v>
      </c>
      <c r="C21" s="1" t="str">
        <f ca="1">IFERROR(__xludf.DUMMYFUNCTION("""COMPUTED_VALUE"""),"Big")</f>
        <v>Big</v>
      </c>
      <c r="D21" s="10" t="s">
        <v>1</v>
      </c>
      <c r="E21" s="1" t="s">
        <v>1</v>
      </c>
      <c r="F21" s="2" t="str">
        <f ca="1">IFERROR(__xludf.DUMMYFUNCTION("""COMPUTED_VALUE"""),"EPB_138")</f>
        <v>EPB_138</v>
      </c>
      <c r="G21" s="3" t="str">
        <f ca="1">IFERROR(__xludf.DUMMYFUNCTION("""COMPUTED_VALUE"""),"https://vicharkrantibooks.org/productdetail?book_name=ENGB0203_DROPS_OF_NECTAR_1st2013&amp;product_id=3523")</f>
        <v>https://vicharkrantibooks.org/productdetail?book_name=ENGB0203_DROPS_OF_NECTAR_1st2013&amp;product_id=3523</v>
      </c>
      <c r="H21" s="1" t="str">
        <f ca="1">IFERROR(__xludf.DUMMYFUNCTION("""COMPUTED_VALUE"""),"English")</f>
        <v>English</v>
      </c>
    </row>
    <row r="22" spans="1:8" ht="19.2" x14ac:dyDescent="0.45">
      <c r="A22" s="2" t="str">
        <f ca="1">IFERROR(__xludf.DUMMYFUNCTION("""COMPUTED_VALUE"""),"Elite Should Come Forward To Manage The religious Set up")</f>
        <v>Elite Should Come Forward To Manage The religious Set up</v>
      </c>
      <c r="B22" s="1" t="str">
        <f ca="1">IFERROR(__xludf.DUMMYFUNCTION("""COMPUTED_VALUE"""),"Elite Should Come Forward To Manage The religious Set up : EP_09")</f>
        <v>Elite Should Come Forward To Manage The religious Set up : EP_09</v>
      </c>
      <c r="C22" s="1" t="str">
        <f ca="1">IFERROR(__xludf.DUMMYFUNCTION("""COMPUTED_VALUE"""),"Regular")</f>
        <v>Regular</v>
      </c>
      <c r="D22" s="10" t="s">
        <v>10</v>
      </c>
      <c r="E22" s="1" t="s">
        <v>10</v>
      </c>
      <c r="F22" s="2" t="str">
        <f ca="1">IFERROR(__xludf.DUMMYFUNCTION("""COMPUTED_VALUE"""),"EP_09")</f>
        <v>EP_09</v>
      </c>
      <c r="G22" s="3" t="str">
        <f ca="1">IFERROR(__xludf.DUMMYFUNCTION("""COMPUTED_VALUE"""),"https://vicharkrantibooks.org/productdetail?book_name=ENGR0976_ELITE_SHOULD_COME_FORWARD_TO_MANAGE_THE_RELIGIOUS_SET_UP_RE2011&amp;product_id=3402")</f>
        <v>https://vicharkrantibooks.org/productdetail?book_name=ENGR0976_ELITE_SHOULD_COME_FORWARD_TO_MANAGE_THE_RELIGIOUS_SET_UP_RE2011&amp;product_id=3402</v>
      </c>
      <c r="H22" s="1" t="str">
        <f ca="1">IFERROR(__xludf.DUMMYFUNCTION("""COMPUTED_VALUE"""),"English")</f>
        <v>English</v>
      </c>
    </row>
    <row r="23" spans="1:8" ht="19.2" x14ac:dyDescent="0.45">
      <c r="A23" s="2" t="str">
        <f ca="1">IFERROR(__xludf.DUMMYFUNCTION("""COMPUTED_VALUE"""),"Eternity Of Sound And The Science Of Mantras")</f>
        <v>Eternity Of Sound And The Science Of Mantras</v>
      </c>
      <c r="B23" s="1" t="str">
        <f ca="1">IFERROR(__xludf.DUMMYFUNCTION("""COMPUTED_VALUE"""),"Eternity Of Sound And The Science Of Mantras : EP_45")</f>
        <v>Eternity Of Sound And The Science Of Mantras : EP_45</v>
      </c>
      <c r="C23" s="1" t="str">
        <f ca="1">IFERROR(__xludf.DUMMYFUNCTION("""COMPUTED_VALUE"""),"Regular")</f>
        <v>Regular</v>
      </c>
      <c r="D23" s="10" t="s">
        <v>3</v>
      </c>
      <c r="E23" s="1" t="s">
        <v>3</v>
      </c>
      <c r="F23" s="2" t="str">
        <f ca="1">IFERROR(__xludf.DUMMYFUNCTION("""COMPUTED_VALUE"""),"EP_45")</f>
        <v>EP_45</v>
      </c>
      <c r="G23" s="3" t="str">
        <f ca="1">IFERROR(__xludf.DUMMYFUNCTION("""COMPUTED_VALUE"""),"http://literature.awgp.org/book/Eternity_of_Sound_and_The_Science_of_Mantras/v1")</f>
        <v>http://literature.awgp.org/book/Eternity_of_Sound_and_The_Science_of_Mantras/v1</v>
      </c>
      <c r="H23" s="1" t="str">
        <f ca="1">IFERROR(__xludf.DUMMYFUNCTION("""COMPUTED_VALUE"""),"English")</f>
        <v>English</v>
      </c>
    </row>
    <row r="24" spans="1:8" ht="19.2" x14ac:dyDescent="0.45">
      <c r="A24" s="2" t="str">
        <f ca="1">IFERROR(__xludf.DUMMYFUNCTION("""COMPUTED_VALUE"""),"Extrasensory Potentials Of The Mind")</f>
        <v>Extrasensory Potentials Of The Mind</v>
      </c>
      <c r="B24" s="1" t="str">
        <f ca="1">IFERROR(__xludf.DUMMYFUNCTION("""COMPUTED_VALUE"""),"Extrasensory Potentials Of The Mind : EP_34")</f>
        <v>Extrasensory Potentials Of The Mind : EP_34</v>
      </c>
      <c r="C24" s="1" t="str">
        <f ca="1">IFERROR(__xludf.DUMMYFUNCTION("""COMPUTED_VALUE"""),"Regular")</f>
        <v>Regular</v>
      </c>
      <c r="D24" s="10" t="s">
        <v>2</v>
      </c>
      <c r="E24" s="1" t="s">
        <v>2</v>
      </c>
      <c r="F24" s="2" t="str">
        <f ca="1">IFERROR(__xludf.DUMMYFUNCTION("""COMPUTED_VALUE"""),"EP_34")</f>
        <v>EP_34</v>
      </c>
      <c r="G24" s="3" t="str">
        <f ca="1">IFERROR(__xludf.DUMMYFUNCTION("""COMPUTED_VALUE"""),"http://literature.awgp.org/book/The_ExtraSensory_Potentials_of_mind/v1")</f>
        <v>http://literature.awgp.org/book/The_ExtraSensory_Potentials_of_mind/v1</v>
      </c>
      <c r="H24" s="1" t="str">
        <f ca="1">IFERROR(__xludf.DUMMYFUNCTION("""COMPUTED_VALUE"""),"English")</f>
        <v>English</v>
      </c>
    </row>
    <row r="25" spans="1:8" ht="19.2" x14ac:dyDescent="0.45">
      <c r="A25" s="1" t="str">
        <f ca="1">IFERROR(__xludf.DUMMYFUNCTION("""COMPUTED_VALUE"""),"Fight Your Weaknesses Be Strong")</f>
        <v>Fight Your Weaknesses Be Strong</v>
      </c>
      <c r="B25" s="1" t="str">
        <f ca="1">IFERROR(__xludf.DUMMYFUNCTION("""COMPUTED_VALUE"""),"Fight Your Weaknesses Be Strong : EP_127")</f>
        <v>Fight Your Weaknesses Be Strong : EP_127</v>
      </c>
      <c r="C25" s="1" t="str">
        <f ca="1">IFERROR(__xludf.DUMMYFUNCTION("""COMPUTED_VALUE"""),"Pocket")</f>
        <v>Pocket</v>
      </c>
      <c r="D25" s="10" t="s">
        <v>2</v>
      </c>
      <c r="E25" s="1" t="s">
        <v>2</v>
      </c>
      <c r="F25" s="1" t="str">
        <f ca="1">IFERROR(__xludf.DUMMYFUNCTION("""COMPUTED_VALUE"""),"EP_127")</f>
        <v>EP_127</v>
      </c>
      <c r="G25" s="3" t="str">
        <f ca="1">IFERROR(__xludf.DUMMYFUNCTION("""COMPUTED_VALUE"""),"https://vicharkrantibooks.org/productdetail?book_name=ENGP0069_FIGHT_YOUR_WEAKNESSES_BE_STRONG_xxyyyy&amp;product_id=3512")</f>
        <v>https://vicharkrantibooks.org/productdetail?book_name=ENGP0069_FIGHT_YOUR_WEAKNESSES_BE_STRONG_xxyyyy&amp;product_id=3512</v>
      </c>
      <c r="H25" s="1" t="str">
        <f ca="1">IFERROR(__xludf.DUMMYFUNCTION("""COMPUTED_VALUE"""),"English")</f>
        <v>English</v>
      </c>
    </row>
    <row r="26" spans="1:8" ht="19.2" x14ac:dyDescent="0.45">
      <c r="A26" s="2" t="str">
        <f ca="1">IFERROR(__xludf.DUMMYFUNCTION("""COMPUTED_VALUE"""),"Firm Endeavour")</f>
        <v>Firm Endeavour</v>
      </c>
      <c r="B26" s="1" t="str">
        <f ca="1">IFERROR(__xludf.DUMMYFUNCTION("""COMPUTED_VALUE"""),"Firm Endeavour : EPB_148")</f>
        <v>Firm Endeavour : EPB_148</v>
      </c>
      <c r="C26" s="1" t="str">
        <f ca="1">IFERROR(__xludf.DUMMYFUNCTION("""COMPUTED_VALUE"""),"Big")</f>
        <v>Big</v>
      </c>
      <c r="D26" s="10" t="s">
        <v>1</v>
      </c>
      <c r="E26" s="1" t="s">
        <v>1</v>
      </c>
      <c r="F26" s="2" t="str">
        <f ca="1">IFERROR(__xludf.DUMMYFUNCTION("""COMPUTED_VALUE"""),"EPB_148")</f>
        <v>EPB_148</v>
      </c>
      <c r="G26" s="3" t="str">
        <f ca="1">IFERROR(__xludf.DUMMYFUNCTION("""COMPUTED_VALUE"""),"https://vicharkrantibooks.org/productdetail?book_name=ENGB0216_FIRM_ENDEAVOUR_1st2013&amp;product_id=3533")</f>
        <v>https://vicharkrantibooks.org/productdetail?book_name=ENGB0216_FIRM_ENDEAVOUR_1st2013&amp;product_id=3533</v>
      </c>
      <c r="H26" s="1" t="str">
        <f ca="1">IFERROR(__xludf.DUMMYFUNCTION("""COMPUTED_VALUE"""),"English")</f>
        <v>English</v>
      </c>
    </row>
    <row r="27" spans="1:8" ht="19.2" x14ac:dyDescent="0.45">
      <c r="A27" s="2" t="str">
        <f ca="1">IFERROR(__xludf.DUMMYFUNCTION("""COMPUTED_VALUE"""),"Form And Spirit Of Vedic Ritual Worship : Procedure Of Yagya")</f>
        <v>Form And Spirit Of Vedic Ritual Worship : Procedure Of Yagya</v>
      </c>
      <c r="B27" s="1" t="str">
        <f ca="1">IFERROR(__xludf.DUMMYFUNCTION("""COMPUTED_VALUE"""),"Form And Spirit Of Vedic Ritual Worship : Procedure Of Yagya : EP_49")</f>
        <v>Form And Spirit Of Vedic Ritual Worship : Procedure Of Yagya : EP_49</v>
      </c>
      <c r="C27" s="1" t="str">
        <f ca="1">IFERROR(__xludf.DUMMYFUNCTION("""COMPUTED_VALUE"""),"Regular")</f>
        <v>Regular</v>
      </c>
      <c r="D27" s="10" t="s">
        <v>7</v>
      </c>
      <c r="E27" s="1" t="s">
        <v>7</v>
      </c>
      <c r="F27" s="2" t="str">
        <f ca="1">IFERROR(__xludf.DUMMYFUNCTION("""COMPUTED_VALUE"""),"EP_49")</f>
        <v>EP_49</v>
      </c>
      <c r="G27" s="3" t="str">
        <f ca="1">IFERROR(__xludf.DUMMYFUNCTION("""COMPUTED_VALUE"""),"https://vicharkrantibooks.org/productdetails?book_name=ENGR1216_FORM_AND_SPIRIT_OF_VEDIC_RITUAL_WORSHIP_PROCEDURE_OF_YAGYA_xx2009&amp;product_id=3442")</f>
        <v>https://vicharkrantibooks.org/productdetails?book_name=ENGR1216_FORM_AND_SPIRIT_OF_VEDIC_RITUAL_WORSHIP_PROCEDURE_OF_YAGYA_xx2009&amp;product_id=3442</v>
      </c>
      <c r="H27" s="1" t="str">
        <f ca="1">IFERROR(__xludf.DUMMYFUNCTION("""COMPUTED_VALUE"""),"English")</f>
        <v>English</v>
      </c>
    </row>
    <row r="28" spans="1:8" ht="13.2" x14ac:dyDescent="0.25">
      <c r="A28" s="2" t="str">
        <f ca="1">IFERROR(__xludf.DUMMYFUNCTION("""COMPUTED_VALUE"""),"Four Pillars Of Self Developments")</f>
        <v>Four Pillars Of Self Developments</v>
      </c>
      <c r="B28" s="1" t="str">
        <f ca="1">IFERROR(__xludf.DUMMYFUNCTION("""COMPUTED_VALUE"""),"Four Pillars Of Self Developments : EP_98")</f>
        <v>Four Pillars Of Self Developments : EP_98</v>
      </c>
      <c r="C28" s="1" t="str">
        <f ca="1">IFERROR(__xludf.DUMMYFUNCTION("""COMPUTED_VALUE"""),"Pocket")</f>
        <v>Pocket</v>
      </c>
      <c r="D28" s="1" t="s">
        <v>2</v>
      </c>
      <c r="E28" s="1" t="s">
        <v>2</v>
      </c>
      <c r="F28" s="1" t="str">
        <f ca="1">IFERROR(__xludf.DUMMYFUNCTION("""COMPUTED_VALUE"""),"EP_98")</f>
        <v>EP_98</v>
      </c>
      <c r="G28" s="3" t="str">
        <f ca="1">IFERROR(__xludf.DUMMYFUNCTION("""COMPUTED_VALUE"""),"https://vicharkrantibooks.org/productdetail?book_name=ENGPE098_FOUR_PILLARS_OF_SELF_DEVELOPMENTS_xxyyyy&amp;product_id=3490")</f>
        <v>https://vicharkrantibooks.org/productdetail?book_name=ENGPE098_FOUR_PILLARS_OF_SELF_DEVELOPMENTS_xxyyyy&amp;product_id=3490</v>
      </c>
      <c r="H28" s="1" t="str">
        <f ca="1">IFERROR(__xludf.DUMMYFUNCTION("""COMPUTED_VALUE"""),"English")</f>
        <v>English</v>
      </c>
    </row>
    <row r="29" spans="1:8" ht="19.2" x14ac:dyDescent="0.45">
      <c r="A29" s="2" t="str">
        <f ca="1">IFERROR(__xludf.DUMMYFUNCTION("""COMPUTED_VALUE"""),"Fruits Of Contentment")</f>
        <v>Fruits Of Contentment</v>
      </c>
      <c r="B29" s="1" t="str">
        <f ca="1">IFERROR(__xludf.DUMMYFUNCTION("""COMPUTED_VALUE"""),"Fruits Of Contentment : EPB_149")</f>
        <v>Fruits Of Contentment : EPB_149</v>
      </c>
      <c r="C29" s="1" t="str">
        <f ca="1">IFERROR(__xludf.DUMMYFUNCTION("""COMPUTED_VALUE"""),"Big")</f>
        <v>Big</v>
      </c>
      <c r="D29" s="10" t="s">
        <v>1</v>
      </c>
      <c r="E29" s="1" t="s">
        <v>1</v>
      </c>
      <c r="F29" s="2" t="str">
        <f ca="1">IFERROR(__xludf.DUMMYFUNCTION("""COMPUTED_VALUE"""),"EPB_149")</f>
        <v>EPB_149</v>
      </c>
      <c r="G29" s="3" t="str">
        <f ca="1">IFERROR(__xludf.DUMMYFUNCTION("""COMPUTED_VALUE"""),"https://vicharkrantibooks.org/productdetail?book_name=ENGB0215_FRUITS_OF_CONTENTMENT_1st2013&amp;product_id=3534")</f>
        <v>https://vicharkrantibooks.org/productdetail?book_name=ENGB0215_FRUITS_OF_CONTENTMENT_1st2013&amp;product_id=3534</v>
      </c>
      <c r="H29" s="1" t="str">
        <f ca="1">IFERROR(__xludf.DUMMYFUNCTION("""COMPUTED_VALUE"""),"English")</f>
        <v>English</v>
      </c>
    </row>
    <row r="30" spans="1:8" ht="19.2" x14ac:dyDescent="0.45">
      <c r="A30" s="2" t="str">
        <f ca="1">IFERROR(__xludf.DUMMYFUNCTION("""COMPUTED_VALUE"""),"Gayatri A Unique Solutions For Problems")</f>
        <v>Gayatri A Unique Solutions For Problems</v>
      </c>
      <c r="B30" s="1" t="str">
        <f ca="1">IFERROR(__xludf.DUMMYFUNCTION("""COMPUTED_VALUE"""),"Gayatri A Unique Solutions For Problems : EP_35")</f>
        <v>Gayatri A Unique Solutions For Problems : EP_35</v>
      </c>
      <c r="C30" s="1" t="str">
        <f ca="1">IFERROR(__xludf.DUMMYFUNCTION("""COMPUTED_VALUE"""),"Pocket")</f>
        <v>Pocket</v>
      </c>
      <c r="D30" s="10" t="s">
        <v>11</v>
      </c>
      <c r="E30" s="1" t="s">
        <v>11</v>
      </c>
      <c r="F30" s="1" t="str">
        <f ca="1">IFERROR(__xludf.DUMMYFUNCTION("""COMPUTED_VALUE"""),"EP_35")</f>
        <v>EP_35</v>
      </c>
      <c r="G30" s="3" t="str">
        <f ca="1">IFERROR(__xludf.DUMMYFUNCTION("""COMPUTED_VALUE"""),"https://vicharkrantibooks.org/productdetail?book_name=ENGPE035_GAYATRI_A_UNIQUE_SOLUTIONS_FOR_PROBLEMS_xxyyyy&amp;product_id=3428")</f>
        <v>https://vicharkrantibooks.org/productdetail?book_name=ENGPE035_GAYATRI_A_UNIQUE_SOLUTIONS_FOR_PROBLEMS_xxyyyy&amp;product_id=3428</v>
      </c>
      <c r="H30" s="1" t="str">
        <f ca="1">IFERROR(__xludf.DUMMYFUNCTION("""COMPUTED_VALUE"""),"English")</f>
        <v>English</v>
      </c>
    </row>
    <row r="31" spans="1:8" ht="13.2" x14ac:dyDescent="0.25">
      <c r="A31" s="2" t="str">
        <f ca="1">IFERROR(__xludf.DUMMYFUNCTION("""COMPUTED_VALUE"""),"Gayatri Chalisa")</f>
        <v>Gayatri Chalisa</v>
      </c>
      <c r="B31" s="1" t="str">
        <f ca="1">IFERROR(__xludf.DUMMYFUNCTION("""COMPUTED_VALUE"""),"Gayatri Chalisa : EP_23")</f>
        <v>Gayatri Chalisa : EP_23</v>
      </c>
      <c r="C31" s="1" t="str">
        <f ca="1">IFERROR(__xludf.DUMMYFUNCTION("""COMPUTED_VALUE"""),"Pocket")</f>
        <v>Pocket</v>
      </c>
      <c r="D31" s="1" t="s">
        <v>11</v>
      </c>
      <c r="E31" s="1" t="s">
        <v>11</v>
      </c>
      <c r="F31" s="1" t="str">
        <f ca="1">IFERROR(__xludf.DUMMYFUNCTION("""COMPUTED_VALUE"""),"EP_23")</f>
        <v>EP_23</v>
      </c>
      <c r="G31" s="3" t="str">
        <f ca="1">IFERROR(__xludf.DUMMYFUNCTION("""COMPUTED_VALUE"""),"https://vicharkrantibooks.org/productdetail?book_name=ENGP0279_GAYATRI_CHALISA_xxyyyy&amp;product_id=3416")</f>
        <v>https://vicharkrantibooks.org/productdetail?book_name=ENGP0279_GAYATRI_CHALISA_xxyyyy&amp;product_id=3416</v>
      </c>
      <c r="H31" s="1" t="str">
        <f ca="1">IFERROR(__xludf.DUMMYFUNCTION("""COMPUTED_VALUE"""),"English")</f>
        <v>English</v>
      </c>
    </row>
    <row r="32" spans="1:8" ht="13.2" x14ac:dyDescent="0.25">
      <c r="A32" s="2" t="str">
        <f ca="1">IFERROR(__xludf.DUMMYFUNCTION("""COMPUTED_VALUE"""),"Gayatri Mantra The Genesis Of Divine Culture")</f>
        <v>Gayatri Mantra The Genesis Of Divine Culture</v>
      </c>
      <c r="B32" s="1" t="str">
        <f ca="1">IFERROR(__xludf.DUMMYFUNCTION("""COMPUTED_VALUE"""),"Gayatri Mantra The Genesis Of Divine Culture : EP_96")</f>
        <v>Gayatri Mantra The Genesis Of Divine Culture : EP_96</v>
      </c>
      <c r="C32" s="1" t="str">
        <f ca="1">IFERROR(__xludf.DUMMYFUNCTION("""COMPUTED_VALUE"""),"Pocket")</f>
        <v>Pocket</v>
      </c>
      <c r="D32" s="1" t="s">
        <v>11</v>
      </c>
      <c r="E32" s="1" t="s">
        <v>11</v>
      </c>
      <c r="F32" s="1" t="str">
        <f ca="1">IFERROR(__xludf.DUMMYFUNCTION("""COMPUTED_VALUE"""),"EP_96")</f>
        <v>EP_96</v>
      </c>
      <c r="G32" s="3" t="str">
        <f ca="1">IFERROR(__xludf.DUMMYFUNCTION("""COMPUTED_VALUE"""),"https://vicharkrantibooks.org/productdetail?book_name=ENGPE096_GAYATRI_MANTRA_THE_GENESIS_OF_DIVINE_CULTURE_xxyyyy&amp;product_id=3488")</f>
        <v>https://vicharkrantibooks.org/productdetail?book_name=ENGPE096_GAYATRI_MANTRA_THE_GENESIS_OF_DIVINE_CULTURE_xxyyyy&amp;product_id=3488</v>
      </c>
      <c r="H32" s="1" t="str">
        <f ca="1">IFERROR(__xludf.DUMMYFUNCTION("""COMPUTED_VALUE"""),"English")</f>
        <v>English</v>
      </c>
    </row>
    <row r="33" spans="1:8" ht="13.2" x14ac:dyDescent="0.25">
      <c r="A33" s="2" t="str">
        <f ca="1">IFERROR(__xludf.DUMMYFUNCTION("""COMPUTED_VALUE"""),"Gayatri Sadhana The Truth&amp;Distortions")</f>
        <v>Gayatri Sadhana The Truth&amp;Distortions</v>
      </c>
      <c r="B33" s="1" t="str">
        <f ca="1">IFERROR(__xludf.DUMMYFUNCTION("""COMPUTED_VALUE"""),"Gayatri Sadhana The Truth&amp;Distortions : EP_06")</f>
        <v>Gayatri Sadhana The Truth&amp;Distortions : EP_06</v>
      </c>
      <c r="C33" s="1" t="str">
        <f ca="1">IFERROR(__xludf.DUMMYFUNCTION("""COMPUTED_VALUE"""),"Regular")</f>
        <v>Regular</v>
      </c>
      <c r="D33" s="1" t="s">
        <v>11</v>
      </c>
      <c r="E33" s="1" t="s">
        <v>11</v>
      </c>
      <c r="F33" s="2" t="str">
        <f ca="1">IFERROR(__xludf.DUMMYFUNCTION("""COMPUTED_VALUE"""),"EP_06")</f>
        <v>EP_06</v>
      </c>
      <c r="G33" s="3" t="str">
        <f ca="1">IFERROR(__xludf.DUMMYFUNCTION("""COMPUTED_VALUE"""),"https://vicharkrantibooks.org/productdetail?product_id=3399")</f>
        <v>https://vicharkrantibooks.org/productdetail?product_id=3399</v>
      </c>
      <c r="H33" s="1" t="str">
        <f ca="1">IFERROR(__xludf.DUMMYFUNCTION("""COMPUTED_VALUE"""),"English")</f>
        <v>English</v>
      </c>
    </row>
    <row r="34" spans="1:8" ht="13.2" x14ac:dyDescent="0.25">
      <c r="A34" s="2" t="str">
        <f ca="1">IFERROR(__xludf.DUMMYFUNCTION("""COMPUTED_VALUE"""),"Gayatri Sadhana Why And How")</f>
        <v>Gayatri Sadhana Why And How</v>
      </c>
      <c r="B34" s="1" t="str">
        <f ca="1">IFERROR(__xludf.DUMMYFUNCTION("""COMPUTED_VALUE"""),"Gayatri Sadhana Why And How : EP_29")</f>
        <v>Gayatri Sadhana Why And How : EP_29</v>
      </c>
      <c r="C34" s="1" t="str">
        <f ca="1">IFERROR(__xludf.DUMMYFUNCTION("""COMPUTED_VALUE"""),"Regular")</f>
        <v>Regular</v>
      </c>
      <c r="D34" s="1" t="s">
        <v>11</v>
      </c>
      <c r="E34" s="1" t="s">
        <v>11</v>
      </c>
      <c r="F34" s="2" t="str">
        <f ca="1">IFERROR(__xludf.DUMMYFUNCTION("""COMPUTED_VALUE"""),"EP_29")</f>
        <v>EP_29</v>
      </c>
      <c r="G34" s="3" t="str">
        <f ca="1">IFERROR(__xludf.DUMMYFUNCTION("""COMPUTED_VALUE"""),"http://literature.awgp.org/book/Gayatri_Sadhana_Why_How/v2")</f>
        <v>http://literature.awgp.org/book/Gayatri_Sadhana_Why_How/v2</v>
      </c>
      <c r="H34" s="1" t="str">
        <f ca="1">IFERROR(__xludf.DUMMYFUNCTION("""COMPUTED_VALUE"""),"English")</f>
        <v>English</v>
      </c>
    </row>
    <row r="35" spans="1:8" ht="13.2" x14ac:dyDescent="0.25">
      <c r="A35" s="2" t="str">
        <f ca="1">IFERROR(__xludf.DUMMYFUNCTION("""COMPUTED_VALUE"""),"Gayatri The Omnipotent Primordial Power")</f>
        <v>Gayatri The Omnipotent Primordial Power</v>
      </c>
      <c r="B35" s="1" t="str">
        <f ca="1">IFERROR(__xludf.DUMMYFUNCTION("""COMPUTED_VALUE"""),"Gayatri The Omnipotent Primordial Power : EP_24")</f>
        <v>Gayatri The Omnipotent Primordial Power : EP_24</v>
      </c>
      <c r="C35" s="1" t="str">
        <f ca="1">IFERROR(__xludf.DUMMYFUNCTION("""COMPUTED_VALUE"""),"Regular")</f>
        <v>Regular</v>
      </c>
      <c r="D35" s="1" t="s">
        <v>11</v>
      </c>
      <c r="E35" s="1" t="s">
        <v>11</v>
      </c>
      <c r="F35" s="2" t="str">
        <f ca="1">IFERROR(__xludf.DUMMYFUNCTION("""COMPUTED_VALUE"""),"EP_24")</f>
        <v>EP_24</v>
      </c>
      <c r="G35" s="3" t="str">
        <f ca="1">IFERROR(__xludf.DUMMYFUNCTION("""COMPUTED_VALUE"""),"https://vicharkrantibooks.org/productdetail?product_id=3417")</f>
        <v>https://vicharkrantibooks.org/productdetail?product_id=3417</v>
      </c>
      <c r="H35" s="1" t="str">
        <f ca="1">IFERROR(__xludf.DUMMYFUNCTION("""COMPUTED_VALUE"""),"English")</f>
        <v>English</v>
      </c>
    </row>
    <row r="36" spans="1:8" ht="13.2" x14ac:dyDescent="0.25">
      <c r="A36" s="2" t="str">
        <f ca="1">IFERROR(__xludf.DUMMYFUNCTION("""COMPUTED_VALUE"""),"Gayatri Yagya Vidhi")</f>
        <v>Gayatri Yagya Vidhi</v>
      </c>
      <c r="B36" s="1" t="str">
        <f ca="1">IFERROR(__xludf.DUMMYFUNCTION("""COMPUTED_VALUE"""),"Gayatri Yagya Vidhi : EP_62")</f>
        <v>Gayatri Yagya Vidhi : EP_62</v>
      </c>
      <c r="C36" s="1" t="str">
        <f ca="1">IFERROR(__xludf.DUMMYFUNCTION("""COMPUTED_VALUE"""),"Regular")</f>
        <v>Regular</v>
      </c>
      <c r="D36" s="1" t="s">
        <v>11</v>
      </c>
      <c r="E36" s="1" t="s">
        <v>11</v>
      </c>
      <c r="F36" s="2" t="str">
        <f ca="1">IFERROR(__xludf.DUMMYFUNCTION("""COMPUTED_VALUE"""),"EP_62")</f>
        <v>EP_62</v>
      </c>
      <c r="G36" s="3" t="str">
        <f ca="1">IFERROR(__xludf.DUMMYFUNCTION("""COMPUTED_VALUE"""),"https://vicharkrantibooks.org/productdetail?product_id=3453")</f>
        <v>https://vicharkrantibooks.org/productdetail?product_id=3453</v>
      </c>
      <c r="H36" s="1" t="str">
        <f ca="1">IFERROR(__xludf.DUMMYFUNCTION("""COMPUTED_VALUE"""),"English")</f>
        <v>English</v>
      </c>
    </row>
    <row r="37" spans="1:8" ht="13.2" x14ac:dyDescent="0.25">
      <c r="A37" s="2" t="str">
        <f ca="1">IFERROR(__xludf.DUMMYFUNCTION("""COMPUTED_VALUE"""),"Glorious Past And Gleaming Future Of Women")</f>
        <v>Glorious Past And Gleaming Future Of Women</v>
      </c>
      <c r="B37" s="1" t="str">
        <f ca="1">IFERROR(__xludf.DUMMYFUNCTION("""COMPUTED_VALUE"""),"Glorious Past And Gleaming Future Of Women : EP_NOTM")</f>
        <v>Glorious Past And Gleaming Future Of Women : EP_NOTM</v>
      </c>
      <c r="C37" s="1" t="str">
        <f ca="1">IFERROR(__xludf.DUMMYFUNCTION("""COMPUTED_VALUE"""),"Pocket")</f>
        <v>Pocket</v>
      </c>
      <c r="D37" s="1" t="s">
        <v>10</v>
      </c>
      <c r="E37" s="1" t="s">
        <v>10</v>
      </c>
      <c r="F37" s="1" t="str">
        <f ca="1">IFERROR(__xludf.DUMMYFUNCTION("""COMPUTED_VALUE"""),"EP_NOTM")</f>
        <v>EP_NOTM</v>
      </c>
      <c r="G37" s="3" t="str">
        <f ca="1">IFERROR(__xludf.DUMMYFUNCTION("""COMPUTED_VALUE"""),"https://vicharkrantibooks.org/productdetail?book_name=ENGPNOTM_GLORIOUS_PAST_AND_GLEAMING_FUTURE_OF_WOMEN_xxyyyy&amp;product_id=3455")</f>
        <v>https://vicharkrantibooks.org/productdetail?book_name=ENGPNOTM_GLORIOUS_PAST_AND_GLEAMING_FUTURE_OF_WOMEN_xxyyyy&amp;product_id=3455</v>
      </c>
      <c r="H37" s="1" t="str">
        <f ca="1">IFERROR(__xludf.DUMMYFUNCTION("""COMPUTED_VALUE"""),"English")</f>
        <v>English</v>
      </c>
    </row>
    <row r="38" spans="1:8" ht="13.2" x14ac:dyDescent="0.25">
      <c r="A38" s="2" t="str">
        <f ca="1">IFERROR(__xludf.DUMMYFUNCTION("""COMPUTED_VALUE"""),"Good Thoughts")</f>
        <v>Good Thoughts</v>
      </c>
      <c r="B38" s="1" t="str">
        <f ca="1">IFERROR(__xludf.DUMMYFUNCTION("""COMPUTED_VALUE"""),"Good Thoughts : EPB_137")</f>
        <v>Good Thoughts : EPB_137</v>
      </c>
      <c r="C38" s="1" t="str">
        <f ca="1">IFERROR(__xludf.DUMMYFUNCTION("""COMPUTED_VALUE"""),"Big")</f>
        <v>Big</v>
      </c>
      <c r="D38" s="1" t="s">
        <v>1</v>
      </c>
      <c r="E38" s="1" t="s">
        <v>1</v>
      </c>
      <c r="F38" s="2" t="str">
        <f ca="1">IFERROR(__xludf.DUMMYFUNCTION("""COMPUTED_VALUE"""),"EPB_137")</f>
        <v>EPB_137</v>
      </c>
      <c r="G38" s="3" t="str">
        <f ca="1">IFERROR(__xludf.DUMMYFUNCTION("""COMPUTED_VALUE"""),"https://vicharkrantibooks.org/productdetail?book_name=ENGB0201_GOOD_THOUGHTS_1st2013&amp;product_id=3522")</f>
        <v>https://vicharkrantibooks.org/productdetail?book_name=ENGB0201_GOOD_THOUGHTS_1st2013&amp;product_id=3522</v>
      </c>
      <c r="H38" s="1" t="str">
        <f ca="1">IFERROR(__xludf.DUMMYFUNCTION("""COMPUTED_VALUE"""),"English")</f>
        <v>English</v>
      </c>
    </row>
    <row r="39" spans="1:8" ht="13.2" x14ac:dyDescent="0.25">
      <c r="A39" s="2" t="str">
        <f ca="1">IFERROR(__xludf.DUMMYFUNCTION("""COMPUTED_VALUE"""),"Guidelines For The Aspiring Loksevi")</f>
        <v>Guidelines For The Aspiring Loksevi</v>
      </c>
      <c r="B39" s="1" t="str">
        <f ca="1">IFERROR(__xludf.DUMMYFUNCTION("""COMPUTED_VALUE"""),"Guidelines For The Aspiring Loksevi : EP_87")</f>
        <v>Guidelines For The Aspiring Loksevi : EP_87</v>
      </c>
      <c r="C39" s="1" t="str">
        <f ca="1">IFERROR(__xludf.DUMMYFUNCTION("""COMPUTED_VALUE"""),"Regular")</f>
        <v>Regular</v>
      </c>
      <c r="D39" s="1" t="s">
        <v>10</v>
      </c>
      <c r="E39" s="1" t="s">
        <v>10</v>
      </c>
      <c r="F39" s="2" t="str">
        <f ca="1">IFERROR(__xludf.DUMMYFUNCTION("""COMPUTED_VALUE"""),"EP_87")</f>
        <v>EP_87</v>
      </c>
      <c r="G39" s="3" t="str">
        <f ca="1">IFERROR(__xludf.DUMMYFUNCTION("""COMPUTED_VALUE"""),"https://vicharkrantibooks.org/productdetail?book_name=ENGR0742_GUIDELINES_FOR_THE_ASPIRING_LOKSEVI_1st2008&amp;product_id=3482")</f>
        <v>https://vicharkrantibooks.org/productdetail?book_name=ENGR0742_GUIDELINES_FOR_THE_ASPIRING_LOKSEVI_1st2008&amp;product_id=3482</v>
      </c>
      <c r="H39" s="1" t="str">
        <f ca="1">IFERROR(__xludf.DUMMYFUNCTION("""COMPUTED_VALUE"""),"English")</f>
        <v>English</v>
      </c>
    </row>
    <row r="40" spans="1:8" ht="13.2" x14ac:dyDescent="0.25">
      <c r="A40" s="2" t="str">
        <f ca="1">IFERROR(__xludf.DUMMYFUNCTION("""COMPUTED_VALUE"""),"Hamsa Yoga The Elixir Of Self Realization")</f>
        <v>Hamsa Yoga The Elixir Of Self Realization</v>
      </c>
      <c r="B40" s="1" t="str">
        <f ca="1">IFERROR(__xludf.DUMMYFUNCTION("""COMPUTED_VALUE"""),"Hamsa Yoga The Elixir Of Self Realization : EP_47")</f>
        <v>Hamsa Yoga The Elixir Of Self Realization : EP_47</v>
      </c>
      <c r="C40" s="1" t="str">
        <f ca="1">IFERROR(__xludf.DUMMYFUNCTION("""COMPUTED_VALUE"""),"Regular")</f>
        <v>Regular</v>
      </c>
      <c r="D40" s="1" t="s">
        <v>7</v>
      </c>
      <c r="E40" s="1" t="s">
        <v>7</v>
      </c>
      <c r="F40" s="2" t="str">
        <f ca="1">IFERROR(__xludf.DUMMYFUNCTION("""COMPUTED_VALUE"""),"EP_47")</f>
        <v>EP_47</v>
      </c>
      <c r="G40" s="3" t="str">
        <f ca="1">IFERROR(__xludf.DUMMYFUNCTION("""COMPUTED_VALUE"""),"https://vicharkrantibooks.org/productdetail?book_name=ENGP0863_HAMSA_YOGA_THE_ELIXIR_OF_SELF_REALIZATION_RE2011&amp;product_id=3440")</f>
        <v>https://vicharkrantibooks.org/productdetail?book_name=ENGP0863_HAMSA_YOGA_THE_ELIXIR_OF_SELF_REALIZATION_RE2011&amp;product_id=3440</v>
      </c>
      <c r="H40" s="1" t="str">
        <f ca="1">IFERROR(__xludf.DUMMYFUNCTION("""COMPUTED_VALUE"""),"English")</f>
        <v>English</v>
      </c>
    </row>
    <row r="41" spans="1:8" ht="13.2" x14ac:dyDescent="0.25">
      <c r="A41" s="2" t="str">
        <f ca="1">IFERROR(__xludf.DUMMYFUNCTION("""COMPUTED_VALUE"""),"Health Tips From The Vedas")</f>
        <v>Health Tips From The Vedas</v>
      </c>
      <c r="B41" s="1" t="str">
        <f ca="1">IFERROR(__xludf.DUMMYFUNCTION("""COMPUTED_VALUE"""),"Health Tips From The Vedas : EP_75")</f>
        <v>Health Tips From The Vedas : EP_75</v>
      </c>
      <c r="C41" s="1" t="str">
        <f ca="1">IFERROR(__xludf.DUMMYFUNCTION("""COMPUTED_VALUE"""),"Regular")</f>
        <v>Regular</v>
      </c>
      <c r="D41" s="1" t="s">
        <v>5</v>
      </c>
      <c r="E41" s="1" t="s">
        <v>5</v>
      </c>
      <c r="F41" s="2" t="str">
        <f ca="1">IFERROR(__xludf.DUMMYFUNCTION("""COMPUTED_VALUE"""),"EP_75")</f>
        <v>EP_75</v>
      </c>
      <c r="G41" s="3" t="str">
        <f ca="1">IFERROR(__xludf.DUMMYFUNCTION("""COMPUTED_VALUE"""),"https://vicharkrantibooks.org/productdetail?book_name=ENGRE075_HEALTH_TIPS_FROM_THE_VEDAS_2nd2011&amp;product_id=3470")</f>
        <v>https://vicharkrantibooks.org/productdetail?book_name=ENGRE075_HEALTH_TIPS_FROM_THE_VEDAS_2nd2011&amp;product_id=3470</v>
      </c>
      <c r="H41" s="1" t="str">
        <f ca="1">IFERROR(__xludf.DUMMYFUNCTION("""COMPUTED_VALUE"""),"English")</f>
        <v>English</v>
      </c>
    </row>
    <row r="42" spans="1:8" ht="13.2" x14ac:dyDescent="0.25">
      <c r="A42" s="2" t="str">
        <f ca="1">IFERROR(__xludf.DUMMYFUNCTION("""COMPUTED_VALUE"""),"Health Wealth And Spirituality")</f>
        <v>Health Wealth And Spirituality</v>
      </c>
      <c r="B42" s="1" t="str">
        <f ca="1">IFERROR(__xludf.DUMMYFUNCTION("""COMPUTED_VALUE"""),"Health Wealth And Spirituality : EP_95")</f>
        <v>Health Wealth And Spirituality : EP_95</v>
      </c>
      <c r="C42" s="1" t="str">
        <f ca="1">IFERROR(__xludf.DUMMYFUNCTION("""COMPUTED_VALUE"""),"Pocket")</f>
        <v>Pocket</v>
      </c>
      <c r="D42" s="1" t="s">
        <v>5</v>
      </c>
      <c r="E42" s="1" t="s">
        <v>5</v>
      </c>
      <c r="F42" s="1" t="str">
        <f ca="1">IFERROR(__xludf.DUMMYFUNCTION("""COMPUTED_VALUE"""),"EP_95")</f>
        <v>EP_95</v>
      </c>
      <c r="G42" s="3" t="str">
        <f ca="1">IFERROR(__xludf.DUMMYFUNCTION("""COMPUTED_VALUE"""),"https://vicharkrantibooks.org/productdetail?book_name=ENGPE095_HEALTH_WEALTH_AND_SPIRITUALITY_xxyyyy&amp;product_id=3487")</f>
        <v>https://vicharkrantibooks.org/productdetail?book_name=ENGPE095_HEALTH_WEALTH_AND_SPIRITUALITY_xxyyyy&amp;product_id=3487</v>
      </c>
      <c r="H42" s="1" t="str">
        <f ca="1">IFERROR(__xludf.DUMMYFUNCTION("""COMPUTED_VALUE"""),"English")</f>
        <v>English</v>
      </c>
    </row>
    <row r="43" spans="1:8" ht="13.2" x14ac:dyDescent="0.25">
      <c r="A43" s="2" t="str">
        <f ca="1">IFERROR(__xludf.DUMMYFUNCTION("""COMPUTED_VALUE"""),"Honourable Income")</f>
        <v>Honourable Income</v>
      </c>
      <c r="B43" s="1" t="str">
        <f ca="1">IFERROR(__xludf.DUMMYFUNCTION("""COMPUTED_VALUE"""),"Honourable Income : EPB_142")</f>
        <v>Honourable Income : EPB_142</v>
      </c>
      <c r="C43" s="1" t="str">
        <f ca="1">IFERROR(__xludf.DUMMYFUNCTION("""COMPUTED_VALUE"""),"Big")</f>
        <v>Big</v>
      </c>
      <c r="D43" s="1" t="s">
        <v>1</v>
      </c>
      <c r="E43" s="1" t="s">
        <v>1</v>
      </c>
      <c r="F43" s="2" t="str">
        <f ca="1">IFERROR(__xludf.DUMMYFUNCTION("""COMPUTED_VALUE"""),"EPB_142")</f>
        <v>EPB_142</v>
      </c>
      <c r="G43" s="3" t="str">
        <f ca="1">IFERROR(__xludf.DUMMYFUNCTION("""COMPUTED_VALUE"""),"https://vicharkrantibooks.org/productdetail?book_name=ENGB0217_HONOURABLE_INCOME_1st2013&amp;product_id=3527")</f>
        <v>https://vicharkrantibooks.org/productdetail?book_name=ENGB0217_HONOURABLE_INCOME_1st2013&amp;product_id=3527</v>
      </c>
      <c r="H43" s="1" t="str">
        <f ca="1">IFERROR(__xludf.DUMMYFUNCTION("""COMPUTED_VALUE"""),"English")</f>
        <v>English</v>
      </c>
    </row>
    <row r="44" spans="1:8" ht="13.2" x14ac:dyDescent="0.25">
      <c r="A44" s="1" t="str">
        <f ca="1">IFERROR(__xludf.DUMMYFUNCTION("""COMPUTED_VALUE"""),"How To Obtain Maximum Marks")</f>
        <v>How To Obtain Maximum Marks</v>
      </c>
      <c r="B44" s="1" t="str">
        <f ca="1">IFERROR(__xludf.DUMMYFUNCTION("""COMPUTED_VALUE"""),"How To Obtain Maximum Marks : EP_152")</f>
        <v>How To Obtain Maximum Marks : EP_152</v>
      </c>
      <c r="C44" s="1" t="str">
        <f ca="1">IFERROR(__xludf.DUMMYFUNCTION("""COMPUTED_VALUE"""),"Regular")</f>
        <v>Regular</v>
      </c>
      <c r="D44" s="1" t="s">
        <v>2</v>
      </c>
      <c r="E44" s="1" t="s">
        <v>2</v>
      </c>
      <c r="F44" s="1" t="str">
        <f ca="1">IFERROR(__xludf.DUMMYFUNCTION("""COMPUTED_VALUE"""),"EP_152")</f>
        <v>EP_152</v>
      </c>
      <c r="G44" s="3" t="str">
        <f ca="1">IFERROR(__xludf.DUMMYFUNCTION("""COMPUTED_VALUE"""),"https://vicharkrantibooks.org/productdetail?book_name=EP_152_HOW_TO_OBTAIN_MAXIMUM_MARKS_xxyyyy&amp;product_id=3537")</f>
        <v>https://vicharkrantibooks.org/productdetail?book_name=EP_152_HOW_TO_OBTAIN_MAXIMUM_MARKS_xxyyyy&amp;product_id=3537</v>
      </c>
      <c r="H44" s="1" t="str">
        <f ca="1">IFERROR(__xludf.DUMMYFUNCTION("""COMPUTED_VALUE"""),"English")</f>
        <v>English</v>
      </c>
    </row>
    <row r="45" spans="1:8" ht="13.2" x14ac:dyDescent="0.25">
      <c r="A45" s="2" t="str">
        <f ca="1">IFERROR(__xludf.DUMMYFUNCTION("""COMPUTED_VALUE"""),"Human Brain Apparent Boon Of The Omnipotent")</f>
        <v>Human Brain Apparent Boon Of The Omnipotent</v>
      </c>
      <c r="B45" s="1" t="str">
        <f ca="1">IFERROR(__xludf.DUMMYFUNCTION("""COMPUTED_VALUE"""),"Human Brain Apparent Boon Of The Omnipotent : EP_10")</f>
        <v>Human Brain Apparent Boon Of The Omnipotent : EP_10</v>
      </c>
      <c r="C45" s="1" t="str">
        <f ca="1">IFERROR(__xludf.DUMMYFUNCTION("""COMPUTED_VALUE"""),"Regular")</f>
        <v>Regular</v>
      </c>
      <c r="D45" s="1" t="s">
        <v>3</v>
      </c>
      <c r="E45" s="1" t="s">
        <v>3</v>
      </c>
      <c r="F45" s="2" t="str">
        <f ca="1">IFERROR(__xludf.DUMMYFUNCTION("""COMPUTED_VALUE"""),"EP_10")</f>
        <v>EP_10</v>
      </c>
      <c r="G45" s="3" t="str">
        <f ca="1">IFERROR(__xludf.DUMMYFUNCTION("""COMPUTED_VALUE"""),"https://vicharkrantibooks.org/productdetail?book_name=ENGRE010_HUMAN_BRAIN_APPARENT_BOON_OF_THE_OMNIPOTENT_RE2011&amp;product_id=3403")</f>
        <v>https://vicharkrantibooks.org/productdetail?book_name=ENGRE010_HUMAN_BRAIN_APPARENT_BOON_OF_THE_OMNIPOTENT_RE2011&amp;product_id=3403</v>
      </c>
      <c r="H45" s="1" t="str">
        <f ca="1">IFERROR(__xludf.DUMMYFUNCTION("""COMPUTED_VALUE"""),"English")</f>
        <v>English</v>
      </c>
    </row>
    <row r="46" spans="1:8" ht="13.2" x14ac:dyDescent="0.25">
      <c r="A46" s="1" t="str">
        <f ca="1">IFERROR(__xludf.DUMMYFUNCTION("""COMPUTED_VALUE"""),"Ideal Path Of Student Life")</f>
        <v>Ideal Path Of Student Life</v>
      </c>
      <c r="B46" s="1" t="str">
        <f ca="1">IFERROR(__xludf.DUMMYFUNCTION("""COMPUTED_VALUE"""),"Ideal Path Of Student Life : EP_63")</f>
        <v>Ideal Path Of Student Life : EP_63</v>
      </c>
      <c r="C46" s="1" t="str">
        <f ca="1">IFERROR(__xludf.DUMMYFUNCTION("""COMPUTED_VALUE"""),"No Book")</f>
        <v>No Book</v>
      </c>
      <c r="D46" s="1" t="s">
        <v>2</v>
      </c>
      <c r="E46" s="1" t="s">
        <v>2</v>
      </c>
      <c r="F46" s="1" t="str">
        <f ca="1">IFERROR(__xludf.DUMMYFUNCTION("""COMPUTED_VALUE"""),"EP_63")</f>
        <v>EP_63</v>
      </c>
      <c r="G46" s="3" t="str">
        <f ca="1">IFERROR(__xludf.DUMMYFUNCTION("""COMPUTED_VALUE"""),"https://vicharkrantibooks.org/productdetail?product_id=3454")</f>
        <v>https://vicharkrantibooks.org/productdetail?product_id=3454</v>
      </c>
      <c r="H46" s="1" t="str">
        <f ca="1">IFERROR(__xludf.DUMMYFUNCTION("""COMPUTED_VALUE"""),"English")</f>
        <v>English</v>
      </c>
    </row>
    <row r="47" spans="1:8" ht="13.2" x14ac:dyDescent="0.25">
      <c r="A47" s="2" t="str">
        <f ca="1">IFERROR(__xludf.DUMMYFUNCTION("""COMPUTED_VALUE"""),"Ideal Stories")</f>
        <v>Ideal Stories</v>
      </c>
      <c r="B47" s="1" t="str">
        <f ca="1">IFERROR(__xludf.DUMMYFUNCTION("""COMPUTED_VALUE"""),"Ideal Stories : EPB_140")</f>
        <v>Ideal Stories : EPB_140</v>
      </c>
      <c r="C47" s="1" t="str">
        <f ca="1">IFERROR(__xludf.DUMMYFUNCTION("""COMPUTED_VALUE"""),"Big")</f>
        <v>Big</v>
      </c>
      <c r="D47" s="1" t="s">
        <v>1</v>
      </c>
      <c r="E47" s="1" t="s">
        <v>1</v>
      </c>
      <c r="F47" s="2" t="str">
        <f ca="1">IFERROR(__xludf.DUMMYFUNCTION("""COMPUTED_VALUE"""),"EPB_140")</f>
        <v>EPB_140</v>
      </c>
      <c r="G47" s="3" t="str">
        <f ca="1">IFERROR(__xludf.DUMMYFUNCTION("""COMPUTED_VALUE"""),"https://vicharkrantibooks.org/productdetail?book_name=ENGB0202_IDEAL_STORIES_1st2013&amp;product_id=3525")</f>
        <v>https://vicharkrantibooks.org/productdetail?book_name=ENGB0202_IDEAL_STORIES_1st2013&amp;product_id=3525</v>
      </c>
      <c r="H47" s="1" t="str">
        <f ca="1">IFERROR(__xludf.DUMMYFUNCTION("""COMPUTED_VALUE"""),"English")</f>
        <v>English</v>
      </c>
    </row>
    <row r="48" spans="1:8" ht="13.2" x14ac:dyDescent="0.25">
      <c r="A48" s="2" t="str">
        <f ca="1">IFERROR(__xludf.DUMMYFUNCTION("""COMPUTED_VALUE"""),"In The Angelic Light Of Rishi Thoughts 1")</f>
        <v>In The Angelic Light Of Rishi Thoughts 1</v>
      </c>
      <c r="B48" s="1" t="str">
        <f ca="1">IFERROR(__xludf.DUMMYFUNCTION("""COMPUTED_VALUE"""),"In The Angelic Light Of Rishi Thoughts 1 : EP_70_1")</f>
        <v>In The Angelic Light Of Rishi Thoughts 1 : EP_70_1</v>
      </c>
      <c r="C48" s="1" t="str">
        <f ca="1">IFERROR(__xludf.DUMMYFUNCTION("""COMPUTED_VALUE"""),"Pocket")</f>
        <v>Pocket</v>
      </c>
      <c r="D48" s="1" t="s">
        <v>7</v>
      </c>
      <c r="E48" s="1" t="s">
        <v>7</v>
      </c>
      <c r="F48" s="1" t="str">
        <f ca="1">IFERROR(__xludf.DUMMYFUNCTION("""COMPUTED_VALUE"""),"EP_70_1")</f>
        <v>EP_70_1</v>
      </c>
      <c r="G48" s="3" t="str">
        <f ca="1">IFERROR(__xludf.DUMMYFUNCTION("""COMPUTED_VALUE"""),"https://vicharkrantibooks.org/productdetail?book_name=ENGP0712_IN_THE_ANGELIC_LIGHT_OF_RISHI_THOUGHTS_1_xxyyyy&amp;product_id=3460")</f>
        <v>https://vicharkrantibooks.org/productdetail?book_name=ENGP0712_IN_THE_ANGELIC_LIGHT_OF_RISHI_THOUGHTS_1_xxyyyy&amp;product_id=3460</v>
      </c>
      <c r="H48" s="1" t="str">
        <f ca="1">IFERROR(__xludf.DUMMYFUNCTION("""COMPUTED_VALUE"""),"English")</f>
        <v>English</v>
      </c>
    </row>
    <row r="49" spans="1:8" ht="13.2" x14ac:dyDescent="0.25">
      <c r="A49" s="2" t="str">
        <f ca="1">IFERROR(__xludf.DUMMYFUNCTION("""COMPUTED_VALUE"""),"In The Angelic Light Of Rishi Thoughts 2")</f>
        <v>In The Angelic Light Of Rishi Thoughts 2</v>
      </c>
      <c r="B49" s="1" t="str">
        <f ca="1">IFERROR(__xludf.DUMMYFUNCTION("""COMPUTED_VALUE"""),"In The Angelic Light Of Rishi Thoughts 2 : EP_70_2")</f>
        <v>In The Angelic Light Of Rishi Thoughts 2 : EP_70_2</v>
      </c>
      <c r="C49" s="1" t="str">
        <f ca="1">IFERROR(__xludf.DUMMYFUNCTION("""COMPUTED_VALUE"""),"Pocket")</f>
        <v>Pocket</v>
      </c>
      <c r="D49" s="1" t="s">
        <v>7</v>
      </c>
      <c r="E49" s="1" t="s">
        <v>7</v>
      </c>
      <c r="F49" s="1" t="str">
        <f ca="1">IFERROR(__xludf.DUMMYFUNCTION("""COMPUTED_VALUE"""),"EP_70_2")</f>
        <v>EP_70_2</v>
      </c>
      <c r="G49" s="3" t="str">
        <f ca="1">IFERROR(__xludf.DUMMYFUNCTION("""COMPUTED_VALUE"""),"https://vicharkrantibooks.org/productdetail?book_name=ENGP0713_IN_THE_ANGELIC_LIGHT_OF_RISHI_THOUGHTS_2_xxyyyy&amp;product_id=3461")</f>
        <v>https://vicharkrantibooks.org/productdetail?book_name=ENGP0713_IN_THE_ANGELIC_LIGHT_OF_RISHI_THOUGHTS_2_xxyyyy&amp;product_id=3461</v>
      </c>
      <c r="H49" s="1" t="str">
        <f ca="1">IFERROR(__xludf.DUMMYFUNCTION("""COMPUTED_VALUE"""),"English")</f>
        <v>English</v>
      </c>
    </row>
    <row r="50" spans="1:8" ht="13.2" x14ac:dyDescent="0.25">
      <c r="A50" s="2" t="str">
        <f ca="1">IFERROR(__xludf.DUMMYFUNCTION("""COMPUTED_VALUE"""),"In The Angelic Light Of Rishi Thoughts 3")</f>
        <v>In The Angelic Light Of Rishi Thoughts 3</v>
      </c>
      <c r="B50" s="1" t="str">
        <f ca="1">IFERROR(__xludf.DUMMYFUNCTION("""COMPUTED_VALUE"""),"In The Angelic Light Of Rishi Thoughts 3 : EP_70_3")</f>
        <v>In The Angelic Light Of Rishi Thoughts 3 : EP_70_3</v>
      </c>
      <c r="C50" s="1" t="str">
        <f ca="1">IFERROR(__xludf.DUMMYFUNCTION("""COMPUTED_VALUE"""),"Pocket")</f>
        <v>Pocket</v>
      </c>
      <c r="D50" s="1" t="s">
        <v>7</v>
      </c>
      <c r="E50" s="1" t="s">
        <v>7</v>
      </c>
      <c r="F50" s="1" t="str">
        <f ca="1">IFERROR(__xludf.DUMMYFUNCTION("""COMPUTED_VALUE"""),"EP_70_3")</f>
        <v>EP_70_3</v>
      </c>
      <c r="G50" s="3" t="str">
        <f ca="1">IFERROR(__xludf.DUMMYFUNCTION("""COMPUTED_VALUE"""),"https://vicharkrantibooks.org/productdetail?book_name=ENGP0714_IN_THE_ANGELIC_LIGHT_OF_RISHI_THOUGHTS_3_xxyyyy&amp;product_id=3462")</f>
        <v>https://vicharkrantibooks.org/productdetail?book_name=ENGP0714_IN_THE_ANGELIC_LIGHT_OF_RISHI_THOUGHTS_3_xxyyyy&amp;product_id=3462</v>
      </c>
      <c r="H50" s="1" t="str">
        <f ca="1">IFERROR(__xludf.DUMMYFUNCTION("""COMPUTED_VALUE"""),"English")</f>
        <v>English</v>
      </c>
    </row>
    <row r="51" spans="1:8" ht="13.2" x14ac:dyDescent="0.25">
      <c r="A51" s="2" t="str">
        <f ca="1">IFERROR(__xludf.DUMMYFUNCTION("""COMPUTED_VALUE"""),"In The Angelic Light Of Rishi Thoughts 4")</f>
        <v>In The Angelic Light Of Rishi Thoughts 4</v>
      </c>
      <c r="B51" s="1" t="str">
        <f ca="1">IFERROR(__xludf.DUMMYFUNCTION("""COMPUTED_VALUE"""),"In The Angelic Light Of Rishi Thoughts 4 : EP_70_4")</f>
        <v>In The Angelic Light Of Rishi Thoughts 4 : EP_70_4</v>
      </c>
      <c r="C51" s="1" t="str">
        <f ca="1">IFERROR(__xludf.DUMMYFUNCTION("""COMPUTED_VALUE"""),"Pocket")</f>
        <v>Pocket</v>
      </c>
      <c r="D51" s="1" t="s">
        <v>7</v>
      </c>
      <c r="E51" s="1" t="s">
        <v>7</v>
      </c>
      <c r="F51" s="1" t="str">
        <f ca="1">IFERROR(__xludf.DUMMYFUNCTION("""COMPUTED_VALUE"""),"EP_70_4")</f>
        <v>EP_70_4</v>
      </c>
      <c r="G51" s="3" t="str">
        <f ca="1">IFERROR(__xludf.DUMMYFUNCTION("""COMPUTED_VALUE"""),"https://vicharkrantibooks.org/productdetail?book_name=ENGP0715_IN_THE_ANGELIC_LIGHT_OF_RISHI_THOUGHTS_4_xxyyyy&amp;product_id=3463")</f>
        <v>https://vicharkrantibooks.org/productdetail?book_name=ENGP0715_IN_THE_ANGELIC_LIGHT_OF_RISHI_THOUGHTS_4_xxyyyy&amp;product_id=3463</v>
      </c>
      <c r="H51" s="1" t="str">
        <f ca="1">IFERROR(__xludf.DUMMYFUNCTION("""COMPUTED_VALUE"""),"English")</f>
        <v>English</v>
      </c>
    </row>
    <row r="52" spans="1:8" ht="13.2" x14ac:dyDescent="0.25">
      <c r="A52" s="2" t="str">
        <f ca="1">IFERROR(__xludf.DUMMYFUNCTION("""COMPUTED_VALUE"""),"In The Angelic Light Of Rishi Thoughts 5")</f>
        <v>In The Angelic Light Of Rishi Thoughts 5</v>
      </c>
      <c r="B52" s="1" t="str">
        <f ca="1">IFERROR(__xludf.DUMMYFUNCTION("""COMPUTED_VALUE"""),"In The Angelic Light Of Rishi Thoughts 5 : EP_70_5")</f>
        <v>In The Angelic Light Of Rishi Thoughts 5 : EP_70_5</v>
      </c>
      <c r="C52" s="1" t="str">
        <f ca="1">IFERROR(__xludf.DUMMYFUNCTION("""COMPUTED_VALUE"""),"Pocket")</f>
        <v>Pocket</v>
      </c>
      <c r="D52" s="1" t="s">
        <v>7</v>
      </c>
      <c r="E52" s="1" t="s">
        <v>7</v>
      </c>
      <c r="F52" s="1" t="str">
        <f ca="1">IFERROR(__xludf.DUMMYFUNCTION("""COMPUTED_VALUE"""),"EP_70_5")</f>
        <v>EP_70_5</v>
      </c>
      <c r="G52" s="3" t="str">
        <f ca="1">IFERROR(__xludf.DUMMYFUNCTION("""COMPUTED_VALUE"""),"https://vicharkrantibooks.org/productdetail?book_name=ENGP0716_IN_THE_ANGELIC_LIGHT_OF_RISHI_THOUGHTS_5_xxyyyy&amp;product_id=3464")</f>
        <v>https://vicharkrantibooks.org/productdetail?book_name=ENGP0716_IN_THE_ANGELIC_LIGHT_OF_RISHI_THOUGHTS_5_xxyyyy&amp;product_id=3464</v>
      </c>
      <c r="H52" s="1" t="str">
        <f ca="1">IFERROR(__xludf.DUMMYFUNCTION("""COMPUTED_VALUE"""),"English")</f>
        <v>English</v>
      </c>
    </row>
    <row r="53" spans="1:8" ht="13.2" x14ac:dyDescent="0.25">
      <c r="A53" s="2" t="str">
        <f ca="1">IFERROR(__xludf.DUMMYFUNCTION("""COMPUTED_VALUE"""),"In The Angelic Light Of Rishi Thoughts 6")</f>
        <v>In The Angelic Light Of Rishi Thoughts 6</v>
      </c>
      <c r="B53" s="1" t="str">
        <f ca="1">IFERROR(__xludf.DUMMYFUNCTION("""COMPUTED_VALUE"""),"In The Angelic Light Of Rishi Thoughts 6 : EP_70_6")</f>
        <v>In The Angelic Light Of Rishi Thoughts 6 : EP_70_6</v>
      </c>
      <c r="C53" s="1" t="str">
        <f ca="1">IFERROR(__xludf.DUMMYFUNCTION("""COMPUTED_VALUE"""),"Pocket")</f>
        <v>Pocket</v>
      </c>
      <c r="D53" s="1" t="s">
        <v>7</v>
      </c>
      <c r="E53" s="1" t="s">
        <v>7</v>
      </c>
      <c r="F53" s="1" t="str">
        <f ca="1">IFERROR(__xludf.DUMMYFUNCTION("""COMPUTED_VALUE"""),"EP_70_6")</f>
        <v>EP_70_6</v>
      </c>
      <c r="G53" s="3" t="str">
        <f ca="1">IFERROR(__xludf.DUMMYFUNCTION("""COMPUTED_VALUE"""),"https://vicharkrantibooks.org/productdetail?book_name=ENGP0717_IN_THE_ANGELIC_LIGHT_OF_RISHI_THOUGHTS_6_xxyyyy&amp;product_id=3465")</f>
        <v>https://vicharkrantibooks.org/productdetail?book_name=ENGP0717_IN_THE_ANGELIC_LIGHT_OF_RISHI_THOUGHTS_6_xxyyyy&amp;product_id=3465</v>
      </c>
      <c r="H53" s="1" t="str">
        <f ca="1">IFERROR(__xludf.DUMMYFUNCTION("""COMPUTED_VALUE"""),"English")</f>
        <v>English</v>
      </c>
    </row>
    <row r="54" spans="1:8" ht="13.2" x14ac:dyDescent="0.25">
      <c r="A54" s="1" t="str">
        <f ca="1">IFERROR(__xludf.DUMMYFUNCTION("""COMPUTED_VALUE"""),"Increase Your Merits And Observe Civility")</f>
        <v>Increase Your Merits And Observe Civility</v>
      </c>
      <c r="B54" s="1" t="str">
        <f ca="1">IFERROR(__xludf.DUMMYFUNCTION("""COMPUTED_VALUE"""),"Increase Your Merits And Observe Civility : EP_126")</f>
        <v>Increase Your Merits And Observe Civility : EP_126</v>
      </c>
      <c r="C54" s="1" t="str">
        <f ca="1">IFERROR(__xludf.DUMMYFUNCTION("""COMPUTED_VALUE"""),"Pocket")</f>
        <v>Pocket</v>
      </c>
      <c r="D54" s="1" t="s">
        <v>2</v>
      </c>
      <c r="E54" s="1" t="s">
        <v>2</v>
      </c>
      <c r="F54" s="1" t="str">
        <f ca="1">IFERROR(__xludf.DUMMYFUNCTION("""COMPUTED_VALUE"""),"EP_126")</f>
        <v>EP_126</v>
      </c>
      <c r="G54" s="3" t="str">
        <f ca="1">IFERROR(__xludf.DUMMYFUNCTION("""COMPUTED_VALUE"""),"https://vicharkrantibooks.org/productdetail?book_name=ENGP0733_INCREASE_YOUR_MERITS_AND_OBSERVE_CIVILITY_xxyyyy&amp;product_id=3511")</f>
        <v>https://vicharkrantibooks.org/productdetail?book_name=ENGP0733_INCREASE_YOUR_MERITS_AND_OBSERVE_CIVILITY_xxyyyy&amp;product_id=3511</v>
      </c>
      <c r="H54" s="1" t="str">
        <f ca="1">IFERROR(__xludf.DUMMYFUNCTION("""COMPUTED_VALUE"""),"English")</f>
        <v>English</v>
      </c>
    </row>
    <row r="55" spans="1:8" ht="13.2" x14ac:dyDescent="0.25">
      <c r="A55" s="1" t="str">
        <f ca="1">IFERROR(__xludf.DUMMYFUNCTION("""COMPUTED_VALUE"""),"Influx Of Ganga")</f>
        <v>Influx Of Ganga</v>
      </c>
      <c r="B55" s="1" t="str">
        <f ca="1">IFERROR(__xludf.DUMMYFUNCTION("""COMPUTED_VALUE"""),"Influx Of Ganga : EP_52")</f>
        <v>Influx Of Ganga : EP_52</v>
      </c>
      <c r="C55" s="1" t="str">
        <f ca="1">IFERROR(__xludf.DUMMYFUNCTION("""COMPUTED_VALUE"""),"No Book")</f>
        <v>No Book</v>
      </c>
      <c r="D55" s="1" t="s">
        <v>4</v>
      </c>
      <c r="E55" s="1" t="s">
        <v>4</v>
      </c>
      <c r="F55" s="1" t="str">
        <f ca="1">IFERROR(__xludf.DUMMYFUNCTION("""COMPUTED_VALUE"""),"EP_52")</f>
        <v>EP_52</v>
      </c>
      <c r="G55" s="3" t="str">
        <f ca="1">IFERROR(__xludf.DUMMYFUNCTION("""COMPUTED_VALUE"""),"https://vicharkrantibooks.org/productdetail?book_name=EP_52_INFLUX_OF_GANGA_xxyyyy&amp;product_id=3445")</f>
        <v>https://vicharkrantibooks.org/productdetail?book_name=EP_52_INFLUX_OF_GANGA_xxyyyy&amp;product_id=3445</v>
      </c>
      <c r="H55" s="1" t="str">
        <f ca="1">IFERROR(__xludf.DUMMYFUNCTION("""COMPUTED_VALUE"""),"English")</f>
        <v>English</v>
      </c>
    </row>
    <row r="56" spans="1:8" ht="13.2" x14ac:dyDescent="0.25">
      <c r="A56" s="2" t="str">
        <f ca="1">IFERROR(__xludf.DUMMYFUNCTION("""COMPUTED_VALUE"""),"Inspiring Stories")</f>
        <v>Inspiring Stories</v>
      </c>
      <c r="B56" s="1" t="str">
        <f ca="1">IFERROR(__xludf.DUMMYFUNCTION("""COMPUTED_VALUE"""),"Inspiring Stories : EPB_144")</f>
        <v>Inspiring Stories : EPB_144</v>
      </c>
      <c r="C56" s="1" t="str">
        <f ca="1">IFERROR(__xludf.DUMMYFUNCTION("""COMPUTED_VALUE"""),"Big")</f>
        <v>Big</v>
      </c>
      <c r="D56" s="1" t="s">
        <v>1</v>
      </c>
      <c r="E56" s="1" t="s">
        <v>1</v>
      </c>
      <c r="F56" s="2" t="str">
        <f ca="1">IFERROR(__xludf.DUMMYFUNCTION("""COMPUTED_VALUE"""),"EPB_144")</f>
        <v>EPB_144</v>
      </c>
      <c r="G56" s="3" t="str">
        <f ca="1">IFERROR(__xludf.DUMMYFUNCTION("""COMPUTED_VALUE"""),"https://vicharkrantibooks.org/productdetail?book_name=ENGB0211_INSPIRING_STORIES_1st2013&amp;product_id=3529")</f>
        <v>https://vicharkrantibooks.org/productdetail?book_name=ENGB0211_INSPIRING_STORIES_1st2013&amp;product_id=3529</v>
      </c>
      <c r="H56" s="1" t="str">
        <f ca="1">IFERROR(__xludf.DUMMYFUNCTION("""COMPUTED_VALUE"""),"English")</f>
        <v>English</v>
      </c>
    </row>
    <row r="57" spans="1:8" ht="13.2" x14ac:dyDescent="0.25">
      <c r="A57" s="2" t="str">
        <f ca="1">IFERROR(__xludf.DUMMYFUNCTION("""COMPUTED_VALUE"""),"Jivan Sadhana A Noble Art Of Living")</f>
        <v>Jivan Sadhana A Noble Art Of Living</v>
      </c>
      <c r="B57" s="1" t="str">
        <f ca="1">IFERROR(__xludf.DUMMYFUNCTION("""COMPUTED_VALUE"""),"Jivan Sadhana A Noble Art Of Living : EP_80")</f>
        <v>Jivan Sadhana A Noble Art Of Living : EP_80</v>
      </c>
      <c r="C57" s="1" t="str">
        <f ca="1">IFERROR(__xludf.DUMMYFUNCTION("""COMPUTED_VALUE"""),"Regular")</f>
        <v>Regular</v>
      </c>
      <c r="D57" s="1" t="s">
        <v>8</v>
      </c>
      <c r="E57" s="1" t="s">
        <v>8</v>
      </c>
      <c r="F57" s="2" t="str">
        <f ca="1">IFERROR(__xludf.DUMMYFUNCTION("""COMPUTED_VALUE"""),"EP_80")</f>
        <v>EP_80</v>
      </c>
      <c r="G57" s="3" t="str">
        <f ca="1">IFERROR(__xludf.DUMMYFUNCTION("""COMPUTED_VALUE"""),"http://literature.awgp.org/book/A_noble_Art_of_Living/v1")</f>
        <v>http://literature.awgp.org/book/A_noble_Art_of_Living/v1</v>
      </c>
      <c r="H57" s="1" t="str">
        <f ca="1">IFERROR(__xludf.DUMMYFUNCTION("""COMPUTED_VALUE"""),"English")</f>
        <v>English</v>
      </c>
    </row>
    <row r="58" spans="1:8" ht="13.2" x14ac:dyDescent="0.25">
      <c r="A58" s="2" t="str">
        <f ca="1">IFERROR(__xludf.DUMMYFUNCTION("""COMPUTED_VALUE"""),"Let Us Know Yugrishi")</f>
        <v>Let Us Know Yugrishi</v>
      </c>
      <c r="B58" s="1" t="str">
        <f ca="1">IFERROR(__xludf.DUMMYFUNCTION("""COMPUTED_VALUE"""),"Let Us Know Yugrishi : EPB_131")</f>
        <v>Let Us Know Yugrishi : EPB_131</v>
      </c>
      <c r="C58" s="1" t="str">
        <f ca="1">IFERROR(__xludf.DUMMYFUNCTION("""COMPUTED_VALUE"""),"Big")</f>
        <v>Big</v>
      </c>
      <c r="D58" s="1" t="s">
        <v>1</v>
      </c>
      <c r="E58" s="1" t="s">
        <v>1</v>
      </c>
      <c r="F58" s="2" t="str">
        <f ca="1">IFERROR(__xludf.DUMMYFUNCTION("""COMPUTED_VALUE"""),"EPB_131")</f>
        <v>EPB_131</v>
      </c>
      <c r="G58" s="3" t="str">
        <f ca="1">IFERROR(__xludf.DUMMYFUNCTION("""COMPUTED_VALUE"""),"https://vicharkrantibooks.org/productdetail?book_name=ENGB0200_LET_US_KNOW_YUGRISHI_1st2013&amp;product_id=3516")</f>
        <v>https://vicharkrantibooks.org/productdetail?book_name=ENGB0200_LET_US_KNOW_YUGRISHI_1st2013&amp;product_id=3516</v>
      </c>
      <c r="H58" s="1" t="str">
        <f ca="1">IFERROR(__xludf.DUMMYFUNCTION("""COMPUTED_VALUE"""),"English")</f>
        <v>English</v>
      </c>
    </row>
    <row r="59" spans="1:8" ht="13.2" x14ac:dyDescent="0.25">
      <c r="A59" s="2" t="str">
        <f ca="1">IFERROR(__xludf.DUMMYFUNCTION("""COMPUTED_VALUE"""),"Listen To Mahakal'S Call")</f>
        <v>Listen To Mahakal'S Call</v>
      </c>
      <c r="B59" s="1" t="str">
        <f ca="1">IFERROR(__xludf.DUMMYFUNCTION("""COMPUTED_VALUE"""),"Listen To Mahakal'S Call : EP_44")</f>
        <v>Listen To Mahakal'S Call : EP_44</v>
      </c>
      <c r="C59" s="1" t="str">
        <f ca="1">IFERROR(__xludf.DUMMYFUNCTION("""COMPUTED_VALUE"""),"Pocket")</f>
        <v>Pocket</v>
      </c>
      <c r="D59" s="1" t="s">
        <v>4</v>
      </c>
      <c r="E59" s="1" t="s">
        <v>4</v>
      </c>
      <c r="F59" s="1" t="str">
        <f ca="1">IFERROR(__xludf.DUMMYFUNCTION("""COMPUTED_VALUE"""),"EP_44")</f>
        <v>EP_44</v>
      </c>
      <c r="G59" s="3" t="str">
        <f ca="1">IFERROR(__xludf.DUMMYFUNCTION("""COMPUTED_VALUE"""),"https://vicharkrantibooks.org/productdetail?book_name=ENGPE044_LISTEN_TO_MAHAKALS_CALL_xxyyyy&amp;product_id=3437")</f>
        <v>https://vicharkrantibooks.org/productdetail?book_name=ENGPE044_LISTEN_TO_MAHAKALS_CALL_xxyyyy&amp;product_id=3437</v>
      </c>
      <c r="H59" s="1" t="str">
        <f ca="1">IFERROR(__xludf.DUMMYFUNCTION("""COMPUTED_VALUE"""),"English")</f>
        <v>English</v>
      </c>
    </row>
    <row r="60" spans="1:8" ht="13.2" x14ac:dyDescent="0.25">
      <c r="A60" s="2" t="str">
        <f ca="1">IFERROR(__xludf.DUMMYFUNCTION("""COMPUTED_VALUE"""),"Loose Not Your Heart")</f>
        <v>Loose Not Your Heart</v>
      </c>
      <c r="B60" s="1" t="str">
        <f ca="1">IFERROR(__xludf.DUMMYFUNCTION("""COMPUTED_VALUE"""),"Loose Not Your Heart : EP_41")</f>
        <v>Loose Not Your Heart : EP_41</v>
      </c>
      <c r="C60" s="1" t="str">
        <f ca="1">IFERROR(__xludf.DUMMYFUNCTION("""COMPUTED_VALUE"""),"Pocket")</f>
        <v>Pocket</v>
      </c>
      <c r="D60" s="1" t="s">
        <v>8</v>
      </c>
      <c r="E60" s="1" t="s">
        <v>8</v>
      </c>
      <c r="F60" s="1" t="str">
        <f ca="1">IFERROR(__xludf.DUMMYFUNCTION("""COMPUTED_VALUE"""),"EP_41")</f>
        <v>EP_41</v>
      </c>
      <c r="G60" s="3" t="str">
        <f ca="1">IFERROR(__xludf.DUMMYFUNCTION("""COMPUTED_VALUE"""),"https://vicharkrantibooks.org/productdetail?book_name=ENGP0343_LOOSE_NOT_YOUR_HEART_xxyyyy&amp;product_id=3434")</f>
        <v>https://vicharkrantibooks.org/productdetail?book_name=ENGP0343_LOOSE_NOT_YOUR_HEART_xxyyyy&amp;product_id=3434</v>
      </c>
      <c r="H60" s="1" t="str">
        <f ca="1">IFERROR(__xludf.DUMMYFUNCTION("""COMPUTED_VALUE"""),"English")</f>
        <v>English</v>
      </c>
    </row>
    <row r="61" spans="1:8" ht="13.2" x14ac:dyDescent="0.25">
      <c r="A61" s="2" t="str">
        <f ca="1">IFERROR(__xludf.DUMMYFUNCTION("""COMPUTED_VALUE"""),"Loose Not Your Heart Colour")</f>
        <v>Loose Not Your Heart Colour</v>
      </c>
      <c r="B61" s="1" t="str">
        <f ca="1">IFERROR(__xludf.DUMMYFUNCTION("""COMPUTED_VALUE"""),"Loose Not Your Heart Colour : EP_78")</f>
        <v>Loose Not Your Heart Colour : EP_78</v>
      </c>
      <c r="C61" s="1" t="str">
        <f ca="1">IFERROR(__xludf.DUMMYFUNCTION("""COMPUTED_VALUE"""),"Pocket")</f>
        <v>Pocket</v>
      </c>
      <c r="D61" s="1" t="s">
        <v>8</v>
      </c>
      <c r="E61" s="1" t="s">
        <v>8</v>
      </c>
      <c r="F61" s="1" t="str">
        <f ca="1">IFERROR(__xludf.DUMMYFUNCTION("""COMPUTED_VALUE"""),"EP_78")</f>
        <v>EP_78</v>
      </c>
      <c r="G61" s="3" t="str">
        <f ca="1">IFERROR(__xludf.DUMMYFUNCTION("""COMPUTED_VALUE"""),"https://vicharkrantibooks.org/productdetail?book_name=ENGPE078_LOOSE_NOT_YOUR_HEART_COLOUR_RE2012&amp;product_id=3473")</f>
        <v>https://vicharkrantibooks.org/productdetail?book_name=ENGPE078_LOOSE_NOT_YOUR_HEART_COLOUR_RE2012&amp;product_id=3473</v>
      </c>
      <c r="H61" s="1" t="str">
        <f ca="1">IFERROR(__xludf.DUMMYFUNCTION("""COMPUTED_VALUE"""),"English")</f>
        <v>English</v>
      </c>
    </row>
    <row r="62" spans="1:8" ht="13.2" x14ac:dyDescent="0.25">
      <c r="A62" s="2" t="str">
        <f ca="1">IFERROR(__xludf.DUMMYFUNCTION("""COMPUTED_VALUE"""),"Married Life A Perfect Yoga")</f>
        <v>Married Life A Perfect Yoga</v>
      </c>
      <c r="B62" s="1" t="str">
        <f ca="1">IFERROR(__xludf.DUMMYFUNCTION("""COMPUTED_VALUE"""),"Married Life A Perfect Yoga : EP_86")</f>
        <v>Married Life A Perfect Yoga : EP_86</v>
      </c>
      <c r="C62" s="1" t="str">
        <f ca="1">IFERROR(__xludf.DUMMYFUNCTION("""COMPUTED_VALUE"""),"Regular")</f>
        <v>Regular</v>
      </c>
      <c r="D62" s="1" t="s">
        <v>1</v>
      </c>
      <c r="E62" s="1" t="s">
        <v>1</v>
      </c>
      <c r="F62" s="2" t="str">
        <f ca="1">IFERROR(__xludf.DUMMYFUNCTION("""COMPUTED_VALUE"""),"EP_86")</f>
        <v>EP_86</v>
      </c>
      <c r="G62" s="3" t="str">
        <f ca="1">IFERROR(__xludf.DUMMYFUNCTION("""COMPUTED_VALUE"""),"http://literature.awgp.org/book/Married_Life_A_Perfect_Yoga/v1")</f>
        <v>http://literature.awgp.org/book/Married_Life_A_Perfect_Yoga/v1</v>
      </c>
      <c r="H62" s="1" t="str">
        <f ca="1">IFERROR(__xludf.DUMMYFUNCTION("""COMPUTED_VALUE"""),"English")</f>
        <v>English</v>
      </c>
    </row>
    <row r="63" spans="1:8" ht="13.2" x14ac:dyDescent="0.25">
      <c r="A63" s="2" t="str">
        <f ca="1">IFERROR(__xludf.DUMMYFUNCTION("""COMPUTED_VALUE"""),"Mental Balance")</f>
        <v>Mental Balance</v>
      </c>
      <c r="B63" s="1" t="str">
        <f ca="1">IFERROR(__xludf.DUMMYFUNCTION("""COMPUTED_VALUE"""),"Mental Balance : EP_38")</f>
        <v>Mental Balance : EP_38</v>
      </c>
      <c r="C63" s="1" t="str">
        <f ca="1">IFERROR(__xludf.DUMMYFUNCTION("""COMPUTED_VALUE"""),"Pocket")</f>
        <v>Pocket</v>
      </c>
      <c r="D63" s="1" t="s">
        <v>5</v>
      </c>
      <c r="E63" s="1" t="s">
        <v>5</v>
      </c>
      <c r="F63" s="1" t="str">
        <f ca="1">IFERROR(__xludf.DUMMYFUNCTION("""COMPUTED_VALUE"""),"EP_38")</f>
        <v>EP_38</v>
      </c>
      <c r="G63" s="3" t="str">
        <f ca="1">IFERROR(__xludf.DUMMYFUNCTION("""COMPUTED_VALUE"""),"https://vicharkrantibooks.org/productdetail?book_name=ENGP0494_MENTAL_BALANCE_xxyyyy&amp;product_id=3431")</f>
        <v>https://vicharkrantibooks.org/productdetail?book_name=ENGP0494_MENTAL_BALANCE_xxyyyy&amp;product_id=3431</v>
      </c>
      <c r="H63" s="1" t="str">
        <f ca="1">IFERROR(__xludf.DUMMYFUNCTION("""COMPUTED_VALUE"""),"English")</f>
        <v>English</v>
      </c>
    </row>
    <row r="64" spans="1:8" ht="13.2" x14ac:dyDescent="0.25">
      <c r="A64" s="2" t="str">
        <f ca="1">IFERROR(__xludf.DUMMYFUNCTION("""COMPUTED_VALUE"""),"Miracles Of Charismatic Prayer")</f>
        <v>Miracles Of Charismatic Prayer</v>
      </c>
      <c r="B64" s="1" t="str">
        <f ca="1">IFERROR(__xludf.DUMMYFUNCTION("""COMPUTED_VALUE"""),"Miracles Of Charismatic Prayer : EP_59")</f>
        <v>Miracles Of Charismatic Prayer : EP_59</v>
      </c>
      <c r="C64" s="1" t="str">
        <f ca="1">IFERROR(__xludf.DUMMYFUNCTION("""COMPUTED_VALUE"""),"Regular")</f>
        <v>Regular</v>
      </c>
      <c r="D64" s="1" t="s">
        <v>7</v>
      </c>
      <c r="E64" s="1" t="s">
        <v>7</v>
      </c>
      <c r="F64" s="2" t="str">
        <f ca="1">IFERROR(__xludf.DUMMYFUNCTION("""COMPUTED_VALUE"""),"EP_59")</f>
        <v>EP_59</v>
      </c>
      <c r="G64" s="3" t="str">
        <f ca="1">IFERROR(__xludf.DUMMYFUNCTION("""COMPUTED_VALUE"""),"https://vicharkrantibooks.org/productdetail?book_name=ENGRE059_MIRACLES_OF_CHARISMATIC_PRAYER_xxyyyy&amp;product_id=3451")</f>
        <v>https://vicharkrantibooks.org/productdetail?book_name=ENGRE059_MIRACLES_OF_CHARISMATIC_PRAYER_xxyyyy&amp;product_id=3451</v>
      </c>
      <c r="H64" s="1" t="str">
        <f ca="1">IFERROR(__xludf.DUMMYFUNCTION("""COMPUTED_VALUE"""),"English")</f>
        <v>English</v>
      </c>
    </row>
    <row r="65" spans="1:8" ht="13.2" x14ac:dyDescent="0.25">
      <c r="A65" s="2" t="str">
        <f ca="1">IFERROR(__xludf.DUMMYFUNCTION("""COMPUTED_VALUE"""),"Mother’S Teachings")</f>
        <v>Mother’S Teachings</v>
      </c>
      <c r="B65" s="1" t="str">
        <f ca="1">IFERROR(__xludf.DUMMYFUNCTION("""COMPUTED_VALUE"""),"Mother’S Teachings : EPB_141")</f>
        <v>Mother’S Teachings : EPB_141</v>
      </c>
      <c r="C65" s="1" t="str">
        <f ca="1">IFERROR(__xludf.DUMMYFUNCTION("""COMPUTED_VALUE"""),"Big")</f>
        <v>Big</v>
      </c>
      <c r="D65" s="1" t="s">
        <v>1</v>
      </c>
      <c r="E65" s="1" t="s">
        <v>1</v>
      </c>
      <c r="F65" s="2" t="str">
        <f ca="1">IFERROR(__xludf.DUMMYFUNCTION("""COMPUTED_VALUE"""),"EPB_141")</f>
        <v>EPB_141</v>
      </c>
      <c r="G65" s="3" t="str">
        <f ca="1">IFERROR(__xludf.DUMMYFUNCTION("""COMPUTED_VALUE"""),"https://vicharkrantibooks.org/productdetail?book_name=ENGB0208_MOTHER%E2%80%99S_TEACHINGS_1st2013&amp;product_id=3526")</f>
        <v>https://vicharkrantibooks.org/productdetail?book_name=ENGB0208_MOTHER%E2%80%99S_TEACHINGS_1st2013&amp;product_id=3526</v>
      </c>
      <c r="H65" s="1" t="str">
        <f ca="1">IFERROR(__xludf.DUMMYFUNCTION("""COMPUTED_VALUE"""),"English")</f>
        <v>English</v>
      </c>
    </row>
    <row r="66" spans="1:8" ht="13.2" x14ac:dyDescent="0.25">
      <c r="A66" s="2" t="str">
        <f ca="1">IFERROR(__xludf.DUMMYFUNCTION("""COMPUTED_VALUE"""),"Motherhood Revered Every Where")</f>
        <v>Motherhood Revered Every Where</v>
      </c>
      <c r="B66" s="1" t="str">
        <f ca="1">IFERROR(__xludf.DUMMYFUNCTION("""COMPUTED_VALUE"""),"Motherhood Revered Every Where : EP_117")</f>
        <v>Motherhood Revered Every Where : EP_117</v>
      </c>
      <c r="C66" s="1" t="str">
        <f ca="1">IFERROR(__xludf.DUMMYFUNCTION("""COMPUTED_VALUE"""),"Pocket")</f>
        <v>Pocket</v>
      </c>
      <c r="D66" s="1" t="s">
        <v>10</v>
      </c>
      <c r="E66" s="1" t="s">
        <v>10</v>
      </c>
      <c r="F66" s="1" t="str">
        <f ca="1">IFERROR(__xludf.DUMMYFUNCTION("""COMPUTED_VALUE"""),"EP_117")</f>
        <v>EP_117</v>
      </c>
      <c r="G66" s="3" t="str">
        <f ca="1">IFERROR(__xludf.DUMMYFUNCTION("""COMPUTED_VALUE"""),"https://vicharkrantibooks.org/productdetail?book_name=ENGP0817_MOTHERHOOD_REVERED_EVERY_WHERE_xxyyyy&amp;product_id=3502")</f>
        <v>https://vicharkrantibooks.org/productdetail?book_name=ENGP0817_MOTHERHOOD_REVERED_EVERY_WHERE_xxyyyy&amp;product_id=3502</v>
      </c>
      <c r="H66" s="1" t="str">
        <f ca="1">IFERROR(__xludf.DUMMYFUNCTION("""COMPUTED_VALUE"""),"English")</f>
        <v>English</v>
      </c>
    </row>
    <row r="67" spans="1:8" ht="13.2" x14ac:dyDescent="0.25">
      <c r="A67" s="2" t="str">
        <f ca="1">IFERROR(__xludf.DUMMYFUNCTION("""COMPUTED_VALUE"""),"Music The Neetar Of Life")</f>
        <v>Music The Neetar Of Life</v>
      </c>
      <c r="B67" s="1" t="str">
        <f ca="1">IFERROR(__xludf.DUMMYFUNCTION("""COMPUTED_VALUE"""),"Music The Neetar Of Life : EP_51")</f>
        <v>Music The Neetar Of Life : EP_51</v>
      </c>
      <c r="C67" s="1" t="str">
        <f ca="1">IFERROR(__xludf.DUMMYFUNCTION("""COMPUTED_VALUE"""),"Regular")</f>
        <v>Regular</v>
      </c>
      <c r="D67" s="1" t="s">
        <v>3</v>
      </c>
      <c r="E67" s="1" t="s">
        <v>3</v>
      </c>
      <c r="F67" s="2" t="str">
        <f ca="1">IFERROR(__xludf.DUMMYFUNCTION("""COMPUTED_VALUE"""),"EP_51")</f>
        <v>EP_51</v>
      </c>
      <c r="G67" s="3" t="str">
        <f ca="1">IFERROR(__xludf.DUMMYFUNCTION("""COMPUTED_VALUE"""),"http://literature.awgp.org/book/music_the_nectar_of_life/v1")</f>
        <v>http://literature.awgp.org/book/music_the_nectar_of_life/v1</v>
      </c>
      <c r="H67" s="1" t="str">
        <f ca="1">IFERROR(__xludf.DUMMYFUNCTION("""COMPUTED_VALUE"""),"English")</f>
        <v>English</v>
      </c>
    </row>
    <row r="68" spans="1:8" ht="13.2" x14ac:dyDescent="0.25">
      <c r="A68" s="2" t="str">
        <f ca="1">IFERROR(__xludf.DUMMYFUNCTION("""COMPUTED_VALUE"""),"Nature And Outlines Of Women Evolution")</f>
        <v>Nature And Outlines Of Women Evolution</v>
      </c>
      <c r="B68" s="1" t="str">
        <f ca="1">IFERROR(__xludf.DUMMYFUNCTION("""COMPUTED_VALUE"""),"Nature And Outlines Of Women Evolution : EP_114")</f>
        <v>Nature And Outlines Of Women Evolution : EP_114</v>
      </c>
      <c r="C68" s="1" t="str">
        <f ca="1">IFERROR(__xludf.DUMMYFUNCTION("""COMPUTED_VALUE"""),"Pocket")</f>
        <v>Pocket</v>
      </c>
      <c r="D68" s="1" t="s">
        <v>10</v>
      </c>
      <c r="E68" s="1" t="s">
        <v>10</v>
      </c>
      <c r="F68" s="1" t="str">
        <f ca="1">IFERROR(__xludf.DUMMYFUNCTION("""COMPUTED_VALUE"""),"EP_114")</f>
        <v>EP_114</v>
      </c>
      <c r="G68" s="3" t="str">
        <f ca="1">IFERROR(__xludf.DUMMYFUNCTION("""COMPUTED_VALUE"""),"https://vicharkrantibooks.org/productdetail?book_name=ENGP0559_NATURE_AND_OUTLINES_OF_WOMEN_EVOLUTION_xxyyyy&amp;product_id=3499")</f>
        <v>https://vicharkrantibooks.org/productdetail?book_name=ENGP0559_NATURE_AND_OUTLINES_OF_WOMEN_EVOLUTION_xxyyyy&amp;product_id=3499</v>
      </c>
      <c r="H68" s="1" t="str">
        <f ca="1">IFERROR(__xludf.DUMMYFUNCTION("""COMPUTED_VALUE"""),"English")</f>
        <v>English</v>
      </c>
    </row>
    <row r="69" spans="1:8" ht="13.2" x14ac:dyDescent="0.25">
      <c r="A69" s="2" t="str">
        <f ca="1">IFERROR(__xludf.DUMMYFUNCTION("""COMPUTED_VALUE"""),"No Other Way Except Women Evolution")</f>
        <v>No Other Way Except Women Evolution</v>
      </c>
      <c r="B69" s="1" t="str">
        <f ca="1">IFERROR(__xludf.DUMMYFUNCTION("""COMPUTED_VALUE"""),"No Other Way Except Women Evolution : EP_116")</f>
        <v>No Other Way Except Women Evolution : EP_116</v>
      </c>
      <c r="C69" s="1" t="str">
        <f ca="1">IFERROR(__xludf.DUMMYFUNCTION("""COMPUTED_VALUE"""),"Pocket")</f>
        <v>Pocket</v>
      </c>
      <c r="D69" s="1" t="s">
        <v>10</v>
      </c>
      <c r="E69" s="1" t="s">
        <v>10</v>
      </c>
      <c r="F69" s="1" t="str">
        <f ca="1">IFERROR(__xludf.DUMMYFUNCTION("""COMPUTED_VALUE"""),"EP_116")</f>
        <v>EP_116</v>
      </c>
      <c r="G69" s="3" t="str">
        <f ca="1">IFERROR(__xludf.DUMMYFUNCTION("""COMPUTED_VALUE"""),"https://vicharkrantibooks.org/productdetail?book_name=ENGP0584_NO_OTHER_WAY_EXCEPT_WOMEN_EVOLUTION_xxyyyy&amp;product_id=3501")</f>
        <v>https://vicharkrantibooks.org/productdetail?book_name=ENGP0584_NO_OTHER_WAY_EXCEPT_WOMEN_EVOLUTION_xxyyyy&amp;product_id=3501</v>
      </c>
      <c r="H69" s="1" t="str">
        <f ca="1">IFERROR(__xludf.DUMMYFUNCTION("""COMPUTED_VALUE"""),"English")</f>
        <v>English</v>
      </c>
    </row>
    <row r="70" spans="1:8" ht="13.2" x14ac:dyDescent="0.25">
      <c r="A70" s="1" t="str">
        <f ca="1">IFERROR(__xludf.DUMMYFUNCTION("""COMPUTED_VALUE"""),"Observe And Enforce In Life")</f>
        <v>Observe And Enforce In Life</v>
      </c>
      <c r="B70" s="1" t="str">
        <f ca="1">IFERROR(__xludf.DUMMYFUNCTION("""COMPUTED_VALUE"""),"Observe And Enforce In Life : EP_124")</f>
        <v>Observe And Enforce In Life : EP_124</v>
      </c>
      <c r="C70" s="1" t="str">
        <f ca="1">IFERROR(__xludf.DUMMYFUNCTION("""COMPUTED_VALUE"""),"Pocket")</f>
        <v>Pocket</v>
      </c>
      <c r="D70" s="1" t="s">
        <v>2</v>
      </c>
      <c r="E70" s="1" t="s">
        <v>2</v>
      </c>
      <c r="F70" s="1" t="str">
        <f ca="1">IFERROR(__xludf.DUMMYFUNCTION("""COMPUTED_VALUE"""),"EP_124")</f>
        <v>EP_124</v>
      </c>
      <c r="G70" s="3" t="str">
        <f ca="1">IFERROR(__xludf.DUMMYFUNCTION("""COMPUTED_VALUE"""),"https://vicharkrantibooks.org/productdetail?book_name=ENGP0609_OBSERVE_AND_ENFORCE_IN_LIFE_xxyyyy&amp;product_id=3509")</f>
        <v>https://vicharkrantibooks.org/productdetail?book_name=ENGP0609_OBSERVE_AND_ENFORCE_IN_LIFE_xxyyyy&amp;product_id=3509</v>
      </c>
      <c r="H70" s="1" t="str">
        <f ca="1">IFERROR(__xludf.DUMMYFUNCTION("""COMPUTED_VALUE"""),"English")</f>
        <v>English</v>
      </c>
    </row>
    <row r="71" spans="1:8" ht="13.2" x14ac:dyDescent="0.25">
      <c r="A71" s="2" t="str">
        <f ca="1">IFERROR(__xludf.DUMMYFUNCTION("""COMPUTED_VALUE"""),"Old And New Herbal Remedies")</f>
        <v>Old And New Herbal Remedies</v>
      </c>
      <c r="B71" s="1" t="str">
        <f ca="1">IFERROR(__xludf.DUMMYFUNCTION("""COMPUTED_VALUE"""),"Old And New Herbal Remedies : EP_76")</f>
        <v>Old And New Herbal Remedies : EP_76</v>
      </c>
      <c r="C71" s="1" t="str">
        <f ca="1">IFERROR(__xludf.DUMMYFUNCTION("""COMPUTED_VALUE"""),"Regular")</f>
        <v>Regular</v>
      </c>
      <c r="D71" s="1" t="s">
        <v>5</v>
      </c>
      <c r="E71" s="1" t="s">
        <v>5</v>
      </c>
      <c r="F71" s="2" t="str">
        <f ca="1">IFERROR(__xludf.DUMMYFUNCTION("""COMPUTED_VALUE"""),"EP_76")</f>
        <v>EP_76</v>
      </c>
      <c r="G71" s="3" t="str">
        <f ca="1">IFERROR(__xludf.DUMMYFUNCTION("""COMPUTED_VALUE"""),"http://literature.awgp.org/book/Old_New_Herbal_Remedies/v1")</f>
        <v>http://literature.awgp.org/book/Old_New_Herbal_Remedies/v1</v>
      </c>
      <c r="H71" s="1" t="str">
        <f ca="1">IFERROR(__xludf.DUMMYFUNCTION("""COMPUTED_VALUE"""),"English")</f>
        <v>English</v>
      </c>
    </row>
    <row r="72" spans="1:8" ht="13.2" x14ac:dyDescent="0.25">
      <c r="A72" s="2" t="str">
        <f ca="1">IFERROR(__xludf.DUMMYFUNCTION("""COMPUTED_VALUE"""),"Overall Progress Of Women")</f>
        <v>Overall Progress Of Women</v>
      </c>
      <c r="B72" s="1" t="str">
        <f ca="1">IFERROR(__xludf.DUMMYFUNCTION("""COMPUTED_VALUE"""),"Overall Progress Of Women : EP_115")</f>
        <v>Overall Progress Of Women : EP_115</v>
      </c>
      <c r="C72" s="1" t="str">
        <f ca="1">IFERROR(__xludf.DUMMYFUNCTION("""COMPUTED_VALUE"""),"Pocket")</f>
        <v>Pocket</v>
      </c>
      <c r="D72" s="1" t="s">
        <v>10</v>
      </c>
      <c r="E72" s="1" t="s">
        <v>10</v>
      </c>
      <c r="F72" s="1" t="str">
        <f ca="1">IFERROR(__xludf.DUMMYFUNCTION("""COMPUTED_VALUE"""),"EP_115")</f>
        <v>EP_115</v>
      </c>
      <c r="G72" s="3" t="str">
        <f ca="1">IFERROR(__xludf.DUMMYFUNCTION("""COMPUTED_VALUE"""),"https://vicharkrantibooks.org/productdetail?book_name=ENGPE115_OVERALL_PROGRESS_OF_WOMEN_xxyyyy&amp;product_id=3500")</f>
        <v>https://vicharkrantibooks.org/productdetail?book_name=ENGPE115_OVERALL_PROGRESS_OF_WOMEN_xxyyyy&amp;product_id=3500</v>
      </c>
      <c r="H72" s="1" t="str">
        <f ca="1">IFERROR(__xludf.DUMMYFUNCTION("""COMPUTED_VALUE"""),"English")</f>
        <v>English</v>
      </c>
    </row>
    <row r="73" spans="1:8" ht="13.2" x14ac:dyDescent="0.25">
      <c r="A73" s="2" t="str">
        <f ca="1">IFERROR(__xludf.DUMMYFUNCTION("""COMPUTED_VALUE"""),"Paranormal Achievements Through Self Discipline")</f>
        <v>Paranormal Achievements Through Self Discipline</v>
      </c>
      <c r="B73" s="1" t="str">
        <f ca="1">IFERROR(__xludf.DUMMYFUNCTION("""COMPUTED_VALUE"""),"Paranormal Achievements Through Self Discipline : EP_19")</f>
        <v>Paranormal Achievements Through Self Discipline : EP_19</v>
      </c>
      <c r="C73" s="1" t="str">
        <f ca="1">IFERROR(__xludf.DUMMYFUNCTION("""COMPUTED_VALUE"""),"Regular")</f>
        <v>Regular</v>
      </c>
      <c r="D73" s="1" t="s">
        <v>8</v>
      </c>
      <c r="E73" s="1" t="s">
        <v>8</v>
      </c>
      <c r="F73" s="2" t="str">
        <f ca="1">IFERROR(__xludf.DUMMYFUNCTION("""COMPUTED_VALUE"""),"EP_19")</f>
        <v>EP_19</v>
      </c>
      <c r="G73" s="3" t="str">
        <f ca="1">IFERROR(__xludf.DUMMYFUNCTION("""COMPUTED_VALUE"""),"http://literature.awgp.org/book/Para_Normal_Achievements_Through_Self_Discipline/v2")</f>
        <v>http://literature.awgp.org/book/Para_Normal_Achievements_Through_Self_Discipline/v2</v>
      </c>
      <c r="H73" s="1" t="str">
        <f ca="1">IFERROR(__xludf.DUMMYFUNCTION("""COMPUTED_VALUE"""),"English")</f>
        <v>English</v>
      </c>
    </row>
    <row r="74" spans="1:8" ht="13.2" x14ac:dyDescent="0.25">
      <c r="A74" s="2" t="str">
        <f ca="1">IFERROR(__xludf.DUMMYFUNCTION("""COMPUTED_VALUE"""),"Path Of Goodness")</f>
        <v>Path Of Goodness</v>
      </c>
      <c r="B74" s="1" t="str">
        <f ca="1">IFERROR(__xludf.DUMMYFUNCTION("""COMPUTED_VALUE"""),"Path Of Goodness : EPB_132")</f>
        <v>Path Of Goodness : EPB_132</v>
      </c>
      <c r="C74" s="1" t="str">
        <f ca="1">IFERROR(__xludf.DUMMYFUNCTION("""COMPUTED_VALUE"""),"Big")</f>
        <v>Big</v>
      </c>
      <c r="D74" s="1" t="s">
        <v>1</v>
      </c>
      <c r="E74" s="1" t="s">
        <v>1</v>
      </c>
      <c r="F74" s="2" t="str">
        <f ca="1">IFERROR(__xludf.DUMMYFUNCTION("""COMPUTED_VALUE"""),"EPB_132")</f>
        <v>EPB_132</v>
      </c>
      <c r="G74" s="3" t="str">
        <f ca="1">IFERROR(__xludf.DUMMYFUNCTION("""COMPUTED_VALUE"""),"https://vicharkrantibooks.org/productdetail?book_name=ENGB0205_PATH_OF_GOODNESS_1st2013&amp;product_id=3517")</f>
        <v>https://vicharkrantibooks.org/productdetail?book_name=ENGB0205_PATH_OF_GOODNESS_1st2013&amp;product_id=3517</v>
      </c>
      <c r="H74" s="1" t="str">
        <f ca="1">IFERROR(__xludf.DUMMYFUNCTION("""COMPUTED_VALUE"""),"English")</f>
        <v>English</v>
      </c>
    </row>
    <row r="75" spans="1:8" ht="13.2" x14ac:dyDescent="0.25">
      <c r="A75" s="2" t="str">
        <f ca="1">IFERROR(__xludf.DUMMYFUNCTION("""COMPUTED_VALUE"""),"Pause And Think")</f>
        <v>Pause And Think</v>
      </c>
      <c r="B75" s="1" t="str">
        <f ca="1">IFERROR(__xludf.DUMMYFUNCTION("""COMPUTED_VALUE"""),"Pause And Think : EP_42")</f>
        <v>Pause And Think : EP_42</v>
      </c>
      <c r="C75" s="1" t="str">
        <f ca="1">IFERROR(__xludf.DUMMYFUNCTION("""COMPUTED_VALUE"""),"Pocket")</f>
        <v>Pocket</v>
      </c>
      <c r="D75" s="1" t="s">
        <v>8</v>
      </c>
      <c r="E75" s="1" t="s">
        <v>8</v>
      </c>
      <c r="F75" s="1" t="str">
        <f ca="1">IFERROR(__xludf.DUMMYFUNCTION("""COMPUTED_VALUE"""),"EP_42")</f>
        <v>EP_42</v>
      </c>
      <c r="G75" s="3" t="str">
        <f ca="1">IFERROR(__xludf.DUMMYFUNCTION("""COMPUTED_VALUE"""),"https://vicharkrantibooks.org/productdetail?book_name=ENGPE042_PAUSE_AND_THINK_xxyyyy&amp;product_id=3435")</f>
        <v>https://vicharkrantibooks.org/productdetail?book_name=ENGPE042_PAUSE_AND_THINK_xxyyyy&amp;product_id=3435</v>
      </c>
      <c r="H75" s="1" t="str">
        <f ca="1">IFERROR(__xludf.DUMMYFUNCTION("""COMPUTED_VALUE"""),"English")</f>
        <v>English</v>
      </c>
    </row>
    <row r="76" spans="1:8" ht="13.2" x14ac:dyDescent="0.25">
      <c r="A76" s="2" t="str">
        <f ca="1">IFERROR(__xludf.DUMMYFUNCTION("""COMPUTED_VALUE"""),"Pearls Of Ocean")</f>
        <v>Pearls Of Ocean</v>
      </c>
      <c r="B76" s="1" t="str">
        <f ca="1">IFERROR(__xludf.DUMMYFUNCTION("""COMPUTED_VALUE"""),"Pearls Of Ocean : EPB_150")</f>
        <v>Pearls Of Ocean : EPB_150</v>
      </c>
      <c r="C76" s="1" t="str">
        <f ca="1">IFERROR(__xludf.DUMMYFUNCTION("""COMPUTED_VALUE"""),"Big")</f>
        <v>Big</v>
      </c>
      <c r="D76" s="1" t="s">
        <v>1</v>
      </c>
      <c r="E76" s="1" t="s">
        <v>1</v>
      </c>
      <c r="F76" s="2" t="str">
        <f ca="1">IFERROR(__xludf.DUMMYFUNCTION("""COMPUTED_VALUE"""),"EPB_150")</f>
        <v>EPB_150</v>
      </c>
      <c r="G76" s="3" t="str">
        <f ca="1">IFERROR(__xludf.DUMMYFUNCTION("""COMPUTED_VALUE"""),"https://vicharkrantibooks.org/productdetail?book_name=ENGB0212_PEARLS_OF_OCEAN_1st2013&amp;product_id=3535")</f>
        <v>https://vicharkrantibooks.org/productdetail?book_name=ENGB0212_PEARLS_OF_OCEAN_1st2013&amp;product_id=3535</v>
      </c>
      <c r="H76" s="1" t="str">
        <f ca="1">IFERROR(__xludf.DUMMYFUNCTION("""COMPUTED_VALUE"""),"English")</f>
        <v>English</v>
      </c>
    </row>
    <row r="77" spans="1:8" ht="13.2" x14ac:dyDescent="0.25">
      <c r="A77" s="2" t="str">
        <f ca="1">IFERROR(__xludf.DUMMYFUNCTION("""COMPUTED_VALUE"""),"Practical Ways To Sharpen The Memory And Intalic (New)")</f>
        <v>Practical Ways To Sharpen The Memory And Intalic (New)</v>
      </c>
      <c r="B77" s="1" t="str">
        <f ca="1">IFERROR(__xludf.DUMMYFUNCTION("""COMPUTED_VALUE"""),"Practical Ways To Sharpen The Memory And Intalic (New) : EP_111")</f>
        <v>Practical Ways To Sharpen The Memory And Intalic (New) : EP_111</v>
      </c>
      <c r="C77" s="1" t="str">
        <f ca="1">IFERROR(__xludf.DUMMYFUNCTION("""COMPUTED_VALUE"""),"Regular")</f>
        <v>Regular</v>
      </c>
      <c r="D77" s="1" t="s">
        <v>8</v>
      </c>
      <c r="E77" s="1" t="s">
        <v>8</v>
      </c>
      <c r="F77" s="2" t="str">
        <f ca="1">IFERROR(__xludf.DUMMYFUNCTION("""COMPUTED_VALUE"""),"EP_111")</f>
        <v>EP_111</v>
      </c>
      <c r="G77" s="3" t="str">
        <f ca="1">IFERROR(__xludf.DUMMYFUNCTION("""COMPUTED_VALUE"""),"https://vicharkrantibooks.org/productdetail?book_name=ENGR0280_PRACTICAL_WAYS_TO_SHARPEN_THE_MEMORY_AND_INTALIC_(NEW)_2nd2016&amp;product_id=3496")</f>
        <v>https://vicharkrantibooks.org/productdetail?book_name=ENGR0280_PRACTICAL_WAYS_TO_SHARPEN_THE_MEMORY_AND_INTALIC_(NEW)_2nd2016&amp;product_id=3496</v>
      </c>
      <c r="H77" s="1" t="str">
        <f ca="1">IFERROR(__xludf.DUMMYFUNCTION("""COMPUTED_VALUE"""),"English")</f>
        <v>English</v>
      </c>
    </row>
    <row r="78" spans="1:8" ht="13.2" x14ac:dyDescent="0.25">
      <c r="A78" s="1" t="str">
        <f ca="1">IFERROR(__xludf.DUMMYFUNCTION("""COMPUTED_VALUE"""),"Pragya Tales For Children Part 1")</f>
        <v>Pragya Tales For Children Part 1</v>
      </c>
      <c r="B78" s="1" t="str">
        <f ca="1">IFERROR(__xludf.DUMMYFUNCTION("""COMPUTED_VALUE"""),"Pragya Tales For Children Part 1 : EP_73")</f>
        <v>Pragya Tales For Children Part 1 : EP_73</v>
      </c>
      <c r="C78" s="1" t="str">
        <f ca="1">IFERROR(__xludf.DUMMYFUNCTION("""COMPUTED_VALUE"""),"Big")</f>
        <v>Big</v>
      </c>
      <c r="D78" s="1" t="s">
        <v>1</v>
      </c>
      <c r="E78" s="1" t="s">
        <v>1</v>
      </c>
      <c r="F78" s="1" t="str">
        <f ca="1">IFERROR(__xludf.DUMMYFUNCTION("""COMPUTED_VALUE"""),"EP_73")</f>
        <v>EP_73</v>
      </c>
      <c r="G78" s="3" t="str">
        <f ca="1">IFERROR(__xludf.DUMMYFUNCTION("""COMPUTED_VALUE"""),"https://vicharkrantibooks.org/productdetail?book_name=ENGBE073_PRAGYA_TALES_FOR_CHILDREN_PART_1_xx2011&amp;product_id=3468")</f>
        <v>https://vicharkrantibooks.org/productdetail?book_name=ENGBE073_PRAGYA_TALES_FOR_CHILDREN_PART_1_xx2011&amp;product_id=3468</v>
      </c>
      <c r="H78" s="1" t="str">
        <f ca="1">IFERROR(__xludf.DUMMYFUNCTION("""COMPUTED_VALUE"""),"English")</f>
        <v>English</v>
      </c>
    </row>
    <row r="79" spans="1:8" ht="13.2" x14ac:dyDescent="0.25">
      <c r="A79" s="1" t="str">
        <f ca="1">IFERROR(__xludf.DUMMYFUNCTION("""COMPUTED_VALUE"""),"Pragya Tales For Children Part 2")</f>
        <v>Pragya Tales For Children Part 2</v>
      </c>
      <c r="B79" s="1" t="str">
        <f ca="1">IFERROR(__xludf.DUMMYFUNCTION("""COMPUTED_VALUE"""),"Pragya Tales For Children Part 2 : EP_74")</f>
        <v>Pragya Tales For Children Part 2 : EP_74</v>
      </c>
      <c r="C79" s="1" t="str">
        <f ca="1">IFERROR(__xludf.DUMMYFUNCTION("""COMPUTED_VALUE"""),"Big")</f>
        <v>Big</v>
      </c>
      <c r="D79" s="1" t="s">
        <v>1</v>
      </c>
      <c r="E79" s="1" t="s">
        <v>1</v>
      </c>
      <c r="F79" s="1" t="str">
        <f ca="1">IFERROR(__xludf.DUMMYFUNCTION("""COMPUTED_VALUE"""),"EP_74")</f>
        <v>EP_74</v>
      </c>
      <c r="G79" s="3" t="str">
        <f ca="1">IFERROR(__xludf.DUMMYFUNCTION("""COMPUTED_VALUE"""),"https://vicharkrantibooks.org/productdetail?book_name=ENGBE074_PRAGYA_TALES_FOR_CHILDREN_PART_2_RE2014&amp;product_id=3469")</f>
        <v>https://vicharkrantibooks.org/productdetail?book_name=ENGBE074_PRAGYA_TALES_FOR_CHILDREN_PART_2_RE2014&amp;product_id=3469</v>
      </c>
      <c r="H79" s="1" t="str">
        <f ca="1">IFERROR(__xludf.DUMMYFUNCTION("""COMPUTED_VALUE"""),"English")</f>
        <v>English</v>
      </c>
    </row>
    <row r="80" spans="1:8" ht="13.2" x14ac:dyDescent="0.25">
      <c r="A80" s="2" t="str">
        <f ca="1">IFERROR(__xludf.DUMMYFUNCTION("""COMPUTED_VALUE"""),"Pragya Yoga For Happy And Healthy Life")</f>
        <v>Pragya Yoga For Happy And Healthy Life</v>
      </c>
      <c r="B80" s="1" t="str">
        <f ca="1">IFERROR(__xludf.DUMMYFUNCTION("""COMPUTED_VALUE"""),"Pragya Yoga For Happy And Healthy Life : EP_81")</f>
        <v>Pragya Yoga For Happy And Healthy Life : EP_81</v>
      </c>
      <c r="C80" s="1" t="str">
        <f ca="1">IFERROR(__xludf.DUMMYFUNCTION("""COMPUTED_VALUE"""),"Regular")</f>
        <v>Regular</v>
      </c>
      <c r="D80" s="1" t="s">
        <v>5</v>
      </c>
      <c r="E80" s="1" t="s">
        <v>5</v>
      </c>
      <c r="F80" s="2" t="str">
        <f ca="1">IFERROR(__xludf.DUMMYFUNCTION("""COMPUTED_VALUE"""),"EP_81")</f>
        <v>EP_81</v>
      </c>
      <c r="G80" s="3" t="str">
        <f ca="1">IFERROR(__xludf.DUMMYFUNCTION("""COMPUTED_VALUE"""),"https://vicharkrantibooks.org/productdetail?book_name=ENGR0988_PRAGYA_YOGA_FOR_HAPPY_AND_HEALTHY_LIFE_RE2014&amp;product_id=3476")</f>
        <v>https://vicharkrantibooks.org/productdetail?book_name=ENGR0988_PRAGYA_YOGA_FOR_HAPPY_AND_HEALTHY_LIFE_RE2014&amp;product_id=3476</v>
      </c>
      <c r="H80" s="1" t="str">
        <f ca="1">IFERROR(__xludf.DUMMYFUNCTION("""COMPUTED_VALUE"""),"English")</f>
        <v>English</v>
      </c>
    </row>
    <row r="81" spans="1:8" ht="13.2" x14ac:dyDescent="0.25">
      <c r="A81" s="2" t="str">
        <f ca="1">IFERROR(__xludf.DUMMYFUNCTION("""COMPUTED_VALUE"""),"Prepare Your Self To Excel")</f>
        <v>Prepare Your Self To Excel</v>
      </c>
      <c r="B81" s="1" t="str">
        <f ca="1">IFERROR(__xludf.DUMMYFUNCTION("""COMPUTED_VALUE"""),"Prepare Your Self To Excel : EP_72")</f>
        <v>Prepare Your Self To Excel : EP_72</v>
      </c>
      <c r="C81" s="1" t="str">
        <f ca="1">IFERROR(__xludf.DUMMYFUNCTION("""COMPUTED_VALUE"""),"Regular")</f>
        <v>Regular</v>
      </c>
      <c r="D81" s="1" t="s">
        <v>8</v>
      </c>
      <c r="E81" s="1" t="s">
        <v>8</v>
      </c>
      <c r="F81" s="2" t="str">
        <f ca="1">IFERROR(__xludf.DUMMYFUNCTION("""COMPUTED_VALUE"""),"EP_72")</f>
        <v>EP_72</v>
      </c>
      <c r="G81" s="3" t="str">
        <f ca="1">IFERROR(__xludf.DUMMYFUNCTION("""COMPUTED_VALUE"""),"http://literature.awgp.org/book/Prepare_Yourself_to_Excel/v1")</f>
        <v>http://literature.awgp.org/book/Prepare_Yourself_to_Excel/v1</v>
      </c>
      <c r="H81" s="1" t="str">
        <f ca="1">IFERROR(__xludf.DUMMYFUNCTION("""COMPUTED_VALUE"""),"English")</f>
        <v>English</v>
      </c>
    </row>
    <row r="82" spans="1:8" ht="13.2" x14ac:dyDescent="0.25">
      <c r="A82" s="2" t="str">
        <f ca="1">IFERROR(__xludf.DUMMYFUNCTION("""COMPUTED_VALUE"""),"Problems Of Today Solution For Tomorrow")</f>
        <v>Problems Of Today Solution For Tomorrow</v>
      </c>
      <c r="B82" s="1" t="str">
        <f ca="1">IFERROR(__xludf.DUMMYFUNCTION("""COMPUTED_VALUE"""),"Problems Of Today Solution For Tomorrow : EP_14")</f>
        <v>Problems Of Today Solution For Tomorrow : EP_14</v>
      </c>
      <c r="C82" s="1" t="str">
        <f ca="1">IFERROR(__xludf.DUMMYFUNCTION("""COMPUTED_VALUE"""),"Regular")</f>
        <v>Regular</v>
      </c>
      <c r="D82" s="1" t="s">
        <v>10</v>
      </c>
      <c r="E82" s="1" t="s">
        <v>10</v>
      </c>
      <c r="F82" s="2" t="str">
        <f ca="1">IFERROR(__xludf.DUMMYFUNCTION("""COMPUTED_VALUE"""),"EP_14")</f>
        <v>EP_14</v>
      </c>
      <c r="G82" s="3" t="str">
        <f ca="1">IFERROR(__xludf.DUMMYFUNCTION("""COMPUTED_VALUE"""),"http://literature.awgp.org/book/PROBLEMS_OF_TODAY_SOLUTIONS_FOR_TOMORROW/v1")</f>
        <v>http://literature.awgp.org/book/PROBLEMS_OF_TODAY_SOLUTIONS_FOR_TOMORROW/v1</v>
      </c>
      <c r="H82" s="1" t="str">
        <f ca="1">IFERROR(__xludf.DUMMYFUNCTION("""COMPUTED_VALUE"""),"English")</f>
        <v>English</v>
      </c>
    </row>
    <row r="83" spans="1:8" ht="13.2" x14ac:dyDescent="0.25">
      <c r="A83" s="2" t="str">
        <f ca="1">IFERROR(__xludf.DUMMYFUNCTION("""COMPUTED_VALUE"""),"Refinement Of Talents Need Of The Present Era Part 1")</f>
        <v>Refinement Of Talents Need Of The Present Era Part 1</v>
      </c>
      <c r="B83" s="1" t="str">
        <f ca="1">IFERROR(__xludf.DUMMYFUNCTION("""COMPUTED_VALUE"""),"Refinement Of Talents Need Of The Present Era Part 1 : EP_07")</f>
        <v>Refinement Of Talents Need Of The Present Era Part 1 : EP_07</v>
      </c>
      <c r="C83" s="1" t="str">
        <f ca="1">IFERROR(__xludf.DUMMYFUNCTION("""COMPUTED_VALUE"""),"Regular")</f>
        <v>Regular</v>
      </c>
      <c r="D83" s="1" t="s">
        <v>2</v>
      </c>
      <c r="E83" s="1" t="s">
        <v>2</v>
      </c>
      <c r="F83" s="2" t="str">
        <f ca="1">IFERROR(__xludf.DUMMYFUNCTION("""COMPUTED_VALUE"""),"EP_07")</f>
        <v>EP_07</v>
      </c>
      <c r="G83" s="3" t="str">
        <f ca="1">IFERROR(__xludf.DUMMYFUNCTION("""COMPUTED_VALUE"""),"https://vicharkrantibooks.org/productdetail?book_name=ENGR1584_REFINEMENT_OF_TALENTS_NEED_OF_THE_PRESENT_ERA_PART_1_RE2010&amp;product_id=3400")</f>
        <v>https://vicharkrantibooks.org/productdetail?book_name=ENGR1584_REFINEMENT_OF_TALENTS_NEED_OF_THE_PRESENT_ERA_PART_1_RE2010&amp;product_id=3400</v>
      </c>
      <c r="H83" s="1" t="str">
        <f ca="1">IFERROR(__xludf.DUMMYFUNCTION("""COMPUTED_VALUE"""),"English")</f>
        <v>English</v>
      </c>
    </row>
    <row r="84" spans="1:8" ht="13.2" x14ac:dyDescent="0.25">
      <c r="A84" s="2" t="str">
        <f ca="1">IFERROR(__xludf.DUMMYFUNCTION("""COMPUTED_VALUE"""),"Refinement Of Talents Need Of The Present Era Part 2")</f>
        <v>Refinement Of Talents Need Of The Present Era Part 2</v>
      </c>
      <c r="B84" s="1" t="str">
        <f ca="1">IFERROR(__xludf.DUMMYFUNCTION("""COMPUTED_VALUE"""),"Refinement Of Talents Need Of The Present Era Part 2 : EP_08")</f>
        <v>Refinement Of Talents Need Of The Present Era Part 2 : EP_08</v>
      </c>
      <c r="C84" s="1" t="str">
        <f ca="1">IFERROR(__xludf.DUMMYFUNCTION("""COMPUTED_VALUE"""),"Regular")</f>
        <v>Regular</v>
      </c>
      <c r="D84" s="1" t="s">
        <v>2</v>
      </c>
      <c r="E84" s="1" t="s">
        <v>2</v>
      </c>
      <c r="F84" s="2" t="str">
        <f ca="1">IFERROR(__xludf.DUMMYFUNCTION("""COMPUTED_VALUE"""),"EP_08")</f>
        <v>EP_08</v>
      </c>
      <c r="G84" s="3" t="str">
        <f ca="1">IFERROR(__xludf.DUMMYFUNCTION("""COMPUTED_VALUE"""),"https://vicharkrantibooks.org/productdetail?book_name=ENGR1585_REFINEMENT_OF_TALENTS_NEED_OF_THE_PRESENT_ERA_PART_2_xx2009&amp;product_id=3401")</f>
        <v>https://vicharkrantibooks.org/productdetail?book_name=ENGR1585_REFINEMENT_OF_TALENTS_NEED_OF_THE_PRESENT_ERA_PART_2_xx2009&amp;product_id=3401</v>
      </c>
      <c r="H84" s="1" t="str">
        <f ca="1">IFERROR(__xludf.DUMMYFUNCTION("""COMPUTED_VALUE"""),"English")</f>
        <v>English</v>
      </c>
    </row>
    <row r="85" spans="1:8" ht="13.2" x14ac:dyDescent="0.25">
      <c r="A85" s="2" t="str">
        <f ca="1">IFERROR(__xludf.DUMMYFUNCTION("""COMPUTED_VALUE"""),"Rejuvenation Without Medicines")</f>
        <v>Rejuvenation Without Medicines</v>
      </c>
      <c r="B85" s="1" t="str">
        <f ca="1">IFERROR(__xludf.DUMMYFUNCTION("""COMPUTED_VALUE"""),"Rejuvenation Without Medicines : EP_85")</f>
        <v>Rejuvenation Without Medicines : EP_85</v>
      </c>
      <c r="C85" s="1" t="str">
        <f ca="1">IFERROR(__xludf.DUMMYFUNCTION("""COMPUTED_VALUE"""),"Regular")</f>
        <v>Regular</v>
      </c>
      <c r="D85" s="1" t="s">
        <v>5</v>
      </c>
      <c r="E85" s="1" t="s">
        <v>5</v>
      </c>
      <c r="F85" s="2" t="str">
        <f ca="1">IFERROR(__xludf.DUMMYFUNCTION("""COMPUTED_VALUE"""),"EP_85")</f>
        <v>EP_85</v>
      </c>
      <c r="G85" s="3" t="str">
        <f ca="1">IFERROR(__xludf.DUMMYFUNCTION("""COMPUTED_VALUE"""),"https://vicharkrantibooks.org/productdetail?book_name=ENGR0263_REJUVENATION_WITHOUT_MEDICINES_RE2014&amp;product_id=3480")</f>
        <v>https://vicharkrantibooks.org/productdetail?book_name=ENGR0263_REJUVENATION_WITHOUT_MEDICINES_RE2014&amp;product_id=3480</v>
      </c>
      <c r="H85" s="1" t="str">
        <f ca="1">IFERROR(__xludf.DUMMYFUNCTION("""COMPUTED_VALUE"""),"English")</f>
        <v>English</v>
      </c>
    </row>
    <row r="86" spans="1:8" ht="13.2" x14ac:dyDescent="0.25">
      <c r="A86" s="2" t="str">
        <f ca="1">IFERROR(__xludf.DUMMYFUNCTION("""COMPUTED_VALUE"""),"Religion And Science Complementary Not Contradictory")</f>
        <v>Religion And Science Complementary Not Contradictory</v>
      </c>
      <c r="B86" s="1" t="str">
        <f ca="1">IFERROR(__xludf.DUMMYFUNCTION("""COMPUTED_VALUE"""),"Religion And Science Complementary Not Contradictory : EP_106")</f>
        <v>Religion And Science Complementary Not Contradictory : EP_106</v>
      </c>
      <c r="C86" s="1" t="str">
        <f ca="1">IFERROR(__xludf.DUMMYFUNCTION("""COMPUTED_VALUE"""),"Regular")</f>
        <v>Regular</v>
      </c>
      <c r="D86" s="1" t="s">
        <v>3</v>
      </c>
      <c r="E86" s="1" t="s">
        <v>3</v>
      </c>
      <c r="F86" s="2" t="str">
        <f ca="1">IFERROR(__xludf.DUMMYFUNCTION("""COMPUTED_VALUE"""),"EP_106")</f>
        <v>EP_106</v>
      </c>
      <c r="G86" s="3" t="str">
        <f ca="1">IFERROR(__xludf.DUMMYFUNCTION("""COMPUTED_VALUE"""),"https://vicharkrantibooks.org/productdetail?book_name=ENGRE106_RELIGION_AND_SCIENCE_COMPLEMENTARY_NOT_CONTRADICTORY_1st2011&amp;product_id=3493")</f>
        <v>https://vicharkrantibooks.org/productdetail?book_name=ENGRE106_RELIGION_AND_SCIENCE_COMPLEMENTARY_NOT_CONTRADICTORY_1st2011&amp;product_id=3493</v>
      </c>
      <c r="H86" s="1" t="str">
        <f ca="1">IFERROR(__xludf.DUMMYFUNCTION("""COMPUTED_VALUE"""),"English")</f>
        <v>English</v>
      </c>
    </row>
    <row r="87" spans="1:8" ht="13.2" x14ac:dyDescent="0.25">
      <c r="A87" s="2" t="str">
        <f ca="1">IFERROR(__xludf.DUMMYFUNCTION("""COMPUTED_VALUE"""),"Rely On Prudence")</f>
        <v>Rely On Prudence</v>
      </c>
      <c r="B87" s="1" t="str">
        <f ca="1">IFERROR(__xludf.DUMMYFUNCTION("""COMPUTED_VALUE"""),"Rely On Prudence : EPB_143")</f>
        <v>Rely On Prudence : EPB_143</v>
      </c>
      <c r="C87" s="1" t="str">
        <f ca="1">IFERROR(__xludf.DUMMYFUNCTION("""COMPUTED_VALUE"""),"Big")</f>
        <v>Big</v>
      </c>
      <c r="D87" s="1" t="s">
        <v>1</v>
      </c>
      <c r="E87" s="1" t="s">
        <v>1</v>
      </c>
      <c r="F87" s="2" t="str">
        <f ca="1">IFERROR(__xludf.DUMMYFUNCTION("""COMPUTED_VALUE"""),"EPB_143")</f>
        <v>EPB_143</v>
      </c>
      <c r="G87" s="3" t="str">
        <f ca="1">IFERROR(__xludf.DUMMYFUNCTION("""COMPUTED_VALUE"""),"https://vicharkrantibooks.org/productdetail?book_name=ENGB0219_RELY_ON_PRUDENCE_1st2013&amp;product_id=3528")</f>
        <v>https://vicharkrantibooks.org/productdetail?book_name=ENGB0219_RELY_ON_PRUDENCE_1st2013&amp;product_id=3528</v>
      </c>
      <c r="H87" s="1" t="str">
        <f ca="1">IFERROR(__xludf.DUMMYFUNCTION("""COMPUTED_VALUE"""),"English")</f>
        <v>English</v>
      </c>
    </row>
    <row r="88" spans="1:8" ht="13.2" x14ac:dyDescent="0.25">
      <c r="A88" s="1" t="str">
        <f ca="1">IFERROR(__xludf.DUMMYFUNCTION("""COMPUTED_VALUE"""),"Renounce The Demoniac Addiction")</f>
        <v>Renounce The Demoniac Addiction</v>
      </c>
      <c r="B88" s="1" t="str">
        <f ca="1">IFERROR(__xludf.DUMMYFUNCTION("""COMPUTED_VALUE"""),"Renounce The Demoniac Addiction : EP_121")</f>
        <v>Renounce The Demoniac Addiction : EP_121</v>
      </c>
      <c r="C88" s="1" t="str">
        <f ca="1">IFERROR(__xludf.DUMMYFUNCTION("""COMPUTED_VALUE"""),"Pocket")</f>
        <v>Pocket</v>
      </c>
      <c r="D88" s="1" t="s">
        <v>2</v>
      </c>
      <c r="E88" s="1" t="s">
        <v>2</v>
      </c>
      <c r="F88" s="1" t="str">
        <f ca="1">IFERROR(__xludf.DUMMYFUNCTION("""COMPUTED_VALUE"""),"EP_121")</f>
        <v>EP_121</v>
      </c>
      <c r="G88" s="3" t="str">
        <f ca="1">IFERROR(__xludf.DUMMYFUNCTION("""COMPUTED_VALUE"""),"https://vicharkrantibooks.org/productdetail?book_name=ENGP1015_RENOUNCE_THE_DEMONIAC_ADDICTION_xxyyyy&amp;product_id=3506")</f>
        <v>https://vicharkrantibooks.org/productdetail?book_name=ENGP1015_RENOUNCE_THE_DEMONIAC_ADDICTION_xxyyyy&amp;product_id=3506</v>
      </c>
      <c r="H88" s="1" t="str">
        <f ca="1">IFERROR(__xludf.DUMMYFUNCTION("""COMPUTED_VALUE"""),"English")</f>
        <v>English</v>
      </c>
    </row>
    <row r="89" spans="1:8" ht="13.2" x14ac:dyDescent="0.25">
      <c r="A89" s="2" t="str">
        <f ca="1">IFERROR(__xludf.DUMMYFUNCTION("""COMPUTED_VALUE"""),"Result Of Copying")</f>
        <v>Result Of Copying</v>
      </c>
      <c r="B89" s="1" t="str">
        <f ca="1">IFERROR(__xludf.DUMMYFUNCTION("""COMPUTED_VALUE"""),"Result Of Copying : EPB_135")</f>
        <v>Result Of Copying : EPB_135</v>
      </c>
      <c r="C89" s="1" t="str">
        <f ca="1">IFERROR(__xludf.DUMMYFUNCTION("""COMPUTED_VALUE"""),"Big")</f>
        <v>Big</v>
      </c>
      <c r="D89" s="1" t="s">
        <v>1</v>
      </c>
      <c r="E89" s="1" t="s">
        <v>1</v>
      </c>
      <c r="F89" s="2" t="str">
        <f ca="1">IFERROR(__xludf.DUMMYFUNCTION("""COMPUTED_VALUE"""),"EPB_135")</f>
        <v>EPB_135</v>
      </c>
      <c r="G89" s="3" t="str">
        <f ca="1">IFERROR(__xludf.DUMMYFUNCTION("""COMPUTED_VALUE"""),"https://vicharkrantibooks.org/productdetail?book_name=ENGB0210_RESULT_OF_COPYING_1st2013&amp;product_id=3520")</f>
        <v>https://vicharkrantibooks.org/productdetail?book_name=ENGB0210_RESULT_OF_COPYING_1st2013&amp;product_id=3520</v>
      </c>
      <c r="H89" s="1" t="str">
        <f ca="1">IFERROR(__xludf.DUMMYFUNCTION("""COMPUTED_VALUE"""),"English")</f>
        <v>English</v>
      </c>
    </row>
    <row r="90" spans="1:8" ht="13.2" x14ac:dyDescent="0.25">
      <c r="A90" s="2" t="str">
        <f ca="1">IFERROR(__xludf.DUMMYFUNCTION("""COMPUTED_VALUE"""),"Revival Of Satyug The Golden Age Towards A Bright Future")</f>
        <v>Revival Of Satyug The Golden Age Towards A Bright Future</v>
      </c>
      <c r="B90" s="1" t="str">
        <f ca="1">IFERROR(__xludf.DUMMYFUNCTION("""COMPUTED_VALUE"""),"Revival Of Satyug The Golden Age Towards A Bright Future : EP_01")</f>
        <v>Revival Of Satyug The Golden Age Towards A Bright Future : EP_01</v>
      </c>
      <c r="C90" s="1" t="str">
        <f ca="1">IFERROR(__xludf.DUMMYFUNCTION("""COMPUTED_VALUE"""),"Regular")</f>
        <v>Regular</v>
      </c>
      <c r="D90" s="1" t="s">
        <v>4</v>
      </c>
      <c r="E90" s="1" t="s">
        <v>4</v>
      </c>
      <c r="F90" s="2" t="str">
        <f ca="1">IFERROR(__xludf.DUMMYFUNCTION("""COMPUTED_VALUE"""),"EP_01")</f>
        <v>EP_01</v>
      </c>
      <c r="G90" s="3" t="str">
        <f ca="1">IFERROR(__xludf.DUMMYFUNCTION("""COMPUTED_VALUE"""),"http://literature.awgp.org/book/The_Revival_of_Satyug_The_Golden_Age/v1")</f>
        <v>http://literature.awgp.org/book/The_Revival_of_Satyug_The_Golden_Age/v1</v>
      </c>
      <c r="H90" s="1" t="str">
        <f ca="1">IFERROR(__xludf.DUMMYFUNCTION("""COMPUTED_VALUE"""),"English")</f>
        <v>English</v>
      </c>
    </row>
    <row r="91" spans="1:8" ht="13.2" x14ac:dyDescent="0.25">
      <c r="A91" s="2" t="str">
        <f ca="1">IFERROR(__xludf.DUMMYFUNCTION("""COMPUTED_VALUE"""),"Reviving The Vedic Culture Of Yagya")</f>
        <v>Reviving The Vedic Culture Of Yagya</v>
      </c>
      <c r="B91" s="1" t="str">
        <f ca="1">IFERROR(__xludf.DUMMYFUNCTION("""COMPUTED_VALUE"""),"Reviving The Vedic Culture Of Yagya : EP_30")</f>
        <v>Reviving The Vedic Culture Of Yagya : EP_30</v>
      </c>
      <c r="C91" s="1" t="str">
        <f ca="1">IFERROR(__xludf.DUMMYFUNCTION("""COMPUTED_VALUE"""),"Regular")</f>
        <v>Regular</v>
      </c>
      <c r="D91" s="1" t="s">
        <v>7</v>
      </c>
      <c r="E91" s="1" t="s">
        <v>7</v>
      </c>
      <c r="F91" s="2" t="str">
        <f ca="1">IFERROR(__xludf.DUMMYFUNCTION("""COMPUTED_VALUE"""),"EP_30")</f>
        <v>EP_30</v>
      </c>
      <c r="G91" s="3" t="str">
        <f ca="1">IFERROR(__xludf.DUMMYFUNCTION("""COMPUTED_VALUE"""),"http://literature.awgp.org/book/reviving_the_vedic_cultue_of_yagya/v1")</f>
        <v>http://literature.awgp.org/book/reviving_the_vedic_cultue_of_yagya/v1</v>
      </c>
      <c r="H91" s="1" t="str">
        <f ca="1">IFERROR(__xludf.DUMMYFUNCTION("""COMPUTED_VALUE"""),"English")</f>
        <v>English</v>
      </c>
    </row>
    <row r="92" spans="1:8" ht="13.2" x14ac:dyDescent="0.25">
      <c r="A92" s="2" t="str">
        <f ca="1">IFERROR(__xludf.DUMMYFUNCTION("""COMPUTED_VALUE"""),"Road To Progress")</f>
        <v>Road To Progress</v>
      </c>
      <c r="B92" s="1" t="str">
        <f ca="1">IFERROR(__xludf.DUMMYFUNCTION("""COMPUTED_VALUE"""),"Road To Progress : EPB_146")</f>
        <v>Road To Progress : EPB_146</v>
      </c>
      <c r="C92" s="1" t="str">
        <f ca="1">IFERROR(__xludf.DUMMYFUNCTION("""COMPUTED_VALUE"""),"Big")</f>
        <v>Big</v>
      </c>
      <c r="D92" s="1" t="s">
        <v>1</v>
      </c>
      <c r="E92" s="1" t="s">
        <v>1</v>
      </c>
      <c r="F92" s="2" t="str">
        <f ca="1">IFERROR(__xludf.DUMMYFUNCTION("""COMPUTED_VALUE"""),"EPB_146")</f>
        <v>EPB_146</v>
      </c>
      <c r="G92" s="3" t="str">
        <f ca="1">IFERROR(__xludf.DUMMYFUNCTION("""COMPUTED_VALUE"""),"https://vicharkrantibooks.org/productdetail?book_name=ENGB0207_ROAD_TO_PROGRESS_1st2013&amp;product_id=3531")</f>
        <v>https://vicharkrantibooks.org/productdetail?book_name=ENGB0207_ROAD_TO_PROGRESS_1st2013&amp;product_id=3531</v>
      </c>
      <c r="H92" s="1" t="str">
        <f ca="1">IFERROR(__xludf.DUMMYFUNCTION("""COMPUTED_VALUE"""),"English")</f>
        <v>English</v>
      </c>
    </row>
    <row r="93" spans="1:8" ht="13.2" x14ac:dyDescent="0.25">
      <c r="A93" s="2" t="str">
        <f ca="1">IFERROR(__xludf.DUMMYFUNCTION("""COMPUTED_VALUE"""),"Sagacious Women Should Lead Women Liberation")</f>
        <v>Sagacious Women Should Lead Women Liberation</v>
      </c>
      <c r="B93" s="1" t="str">
        <f ca="1">IFERROR(__xludf.DUMMYFUNCTION("""COMPUTED_VALUE"""),"Sagacious Women Should Lead Women Liberation : EP_119")</f>
        <v>Sagacious Women Should Lead Women Liberation : EP_119</v>
      </c>
      <c r="C93" s="1" t="str">
        <f ca="1">IFERROR(__xludf.DUMMYFUNCTION("""COMPUTED_VALUE"""),"Pocket")</f>
        <v>Pocket</v>
      </c>
      <c r="D93" s="1" t="s">
        <v>10</v>
      </c>
      <c r="E93" s="1" t="s">
        <v>10</v>
      </c>
      <c r="F93" s="1" t="str">
        <f ca="1">IFERROR(__xludf.DUMMYFUNCTION("""COMPUTED_VALUE"""),"EP_119")</f>
        <v>EP_119</v>
      </c>
      <c r="G93" s="3" t="str">
        <f ca="1">IFERROR(__xludf.DUMMYFUNCTION("""COMPUTED_VALUE"""),"https://vicharkrantibooks.org/productdetail?book_name=ENGP0480_SAGACIOUS_WOMEN_SHOULD_LEAD_WOMEN_LIBERATION_xxyyyy&amp;product_id=3504")</f>
        <v>https://vicharkrantibooks.org/productdetail?book_name=ENGP0480_SAGACIOUS_WOMEN_SHOULD_LEAD_WOMEN_LIBERATION_xxyyyy&amp;product_id=3504</v>
      </c>
      <c r="H93" s="1" t="str">
        <f ca="1">IFERROR(__xludf.DUMMYFUNCTION("""COMPUTED_VALUE"""),"English")</f>
        <v>English</v>
      </c>
    </row>
    <row r="94" spans="1:8" ht="13.2" x14ac:dyDescent="0.25">
      <c r="A94" s="1" t="str">
        <f ca="1">IFERROR(__xludf.DUMMYFUNCTION("""COMPUTED_VALUE"""),"Sanskaram")</f>
        <v>Sanskaram</v>
      </c>
      <c r="B94" s="1" t="str">
        <f ca="1">IFERROR(__xludf.DUMMYFUNCTION("""COMPUTED_VALUE"""),"Sanskaram : EP_104")</f>
        <v>Sanskaram : EP_104</v>
      </c>
      <c r="C94" s="1" t="str">
        <f ca="1">IFERROR(__xludf.DUMMYFUNCTION("""COMPUTED_VALUE"""),"Big")</f>
        <v>Big</v>
      </c>
      <c r="D94" s="1" t="s">
        <v>2</v>
      </c>
      <c r="E94" s="1" t="s">
        <v>2</v>
      </c>
      <c r="F94" s="1" t="str">
        <f ca="1">IFERROR(__xludf.DUMMYFUNCTION("""COMPUTED_VALUE"""),"EP_104")</f>
        <v>EP_104</v>
      </c>
      <c r="G94" s="3" t="str">
        <f ca="1">IFERROR(__xludf.DUMMYFUNCTION("""COMPUTED_VALUE"""),"https://vicharkrantibooks.org/productdetail?book_name=ENGBE104_SANSKARAM_2nd2012&amp;product_id=3492")</f>
        <v>https://vicharkrantibooks.org/productdetail?book_name=ENGBE104_SANSKARAM_2nd2012&amp;product_id=3492</v>
      </c>
      <c r="H94" s="1" t="str">
        <f ca="1">IFERROR(__xludf.DUMMYFUNCTION("""COMPUTED_VALUE"""),"English")</f>
        <v>English</v>
      </c>
    </row>
    <row r="95" spans="1:8" ht="13.2" x14ac:dyDescent="0.25">
      <c r="A95" s="2" t="str">
        <f ca="1">IFERROR(__xludf.DUMMYFUNCTION("""COMPUTED_VALUE"""),"Satsang Will Strengthen Women Units")</f>
        <v>Satsang Will Strengthen Women Units</v>
      </c>
      <c r="B95" s="1" t="str">
        <f ca="1">IFERROR(__xludf.DUMMYFUNCTION("""COMPUTED_VALUE"""),"Satsang Will Strengthen Women Units : EP_120")</f>
        <v>Satsang Will Strengthen Women Units : EP_120</v>
      </c>
      <c r="C95" s="1" t="str">
        <f ca="1">IFERROR(__xludf.DUMMYFUNCTION("""COMPUTED_VALUE"""),"Pocket")</f>
        <v>Pocket</v>
      </c>
      <c r="D95" s="1" t="s">
        <v>10</v>
      </c>
      <c r="E95" s="1" t="s">
        <v>10</v>
      </c>
      <c r="F95" s="1" t="str">
        <f ca="1">IFERROR(__xludf.DUMMYFUNCTION("""COMPUTED_VALUE"""),"EP_120")</f>
        <v>EP_120</v>
      </c>
      <c r="G95" s="3" t="str">
        <f ca="1">IFERROR(__xludf.DUMMYFUNCTION("""COMPUTED_VALUE"""),"https://vicharkrantibooks.org/productdetail?book_name=ENGP0577_SATSANG_WILL_STRENGTHEN_WOMEN_UNITS_xxyyyy&amp;product_id=3505")</f>
        <v>https://vicharkrantibooks.org/productdetail?book_name=ENGP0577_SATSANG_WILL_STRENGTHEN_WOMEN_UNITS_xxyyyy&amp;product_id=3505</v>
      </c>
      <c r="H95" s="1" t="str">
        <f ca="1">IFERROR(__xludf.DUMMYFUNCTION("""COMPUTED_VALUE"""),"English")</f>
        <v>English</v>
      </c>
    </row>
    <row r="96" spans="1:8" ht="13.2" x14ac:dyDescent="0.25">
      <c r="A96" s="1" t="str">
        <f ca="1">IFERROR(__xludf.DUMMYFUNCTION("""COMPUTED_VALUE"""),"Scientific Approach To Talent Growth")</f>
        <v>Scientific Approach To Talent Growth</v>
      </c>
      <c r="B96" s="1" t="str">
        <f ca="1">IFERROR(__xludf.DUMMYFUNCTION("""COMPUTED_VALUE"""),"Scientific Approach To Talent Growth : EP_130")</f>
        <v>Scientific Approach To Talent Growth : EP_130</v>
      </c>
      <c r="C96" s="1" t="str">
        <f ca="1">IFERROR(__xludf.DUMMYFUNCTION("""COMPUTED_VALUE"""),"Pocket")</f>
        <v>Pocket</v>
      </c>
      <c r="D96" s="1" t="s">
        <v>2</v>
      </c>
      <c r="E96" s="1" t="s">
        <v>2</v>
      </c>
      <c r="F96" s="1" t="str">
        <f ca="1">IFERROR(__xludf.DUMMYFUNCTION("""COMPUTED_VALUE"""),"EP_130")</f>
        <v>EP_130</v>
      </c>
      <c r="G96" s="3" t="str">
        <f ca="1">IFERROR(__xludf.DUMMYFUNCTION("""COMPUTED_VALUE"""),"https://vicharkrantibooks.org/productdetail?book_name=ENGP0676_SCIENTIFIC_APPROACH_TO_TALENT_GROWTH_xxyyyy&amp;product_id=3515")</f>
        <v>https://vicharkrantibooks.org/productdetail?book_name=ENGP0676_SCIENTIFIC_APPROACH_TO_TALENT_GROWTH_xxyyyy&amp;product_id=3515</v>
      </c>
      <c r="H96" s="1" t="str">
        <f ca="1">IFERROR(__xludf.DUMMYFUNCTION("""COMPUTED_VALUE"""),"English")</f>
        <v>English</v>
      </c>
    </row>
    <row r="97" spans="1:8" ht="13.2" x14ac:dyDescent="0.25">
      <c r="A97" s="1" t="str">
        <f ca="1">IFERROR(__xludf.DUMMYFUNCTION("""COMPUTED_VALUE"""),"Sensitization Of Parents")</f>
        <v>Sensitization Of Parents</v>
      </c>
      <c r="B97" s="1" t="str">
        <f ca="1">IFERROR(__xludf.DUMMYFUNCTION("""COMPUTED_VALUE"""),"Sensitization Of Parents : EP_66")</f>
        <v>Sensitization Of Parents : EP_66</v>
      </c>
      <c r="C97" s="1" t="str">
        <f ca="1">IFERROR(__xludf.DUMMYFUNCTION("""COMPUTED_VALUE"""),"Big")</f>
        <v>Big</v>
      </c>
      <c r="D97" s="1" t="s">
        <v>1</v>
      </c>
      <c r="E97" s="1" t="s">
        <v>1</v>
      </c>
      <c r="F97" s="1" t="str">
        <f ca="1">IFERROR(__xludf.DUMMYFUNCTION("""COMPUTED_VALUE"""),"EP_66")</f>
        <v>EP_66</v>
      </c>
      <c r="G97" s="3" t="str">
        <f ca="1">IFERROR(__xludf.DUMMYFUNCTION("""COMPUTED_VALUE"""),"http://literature.awgp.org/book/sensitization_program_for_parents/v1")</f>
        <v>http://literature.awgp.org/book/sensitization_program_for_parents/v1</v>
      </c>
      <c r="H97" s="1" t="str">
        <f ca="1">IFERROR(__xludf.DUMMYFUNCTION("""COMPUTED_VALUE"""),"English")</f>
        <v>English</v>
      </c>
    </row>
    <row r="98" spans="1:8" ht="13.2" x14ac:dyDescent="0.25">
      <c r="A98" s="2" t="str">
        <f ca="1">IFERROR(__xludf.DUMMYFUNCTION("""COMPUTED_VALUE"""),"Sleep Dream&amp;Spiritual Reflections")</f>
        <v>Sleep Dream&amp;Spiritual Reflections</v>
      </c>
      <c r="B98" s="1" t="str">
        <f ca="1">IFERROR(__xludf.DUMMYFUNCTION("""COMPUTED_VALUE"""),"Sleep Dream&amp;Spiritual Reflections : EP_33")</f>
        <v>Sleep Dream&amp;Spiritual Reflections : EP_33</v>
      </c>
      <c r="C98" s="1" t="str">
        <f ca="1">IFERROR(__xludf.DUMMYFUNCTION("""COMPUTED_VALUE"""),"Regular")</f>
        <v>Regular</v>
      </c>
      <c r="D98" s="1" t="s">
        <v>3</v>
      </c>
      <c r="E98" s="1" t="s">
        <v>3</v>
      </c>
      <c r="F98" s="2" t="str">
        <f ca="1">IFERROR(__xludf.DUMMYFUNCTION("""COMPUTED_VALUE"""),"EP_33")</f>
        <v>EP_33</v>
      </c>
      <c r="G98" s="3" t="str">
        <f ca="1">IFERROR(__xludf.DUMMYFUNCTION("""COMPUTED_VALUE"""),"http://literature.awgp.org/book/Sleep_Dreams_Spiritual/v1")</f>
        <v>http://literature.awgp.org/book/Sleep_Dreams_Spiritual/v1</v>
      </c>
      <c r="H98" s="1" t="str">
        <f ca="1">IFERROR(__xludf.DUMMYFUNCTION("""COMPUTED_VALUE"""),"English")</f>
        <v>English</v>
      </c>
    </row>
    <row r="99" spans="1:8" ht="13.2" x14ac:dyDescent="0.25">
      <c r="A99" s="2" t="str">
        <f ca="1">IFERROR(__xludf.DUMMYFUNCTION("""COMPUTED_VALUE"""),"Spectrum Of Knowledge Key To The Art Of Living")</f>
        <v>Spectrum Of Knowledge Key To The Art Of Living</v>
      </c>
      <c r="B99" s="1" t="str">
        <f ca="1">IFERROR(__xludf.DUMMYFUNCTION("""COMPUTED_VALUE"""),"Spectrum Of Knowledge Key To The Art Of Living : EP_05")</f>
        <v>Spectrum Of Knowledge Key To The Art Of Living : EP_05</v>
      </c>
      <c r="C99" s="1" t="str">
        <f ca="1">IFERROR(__xludf.DUMMYFUNCTION("""COMPUTED_VALUE"""),"Regular")</f>
        <v>Regular</v>
      </c>
      <c r="D99" s="1" t="s">
        <v>4</v>
      </c>
      <c r="E99" s="1" t="s">
        <v>4</v>
      </c>
      <c r="F99" s="2" t="str">
        <f ca="1">IFERROR(__xludf.DUMMYFUNCTION("""COMPUTED_VALUE"""),"EP_05")</f>
        <v>EP_05</v>
      </c>
      <c r="G99" s="3" t="str">
        <f ca="1">IFERROR(__xludf.DUMMYFUNCTION("""COMPUTED_VALUE"""),"https://vicharkrantibooks.org/productdetail?book_name=ENGRE005_SPECTRUM_OF_KNOWLEDGE_KEY_TO_THE_ART_OF_LIVING_RE2010&amp;product_id=3398")</f>
        <v>https://vicharkrantibooks.org/productdetail?book_name=ENGRE005_SPECTRUM_OF_KNOWLEDGE_KEY_TO_THE_ART_OF_LIVING_RE2010&amp;product_id=3398</v>
      </c>
      <c r="H99" s="1" t="str">
        <f ca="1">IFERROR(__xludf.DUMMYFUNCTION("""COMPUTED_VALUE"""),"English")</f>
        <v>English</v>
      </c>
    </row>
    <row r="100" spans="1:8" ht="13.2" x14ac:dyDescent="0.25">
      <c r="A100" s="2" t="str">
        <f ca="1">IFERROR(__xludf.DUMMYFUNCTION("""COMPUTED_VALUE"""),"Spiritual Science Of Sex Elements")</f>
        <v>Spiritual Science Of Sex Elements</v>
      </c>
      <c r="B100" s="1" t="str">
        <f ca="1">IFERROR(__xludf.DUMMYFUNCTION("""COMPUTED_VALUE"""),"Spiritual Science Of Sex Elements : EP_11")</f>
        <v>Spiritual Science Of Sex Elements : EP_11</v>
      </c>
      <c r="C100" s="1" t="str">
        <f ca="1">IFERROR(__xludf.DUMMYFUNCTION("""COMPUTED_VALUE"""),"Regular")</f>
        <v>Regular</v>
      </c>
      <c r="D100" s="1" t="s">
        <v>3</v>
      </c>
      <c r="E100" s="1" t="s">
        <v>3</v>
      </c>
      <c r="F100" s="2" t="str">
        <f ca="1">IFERROR(__xludf.DUMMYFUNCTION("""COMPUTED_VALUE"""),"EP_11")</f>
        <v>EP_11</v>
      </c>
      <c r="G100" s="3" t="str">
        <f ca="1">IFERROR(__xludf.DUMMYFUNCTION("""COMPUTED_VALUE"""),"http://literature.awgp.org/book/spiritual_science_of_sex_element/v1")</f>
        <v>http://literature.awgp.org/book/spiritual_science_of_sex_element/v1</v>
      </c>
      <c r="H100" s="1" t="str">
        <f ca="1">IFERROR(__xludf.DUMMYFUNCTION("""COMPUTED_VALUE"""),"English")</f>
        <v>English</v>
      </c>
    </row>
    <row r="101" spans="1:8" ht="13.2" x14ac:dyDescent="0.25">
      <c r="A101" s="1" t="str">
        <f ca="1">IFERROR(__xludf.DUMMYFUNCTION("""COMPUTED_VALUE"""),"Steer The Life For Definite Rewards")</f>
        <v>Steer The Life For Definite Rewards</v>
      </c>
      <c r="B101" s="1" t="str">
        <f ca="1">IFERROR(__xludf.DUMMYFUNCTION("""COMPUTED_VALUE"""),"Steer The Life For Definite Rewards : EP_128")</f>
        <v>Steer The Life For Definite Rewards : EP_128</v>
      </c>
      <c r="C101" s="1" t="str">
        <f ca="1">IFERROR(__xludf.DUMMYFUNCTION("""COMPUTED_VALUE"""),"Pocket")</f>
        <v>Pocket</v>
      </c>
      <c r="D101" s="1" t="s">
        <v>2</v>
      </c>
      <c r="E101" s="1" t="s">
        <v>2</v>
      </c>
      <c r="F101" s="1" t="str">
        <f ca="1">IFERROR(__xludf.DUMMYFUNCTION("""COMPUTED_VALUE"""),"EP_128")</f>
        <v>EP_128</v>
      </c>
      <c r="G101" s="3" t="str">
        <f ca="1">IFERROR(__xludf.DUMMYFUNCTION("""COMPUTED_VALUE"""),"https://vicharkrantibooks.org/productdetail?book_name=ENGP0605_STEER_THE_LIFE_FOR_DEFINITE_REWARDS_xxyyyy&amp;product_id=3513")</f>
        <v>https://vicharkrantibooks.org/productdetail?book_name=ENGP0605_STEER_THE_LIFE_FOR_DEFINITE_REWARDS_xxyyyy&amp;product_id=3513</v>
      </c>
      <c r="H101" s="1" t="str">
        <f ca="1">IFERROR(__xludf.DUMMYFUNCTION("""COMPUTED_VALUE"""),"English")</f>
        <v>English</v>
      </c>
    </row>
    <row r="102" spans="1:8" ht="13.2" x14ac:dyDescent="0.25">
      <c r="A102" s="2" t="str">
        <f ca="1">IFERROR(__xludf.DUMMYFUNCTION("""COMPUTED_VALUE"""),"Steps For Women Uplifting")</f>
        <v>Steps For Women Uplifting</v>
      </c>
      <c r="B102" s="1" t="str">
        <f ca="1">IFERROR(__xludf.DUMMYFUNCTION("""COMPUTED_VALUE"""),"Steps For Women Uplifting : EP_NOTM")</f>
        <v>Steps For Women Uplifting : EP_NOTM</v>
      </c>
      <c r="C102" s="1" t="str">
        <f ca="1">IFERROR(__xludf.DUMMYFUNCTION("""COMPUTED_VALUE"""),"Pocket")</f>
        <v>Pocket</v>
      </c>
      <c r="D102" s="1" t="s">
        <v>10</v>
      </c>
      <c r="E102" s="1" t="s">
        <v>10</v>
      </c>
      <c r="F102" s="1" t="str">
        <f ca="1">IFERROR(__xludf.DUMMYFUNCTION("""COMPUTED_VALUE"""),"EP_NOTM")</f>
        <v>EP_NOTM</v>
      </c>
      <c r="G102" s="3" t="str">
        <f ca="1">IFERROR(__xludf.DUMMYFUNCTION("""COMPUTED_VALUE"""),"https://vicharkrantibooks.org/productdetail?book_name=ENGPNOTM_STEPS_FOR_WOMEN_UPLIFTING_xxyyyy&amp;product_id=3456")</f>
        <v>https://vicharkrantibooks.org/productdetail?book_name=ENGPNOTM_STEPS_FOR_WOMEN_UPLIFTING_xxyyyy&amp;product_id=3456</v>
      </c>
      <c r="H102" s="1" t="str">
        <f ca="1">IFERROR(__xludf.DUMMYFUNCTION("""COMPUTED_VALUE"""),"English")</f>
        <v>English</v>
      </c>
    </row>
    <row r="103" spans="1:8" ht="13.2" x14ac:dyDescent="0.25">
      <c r="A103" s="2" t="str">
        <f ca="1">IFERROR(__xludf.DUMMYFUNCTION("""COMPUTED_VALUE"""),"Stories Of Saints")</f>
        <v>Stories Of Saints</v>
      </c>
      <c r="B103" s="1" t="str">
        <f ca="1">IFERROR(__xludf.DUMMYFUNCTION("""COMPUTED_VALUE"""),"Stories Of Saints : EPB_145")</f>
        <v>Stories Of Saints : EPB_145</v>
      </c>
      <c r="C103" s="1" t="str">
        <f ca="1">IFERROR(__xludf.DUMMYFUNCTION("""COMPUTED_VALUE"""),"Big")</f>
        <v>Big</v>
      </c>
      <c r="D103" s="1" t="s">
        <v>1</v>
      </c>
      <c r="E103" s="1" t="s">
        <v>1</v>
      </c>
      <c r="F103" s="2" t="str">
        <f ca="1">IFERROR(__xludf.DUMMYFUNCTION("""COMPUTED_VALUE"""),"EPB_145")</f>
        <v>EPB_145</v>
      </c>
      <c r="G103" s="3" t="str">
        <f ca="1">IFERROR(__xludf.DUMMYFUNCTION("""COMPUTED_VALUE"""),"https://vicharkrantibooks.org/productdetail?book_name=ENGB0214_STORIES_OF_SAINTS_1st2013&amp;product_id=3530")</f>
        <v>https://vicharkrantibooks.org/productdetail?book_name=ENGB0214_STORIES_OF_SAINTS_1st2013&amp;product_id=3530</v>
      </c>
      <c r="H103" s="1" t="str">
        <f ca="1">IFERROR(__xludf.DUMMYFUNCTION("""COMPUTED_VALUE"""),"English")</f>
        <v>English</v>
      </c>
    </row>
    <row r="104" spans="1:8" ht="13.2" x14ac:dyDescent="0.25">
      <c r="A104" s="2" t="str">
        <f ca="1">IFERROR(__xludf.DUMMYFUNCTION("""COMPUTED_VALUE"""),"Super Science Of Gayatri")</f>
        <v>Super Science Of Gayatri</v>
      </c>
      <c r="B104" s="1" t="str">
        <f ca="1">IFERROR(__xludf.DUMMYFUNCTION("""COMPUTED_VALUE"""),"Super Science Of Gayatri : EP_27")</f>
        <v>Super Science Of Gayatri : EP_27</v>
      </c>
      <c r="C104" s="1" t="str">
        <f ca="1">IFERROR(__xludf.DUMMYFUNCTION("""COMPUTED_VALUE"""),"Regular")</f>
        <v>Regular</v>
      </c>
      <c r="D104" s="1" t="s">
        <v>3</v>
      </c>
      <c r="E104" s="1" t="s">
        <v>3</v>
      </c>
      <c r="F104" s="2" t="str">
        <f ca="1">IFERROR(__xludf.DUMMYFUNCTION("""COMPUTED_VALUE"""),"EP_27")</f>
        <v>EP_27</v>
      </c>
      <c r="G104" s="3" t="str">
        <f ca="1">IFERROR(__xludf.DUMMYFUNCTION("""COMPUTED_VALUE"""),"http://literature.awgp.org/book/Super_Science_of_Gayatri/v1")</f>
        <v>http://literature.awgp.org/book/Super_Science_of_Gayatri/v1</v>
      </c>
      <c r="H104" s="1" t="str">
        <f ca="1">IFERROR(__xludf.DUMMYFUNCTION("""COMPUTED_VALUE"""),"English")</f>
        <v>English</v>
      </c>
    </row>
    <row r="105" spans="1:8" ht="13.2" x14ac:dyDescent="0.25">
      <c r="A105" s="2" t="str">
        <f ca="1">IFERROR(__xludf.DUMMYFUNCTION("""COMPUTED_VALUE"""),"Support Is Needed For Self Evolution")</f>
        <v>Support Is Needed For Self Evolution</v>
      </c>
      <c r="B105" s="1" t="str">
        <f ca="1">IFERROR(__xludf.DUMMYFUNCTION("""COMPUTED_VALUE"""),"Support Is Needed For Self Evolution : EP_20")</f>
        <v>Support Is Needed For Self Evolution : EP_20</v>
      </c>
      <c r="C105" s="1" t="str">
        <f ca="1">IFERROR(__xludf.DUMMYFUNCTION("""COMPUTED_VALUE"""),"Regular")</f>
        <v>Regular</v>
      </c>
      <c r="D105" s="1" t="s">
        <v>7</v>
      </c>
      <c r="E105" s="1" t="s">
        <v>7</v>
      </c>
      <c r="F105" s="2" t="str">
        <f ca="1">IFERROR(__xludf.DUMMYFUNCTION("""COMPUTED_VALUE"""),"EP_20")</f>
        <v>EP_20</v>
      </c>
      <c r="G105" s="3" t="str">
        <f ca="1">IFERROR(__xludf.DUMMYFUNCTION("""COMPUTED_VALUE"""),"http://literature.awgp.org/book/support_is_needed_for_self_evolution/v1")</f>
        <v>http://literature.awgp.org/book/support_is_needed_for_self_evolution/v1</v>
      </c>
      <c r="H105" s="1" t="str">
        <f ca="1">IFERROR(__xludf.DUMMYFUNCTION("""COMPUTED_VALUE"""),"English")</f>
        <v>English</v>
      </c>
    </row>
    <row r="106" spans="1:8" ht="13.2" x14ac:dyDescent="0.25">
      <c r="A106" s="2" t="str">
        <f ca="1">IFERROR(__xludf.DUMMYFUNCTION("""COMPUTED_VALUE"""),"Support Is Needed For Self Evolution")</f>
        <v>Support Is Needed For Self Evolution</v>
      </c>
      <c r="B106" s="1" t="str">
        <f ca="1">IFERROR(__xludf.DUMMYFUNCTION("""COMPUTED_VALUE"""),"Support Is Needed For Self Evolution : EP_20")</f>
        <v>Support Is Needed For Self Evolution : EP_20</v>
      </c>
      <c r="C106" s="1" t="str">
        <f ca="1">IFERROR(__xludf.DUMMYFUNCTION("""COMPUTED_VALUE"""),"Regular")</f>
        <v>Regular</v>
      </c>
      <c r="D106" s="1" t="s">
        <v>7</v>
      </c>
      <c r="E106" s="1" t="s">
        <v>12</v>
      </c>
      <c r="F106" s="2" t="str">
        <f ca="1">IFERROR(__xludf.DUMMYFUNCTION("""COMPUTED_VALUE"""),"EP_20")</f>
        <v>EP_20</v>
      </c>
      <c r="G106" s="3" t="str">
        <f ca="1">IFERROR(__xludf.DUMMYFUNCTION("""COMPUTED_VALUE"""),"http://literature.awgp.org/book/support_is_needed_for_self_evolution/v1")</f>
        <v>http://literature.awgp.org/book/support_is_needed_for_self_evolution/v1</v>
      </c>
      <c r="H106" s="1" t="str">
        <f ca="1">IFERROR(__xludf.DUMMYFUNCTION("""COMPUTED_VALUE"""),"English")</f>
        <v>English</v>
      </c>
    </row>
    <row r="107" spans="1:8" ht="13.2" x14ac:dyDescent="0.25">
      <c r="A107" s="2" t="str">
        <f ca="1">IFERROR(__xludf.DUMMYFUNCTION("""COMPUTED_VALUE"""),"The Absolute Low Of Karma")</f>
        <v>The Absolute Low Of Karma</v>
      </c>
      <c r="B107" s="1" t="str">
        <f ca="1">IFERROR(__xludf.DUMMYFUNCTION("""COMPUTED_VALUE"""),"The Absolute Low Of Karma : EP_48")</f>
        <v>The Absolute Low Of Karma : EP_48</v>
      </c>
      <c r="C107" s="1" t="str">
        <f ca="1">IFERROR(__xludf.DUMMYFUNCTION("""COMPUTED_VALUE"""),"Regular")</f>
        <v>Regular</v>
      </c>
      <c r="D107" s="1" t="s">
        <v>3</v>
      </c>
      <c r="E107" s="1" t="s">
        <v>3</v>
      </c>
      <c r="F107" s="2" t="str">
        <f ca="1">IFERROR(__xludf.DUMMYFUNCTION("""COMPUTED_VALUE"""),"EP_48")</f>
        <v>EP_48</v>
      </c>
      <c r="G107" s="3" t="str">
        <f ca="1">IFERROR(__xludf.DUMMYFUNCTION("""COMPUTED_VALUE"""),"http://literature.awgp.org/book/the_absolute_law_of_karma/v1.1")</f>
        <v>http://literature.awgp.org/book/the_absolute_law_of_karma/v1.1</v>
      </c>
      <c r="H107" s="1" t="str">
        <f ca="1">IFERROR(__xludf.DUMMYFUNCTION("""COMPUTED_VALUE"""),"English")</f>
        <v>English</v>
      </c>
    </row>
    <row r="108" spans="1:8" ht="13.2" x14ac:dyDescent="0.25">
      <c r="A108" s="2" t="str">
        <f ca="1">IFERROR(__xludf.DUMMYFUNCTION("""COMPUTED_VALUE"""),"The Demand Of The Times")</f>
        <v>The Demand Of The Times</v>
      </c>
      <c r="B108" s="1" t="str">
        <f ca="1">IFERROR(__xludf.DUMMYFUNCTION("""COMPUTED_VALUE"""),"The Demand Of The Times : EP_36")</f>
        <v>The Demand Of The Times : EP_36</v>
      </c>
      <c r="C108" s="1" t="str">
        <f ca="1">IFERROR(__xludf.DUMMYFUNCTION("""COMPUTED_VALUE"""),"Pocket")</f>
        <v>Pocket</v>
      </c>
      <c r="D108" s="1" t="s">
        <v>10</v>
      </c>
      <c r="E108" s="1" t="s">
        <v>10</v>
      </c>
      <c r="F108" s="1" t="str">
        <f ca="1">IFERROR(__xludf.DUMMYFUNCTION("""COMPUTED_VALUE"""),"EP_36")</f>
        <v>EP_36</v>
      </c>
      <c r="G108" s="3" t="str">
        <f ca="1">IFERROR(__xludf.DUMMYFUNCTION("""COMPUTED_VALUE"""),"https://vicharkrantibooks.org/productdetail?book_name=ENGR1423_THE_DEMAND_OF_THE_TIMES_xxyyyy&amp;product_id=3429")</f>
        <v>https://vicharkrantibooks.org/productdetail?book_name=ENGR1423_THE_DEMAND_OF_THE_TIMES_xxyyyy&amp;product_id=3429</v>
      </c>
      <c r="H108" s="1" t="str">
        <f ca="1">IFERROR(__xludf.DUMMYFUNCTION("""COMPUTED_VALUE"""),"English")</f>
        <v>English</v>
      </c>
    </row>
    <row r="109" spans="1:8" ht="13.2" x14ac:dyDescent="0.25">
      <c r="A109" s="2" t="str">
        <f ca="1">IFERROR(__xludf.DUMMYFUNCTION("""COMPUTED_VALUE"""),"The Folly Of The Wise")</f>
        <v>The Folly Of The Wise</v>
      </c>
      <c r="B109" s="1" t="str">
        <f ca="1">IFERROR(__xludf.DUMMYFUNCTION("""COMPUTED_VALUE"""),"The Folly Of The Wise : EP_13")</f>
        <v>The Folly Of The Wise : EP_13</v>
      </c>
      <c r="C109" s="1" t="str">
        <f ca="1">IFERROR(__xludf.DUMMYFUNCTION("""COMPUTED_VALUE"""),"Regular")</f>
        <v>Regular</v>
      </c>
      <c r="D109" s="1" t="s">
        <v>2</v>
      </c>
      <c r="E109" s="1" t="s">
        <v>2</v>
      </c>
      <c r="F109" s="2" t="str">
        <f ca="1">IFERROR(__xludf.DUMMYFUNCTION("""COMPUTED_VALUE"""),"EP_13")</f>
        <v>EP_13</v>
      </c>
      <c r="G109" s="3" t="str">
        <f ca="1">IFERROR(__xludf.DUMMYFUNCTION("""COMPUTED_VALUE"""),"http://literature.awgp.org/book/Folly_of_the_wise/v2")</f>
        <v>http://literature.awgp.org/book/Folly_of_the_wise/v2</v>
      </c>
      <c r="H109" s="1" t="str">
        <f ca="1">IFERROR(__xludf.DUMMYFUNCTION("""COMPUTED_VALUE"""),"English")</f>
        <v>English</v>
      </c>
    </row>
    <row r="110" spans="1:8" ht="13.2" x14ac:dyDescent="0.25">
      <c r="A110" s="2"/>
      <c r="B110" s="1"/>
      <c r="C110" s="1"/>
      <c r="D110" s="1"/>
      <c r="E110" s="1"/>
      <c r="F110" s="2"/>
      <c r="G110" s="3"/>
      <c r="H110" s="1"/>
    </row>
    <row r="111" spans="1:8" ht="13.2" x14ac:dyDescent="0.25">
      <c r="A111" s="2"/>
      <c r="B111" s="1"/>
      <c r="C111" s="1"/>
      <c r="D111" s="1"/>
      <c r="E111" s="1"/>
      <c r="F111" s="1"/>
      <c r="G111" s="3"/>
      <c r="H111" s="1"/>
    </row>
    <row r="112" spans="1:8" ht="13.2" x14ac:dyDescent="0.25">
      <c r="A112" s="2"/>
      <c r="B112" s="1"/>
      <c r="C112" s="1"/>
      <c r="D112" s="1"/>
      <c r="E112" s="1"/>
      <c r="F112" s="2"/>
      <c r="G112" s="3"/>
      <c r="H112" s="1"/>
    </row>
    <row r="113" spans="1:8" ht="13.2" x14ac:dyDescent="0.25">
      <c r="A113" s="2"/>
      <c r="B113" s="1"/>
      <c r="C113" s="1"/>
      <c r="D113" s="1"/>
      <c r="E113" s="1"/>
      <c r="F113" s="2"/>
      <c r="G113" s="3"/>
      <c r="H113" s="1"/>
    </row>
    <row r="114" spans="1:8" ht="13.2" x14ac:dyDescent="0.25">
      <c r="A114" s="2"/>
      <c r="B114" s="1"/>
      <c r="C114" s="1"/>
      <c r="D114" s="1"/>
      <c r="E114" s="1"/>
      <c r="F114" s="2"/>
      <c r="G114" s="3"/>
      <c r="H114" s="1"/>
    </row>
    <row r="115" spans="1:8" ht="13.2" x14ac:dyDescent="0.25">
      <c r="A115" s="2"/>
      <c r="B115" s="1"/>
      <c r="C115" s="1"/>
      <c r="D115" s="1"/>
      <c r="E115" s="1"/>
      <c r="F115" s="2"/>
      <c r="G115" s="3"/>
      <c r="H115" s="1"/>
    </row>
    <row r="116" spans="1:8" ht="13.2" x14ac:dyDescent="0.25">
      <c r="A116" s="2"/>
      <c r="B116" s="1"/>
      <c r="C116" s="1"/>
      <c r="D116" s="1"/>
      <c r="E116" s="1"/>
      <c r="F116" s="1"/>
      <c r="G116" s="3"/>
      <c r="H116" s="1"/>
    </row>
    <row r="117" spans="1:8" ht="13.2" x14ac:dyDescent="0.25">
      <c r="A117" s="1"/>
      <c r="B117" s="1"/>
      <c r="C117" s="1"/>
      <c r="D117" s="1"/>
      <c r="E117" s="1"/>
      <c r="F117" s="1"/>
      <c r="G117" s="3"/>
      <c r="H117" s="1"/>
    </row>
    <row r="118" spans="1:8" ht="13.2" x14ac:dyDescent="0.25">
      <c r="A118" s="2"/>
      <c r="B118" s="1"/>
      <c r="C118" s="1"/>
      <c r="D118" s="1"/>
      <c r="E118" s="1"/>
      <c r="F118" s="2"/>
      <c r="G118" s="3"/>
      <c r="H118" s="1"/>
    </row>
    <row r="119" spans="1:8" ht="13.2" x14ac:dyDescent="0.25">
      <c r="A119" s="2"/>
      <c r="B119" s="1"/>
      <c r="C119" s="1"/>
      <c r="D119" s="1"/>
      <c r="E119" s="1"/>
      <c r="F119" s="2"/>
      <c r="G119" s="3"/>
      <c r="H119" s="1"/>
    </row>
    <row r="120" spans="1:8" ht="13.2" x14ac:dyDescent="0.25">
      <c r="A120" s="2"/>
      <c r="B120" s="1"/>
      <c r="C120" s="1"/>
      <c r="D120" s="1"/>
      <c r="E120" s="1"/>
      <c r="F120" s="2"/>
      <c r="G120" s="3"/>
      <c r="H120" s="1"/>
    </row>
    <row r="121" spans="1:8" ht="13.2" x14ac:dyDescent="0.25">
      <c r="A121" s="2"/>
      <c r="B121" s="1"/>
      <c r="C121" s="1"/>
      <c r="D121" s="1"/>
      <c r="E121" s="1"/>
      <c r="F121" s="1"/>
      <c r="G121" s="3"/>
      <c r="H121" s="1"/>
    </row>
    <row r="122" spans="1:8" ht="13.2" x14ac:dyDescent="0.25">
      <c r="A122" s="2"/>
      <c r="B122" s="1"/>
      <c r="C122" s="1"/>
      <c r="D122" s="1"/>
      <c r="E122" s="1"/>
      <c r="F122" s="1"/>
      <c r="G122" s="3"/>
      <c r="H122" s="1"/>
    </row>
    <row r="123" spans="1:8" ht="13.2" x14ac:dyDescent="0.25">
      <c r="A123" s="2"/>
      <c r="B123" s="1"/>
      <c r="C123" s="1"/>
      <c r="D123" s="1"/>
      <c r="E123" s="1"/>
      <c r="F123" s="2"/>
      <c r="G123" s="3"/>
      <c r="H123" s="1"/>
    </row>
    <row r="124" spans="1:8" ht="13.2" x14ac:dyDescent="0.25">
      <c r="A124" s="2"/>
      <c r="B124" s="1"/>
      <c r="C124" s="1"/>
      <c r="D124" s="1"/>
      <c r="E124" s="1"/>
      <c r="F124" s="2"/>
      <c r="G124" s="3"/>
      <c r="H124" s="1"/>
    </row>
    <row r="125" spans="1:8" ht="13.2" x14ac:dyDescent="0.25">
      <c r="A125" s="2"/>
      <c r="B125" s="1"/>
      <c r="C125" s="1"/>
      <c r="D125" s="1"/>
      <c r="E125" s="1"/>
      <c r="F125" s="2"/>
      <c r="G125" s="3"/>
      <c r="H125" s="1"/>
    </row>
    <row r="126" spans="1:8" ht="13.2" x14ac:dyDescent="0.25">
      <c r="A126" s="2"/>
      <c r="B126" s="1"/>
      <c r="C126" s="1"/>
      <c r="D126" s="1"/>
      <c r="E126" s="1"/>
      <c r="F126" s="2"/>
      <c r="G126" s="3"/>
      <c r="H126" s="1"/>
    </row>
    <row r="127" spans="1:8" ht="13.2" x14ac:dyDescent="0.25">
      <c r="A127" s="1"/>
      <c r="B127" s="1"/>
      <c r="C127" s="1"/>
      <c r="D127" s="1"/>
      <c r="E127" s="1"/>
      <c r="F127" s="1"/>
      <c r="G127" s="3"/>
      <c r="H127" s="1"/>
    </row>
    <row r="128" spans="1:8" ht="13.2" x14ac:dyDescent="0.25">
      <c r="A128" s="2"/>
      <c r="B128" s="1"/>
      <c r="C128" s="1"/>
      <c r="D128" s="1"/>
      <c r="E128" s="1"/>
      <c r="F128" s="2"/>
      <c r="G128" s="3"/>
      <c r="H128" s="1"/>
    </row>
    <row r="129" spans="1:8" ht="13.2" x14ac:dyDescent="0.25">
      <c r="A129" s="2"/>
      <c r="B129" s="1"/>
      <c r="C129" s="1"/>
      <c r="D129" s="1"/>
      <c r="E129" s="1"/>
      <c r="F129" s="2"/>
      <c r="G129" s="3"/>
      <c r="H129" s="1"/>
    </row>
    <row r="130" spans="1:8" ht="13.2" x14ac:dyDescent="0.25">
      <c r="A130" s="2"/>
      <c r="B130" s="1"/>
      <c r="C130" s="1"/>
      <c r="D130" s="1"/>
      <c r="E130" s="1"/>
      <c r="F130" s="2"/>
      <c r="G130" s="3"/>
      <c r="H130" s="1"/>
    </row>
    <row r="131" spans="1:8" ht="13.2" x14ac:dyDescent="0.25">
      <c r="A131" s="2"/>
      <c r="B131" s="1"/>
      <c r="C131" s="1"/>
      <c r="D131" s="1"/>
      <c r="E131" s="1"/>
      <c r="F131" s="2"/>
      <c r="G131" s="3"/>
      <c r="H131" s="1"/>
    </row>
    <row r="132" spans="1:8" ht="13.2" x14ac:dyDescent="0.25">
      <c r="A132" s="2"/>
      <c r="B132" s="1"/>
      <c r="C132" s="1"/>
      <c r="D132" s="1"/>
      <c r="E132" s="1"/>
      <c r="F132" s="1"/>
      <c r="G132" s="3"/>
      <c r="H132" s="1"/>
    </row>
    <row r="133" spans="1:8" ht="13.2" x14ac:dyDescent="0.25">
      <c r="A133" s="2"/>
      <c r="B133" s="1"/>
      <c r="C133" s="1"/>
      <c r="D133" s="1"/>
      <c r="E133" s="1"/>
      <c r="F133" s="2"/>
      <c r="G133" s="3"/>
      <c r="H133" s="1"/>
    </row>
    <row r="134" spans="1:8" ht="13.2" x14ac:dyDescent="0.25">
      <c r="A134" s="2"/>
      <c r="B134" s="1"/>
      <c r="C134" s="1"/>
      <c r="D134" s="1"/>
      <c r="E134" s="1"/>
      <c r="F134" s="2"/>
      <c r="G134" s="3"/>
      <c r="H134" s="1"/>
    </row>
    <row r="135" spans="1:8" ht="13.2" x14ac:dyDescent="0.25">
      <c r="A135" s="2"/>
      <c r="B135" s="1"/>
      <c r="C135" s="1"/>
      <c r="D135" s="1"/>
      <c r="E135" s="1"/>
      <c r="F135" s="2"/>
      <c r="G135" s="3"/>
      <c r="H135" s="1"/>
    </row>
    <row r="136" spans="1:8" ht="13.2" x14ac:dyDescent="0.25">
      <c r="A136" s="2"/>
      <c r="B136" s="1"/>
      <c r="C136" s="1"/>
      <c r="D136" s="1"/>
      <c r="E136" s="1"/>
      <c r="F136" s="2"/>
      <c r="G136" s="3"/>
      <c r="H136" s="1"/>
    </row>
    <row r="137" spans="1:8" ht="13.2" x14ac:dyDescent="0.25">
      <c r="A137" s="2"/>
      <c r="B137" s="1"/>
      <c r="C137" s="1"/>
      <c r="D137" s="1"/>
      <c r="E137" s="1"/>
      <c r="F137" s="2"/>
      <c r="G137" s="3"/>
      <c r="H137" s="1"/>
    </row>
    <row r="138" spans="1:8" ht="13.2" x14ac:dyDescent="0.25">
      <c r="A138" s="2"/>
      <c r="B138" s="1"/>
      <c r="C138" s="1"/>
      <c r="D138" s="1"/>
      <c r="E138" s="1"/>
      <c r="F138" s="1"/>
      <c r="G138" s="3"/>
      <c r="H138" s="1"/>
    </row>
    <row r="139" spans="1:8" ht="13.2" x14ac:dyDescent="0.25">
      <c r="A139" s="2"/>
      <c r="B139" s="1"/>
      <c r="C139" s="1"/>
      <c r="D139" s="1"/>
      <c r="E139" s="1"/>
      <c r="F139" s="1"/>
      <c r="G139" s="3"/>
      <c r="H139" s="1"/>
    </row>
    <row r="140" spans="1:8" ht="13.2" x14ac:dyDescent="0.25">
      <c r="A140" s="2"/>
      <c r="B140" s="1"/>
      <c r="C140" s="1"/>
      <c r="D140" s="1"/>
      <c r="E140" s="1"/>
      <c r="F140" s="2"/>
      <c r="G140" s="3"/>
      <c r="H140" s="1"/>
    </row>
    <row r="141" spans="1:8" ht="13.2" x14ac:dyDescent="0.25">
      <c r="A141" s="2"/>
      <c r="B141" s="1"/>
      <c r="C141" s="1"/>
      <c r="D141" s="1"/>
      <c r="E141" s="1"/>
      <c r="F141" s="2"/>
      <c r="G141" s="3"/>
      <c r="H141" s="1"/>
    </row>
    <row r="142" spans="1:8" ht="13.2" x14ac:dyDescent="0.25">
      <c r="A142" s="1"/>
      <c r="B142" s="1"/>
      <c r="C142" s="1"/>
      <c r="D142" s="1"/>
      <c r="E142" s="1"/>
      <c r="F142" s="1"/>
      <c r="G142" s="3"/>
      <c r="H142" s="1"/>
    </row>
    <row r="143" spans="1:8" ht="13.2" x14ac:dyDescent="0.25">
      <c r="A143" s="1"/>
      <c r="B143" s="1"/>
      <c r="C143" s="1"/>
      <c r="D143" s="1"/>
      <c r="E143" s="1"/>
      <c r="F143" s="1"/>
      <c r="G143" s="3"/>
      <c r="H143" s="1"/>
    </row>
    <row r="144" spans="1:8" ht="13.2" x14ac:dyDescent="0.25">
      <c r="A144" s="1"/>
      <c r="B144" s="1"/>
      <c r="C144" s="1"/>
      <c r="D144" s="1"/>
      <c r="E144" s="1"/>
      <c r="F144" s="1"/>
      <c r="G144" s="3"/>
      <c r="H144" s="1"/>
    </row>
    <row r="145" spans="1:8" ht="13.2" x14ac:dyDescent="0.25">
      <c r="A145" s="1"/>
      <c r="B145" s="1"/>
      <c r="C145" s="1"/>
      <c r="D145" s="1"/>
      <c r="E145" s="1"/>
      <c r="F145" s="1"/>
      <c r="G145" s="3"/>
      <c r="H145" s="1"/>
    </row>
    <row r="146" spans="1:8" ht="13.2" x14ac:dyDescent="0.25">
      <c r="A146" s="1"/>
      <c r="B146" s="1"/>
      <c r="C146" s="1"/>
      <c r="D146" s="1"/>
      <c r="E146" s="1"/>
      <c r="F146" s="1"/>
      <c r="G146" s="3"/>
      <c r="H146" s="1"/>
    </row>
    <row r="147" spans="1:8" ht="13.2" x14ac:dyDescent="0.25">
      <c r="A147" s="1"/>
      <c r="B147" s="1"/>
      <c r="C147" s="1"/>
      <c r="D147" s="1"/>
      <c r="E147" s="1"/>
      <c r="F147" s="1"/>
      <c r="G147" s="3"/>
      <c r="H147" s="1"/>
    </row>
    <row r="148" spans="1:8" ht="13.2" x14ac:dyDescent="0.25">
      <c r="A148" s="1"/>
      <c r="B148" s="1"/>
      <c r="C148" s="1"/>
      <c r="D148" s="1"/>
      <c r="E148" s="1"/>
      <c r="F148" s="1"/>
      <c r="G148" s="3"/>
      <c r="H148" s="1"/>
    </row>
    <row r="149" spans="1:8" ht="13.2" x14ac:dyDescent="0.25">
      <c r="A149" s="1"/>
      <c r="B149" s="1"/>
      <c r="C149" s="1"/>
      <c r="D149" s="1"/>
      <c r="E149" s="1"/>
      <c r="F149" s="1"/>
      <c r="G149" s="3"/>
      <c r="H149" s="1"/>
    </row>
    <row r="150" spans="1:8" ht="13.2" x14ac:dyDescent="0.25">
      <c r="A150" s="1"/>
      <c r="B150" s="1"/>
      <c r="C150" s="1"/>
      <c r="D150" s="1"/>
      <c r="E150" s="1"/>
      <c r="F150" s="1"/>
      <c r="G150" s="1"/>
      <c r="H150" s="1"/>
    </row>
    <row r="151" spans="1:8" ht="13.2" x14ac:dyDescent="0.25">
      <c r="A151" s="1"/>
      <c r="B151" s="1"/>
      <c r="C151" s="1"/>
      <c r="D151" s="1"/>
      <c r="E151" s="1"/>
      <c r="F151" s="1"/>
      <c r="G151" s="1"/>
      <c r="H151" s="1"/>
    </row>
    <row r="152" spans="1:8" ht="13.2" x14ac:dyDescent="0.25">
      <c r="A152" s="1"/>
      <c r="B152" s="1"/>
      <c r="C152" s="1"/>
      <c r="D152" s="1"/>
      <c r="E152" s="1"/>
      <c r="F152" s="1"/>
      <c r="G152" s="3"/>
      <c r="H152" s="1"/>
    </row>
    <row r="153" spans="1:8" ht="13.2" x14ac:dyDescent="0.25">
      <c r="A153" s="1"/>
      <c r="B153" s="1"/>
      <c r="C153" s="1"/>
      <c r="D153" s="1"/>
      <c r="E153" s="1"/>
      <c r="F153" s="1"/>
      <c r="G153" s="3"/>
      <c r="H153" s="1"/>
    </row>
    <row r="154" spans="1:8" ht="13.2" x14ac:dyDescent="0.25">
      <c r="A154" s="2"/>
      <c r="B154" s="1"/>
      <c r="C154" s="1"/>
      <c r="D154" s="1"/>
      <c r="E154" s="1"/>
      <c r="F154" s="1"/>
      <c r="G154" s="3"/>
      <c r="H154" s="1"/>
    </row>
    <row r="155" spans="1:8" ht="13.2" x14ac:dyDescent="0.25">
      <c r="A155" s="1"/>
      <c r="B155" s="1"/>
      <c r="C155" s="1"/>
      <c r="D155" s="1"/>
      <c r="E155" s="1"/>
      <c r="F155" s="1"/>
      <c r="G155" s="3"/>
      <c r="H155" s="1"/>
    </row>
    <row r="156" spans="1:8" ht="13.2" x14ac:dyDescent="0.25">
      <c r="A156" s="1"/>
      <c r="B156" s="1"/>
      <c r="C156" s="1"/>
      <c r="D156" s="1"/>
      <c r="E156" s="1"/>
      <c r="F156" s="1"/>
      <c r="G156" s="3"/>
      <c r="H156" s="1"/>
    </row>
    <row r="157" spans="1:8" ht="13.2" x14ac:dyDescent="0.25">
      <c r="A157" s="2"/>
      <c r="B157" s="1"/>
      <c r="C157" s="1"/>
      <c r="D157" s="1"/>
      <c r="E157" s="1"/>
      <c r="F157" s="1"/>
      <c r="G157" s="3"/>
      <c r="H157" s="1"/>
    </row>
    <row r="158" spans="1:8" ht="13.2" x14ac:dyDescent="0.25">
      <c r="A158" s="1"/>
      <c r="B158" s="1"/>
      <c r="C158" s="1"/>
      <c r="D158" s="1"/>
      <c r="E158" s="1"/>
      <c r="F158" s="1"/>
      <c r="G158" s="3"/>
      <c r="H158" s="1"/>
    </row>
    <row r="159" spans="1:8" ht="13.2" x14ac:dyDescent="0.25">
      <c r="A159" s="2"/>
      <c r="B159" s="1"/>
      <c r="C159" s="1"/>
      <c r="D159" s="1"/>
      <c r="E159" s="1"/>
      <c r="F159" s="1"/>
      <c r="G159" s="3"/>
      <c r="H159" s="1"/>
    </row>
    <row r="160" spans="1:8" ht="13.2" x14ac:dyDescent="0.25">
      <c r="A160" s="1"/>
      <c r="B160" s="1"/>
      <c r="C160" s="1"/>
      <c r="D160" s="1"/>
      <c r="E160" s="1"/>
      <c r="F160" s="1"/>
      <c r="G160" s="3"/>
      <c r="H160" s="1"/>
    </row>
    <row r="161" spans="1:8" ht="13.2" x14ac:dyDescent="0.25">
      <c r="A161" s="1"/>
      <c r="B161" s="1"/>
      <c r="C161" s="1"/>
      <c r="D161" s="1"/>
      <c r="E161" s="1"/>
      <c r="F161" s="1"/>
      <c r="G161" s="3"/>
      <c r="H161" s="1"/>
    </row>
    <row r="162" spans="1:8" ht="13.2" x14ac:dyDescent="0.25">
      <c r="A162" s="1"/>
      <c r="B162" s="1"/>
      <c r="C162" s="1"/>
      <c r="D162" s="1"/>
      <c r="E162" s="1"/>
      <c r="F162" s="1"/>
      <c r="G162" s="3"/>
      <c r="H162" s="1"/>
    </row>
    <row r="163" spans="1:8" ht="13.2" x14ac:dyDescent="0.25">
      <c r="A163" s="1"/>
      <c r="B163" s="1"/>
      <c r="C163" s="1"/>
      <c r="D163" s="1"/>
      <c r="E163" s="1"/>
      <c r="F163" s="1"/>
      <c r="G163" s="3"/>
      <c r="H163" s="1"/>
    </row>
    <row r="164" spans="1:8" ht="13.2" x14ac:dyDescent="0.25">
      <c r="A164" s="1"/>
      <c r="B164" s="1"/>
      <c r="C164" s="1"/>
      <c r="D164" s="1"/>
      <c r="E164" s="1"/>
      <c r="F164" s="1"/>
      <c r="G164" s="3"/>
      <c r="H164" s="1"/>
    </row>
    <row r="165" spans="1:8" ht="13.2" x14ac:dyDescent="0.25">
      <c r="A165" s="1"/>
      <c r="B165" s="1"/>
      <c r="C165" s="1"/>
      <c r="D165" s="1"/>
      <c r="E165" s="1"/>
      <c r="F165" s="1"/>
      <c r="G165" s="3"/>
      <c r="H165" s="1"/>
    </row>
    <row r="166" spans="1:8" ht="13.2" x14ac:dyDescent="0.25">
      <c r="A166" s="2"/>
      <c r="B166" s="1"/>
      <c r="C166" s="1"/>
      <c r="D166" s="1"/>
      <c r="E166" s="1"/>
      <c r="F166" s="1"/>
      <c r="G166" s="3"/>
      <c r="H166" s="1"/>
    </row>
    <row r="167" spans="1:8" ht="13.2" x14ac:dyDescent="0.25">
      <c r="A167" s="1"/>
      <c r="B167" s="1"/>
      <c r="C167" s="1"/>
      <c r="D167" s="1"/>
      <c r="E167" s="1"/>
      <c r="F167" s="1"/>
      <c r="G167" s="3"/>
      <c r="H167" s="1"/>
    </row>
    <row r="168" spans="1:8" ht="13.2" x14ac:dyDescent="0.25">
      <c r="A168" s="1"/>
      <c r="B168" s="1"/>
      <c r="C168" s="1"/>
      <c r="D168" s="1"/>
      <c r="E168" s="1"/>
      <c r="F168" s="1"/>
      <c r="G168" s="3"/>
      <c r="H168" s="1"/>
    </row>
    <row r="169" spans="1:8" ht="13.2" x14ac:dyDescent="0.25">
      <c r="A169" s="2"/>
      <c r="B169" s="1"/>
      <c r="C169" s="1"/>
      <c r="D169" s="1"/>
      <c r="E169" s="1"/>
      <c r="F169" s="1"/>
      <c r="G169" s="3"/>
      <c r="H169" s="1"/>
    </row>
    <row r="170" spans="1:8" ht="13.2" x14ac:dyDescent="0.25">
      <c r="A170" s="2"/>
      <c r="B170" s="1"/>
      <c r="C170" s="1"/>
      <c r="D170" s="1"/>
      <c r="E170" s="1"/>
      <c r="F170" s="2"/>
      <c r="G170" s="1"/>
      <c r="H170" s="1"/>
    </row>
    <row r="171" spans="1:8" ht="13.2" x14ac:dyDescent="0.25">
      <c r="A171" s="2"/>
      <c r="B171" s="1"/>
      <c r="C171" s="1"/>
      <c r="D171" s="1"/>
      <c r="E171" s="1"/>
      <c r="F171" s="2"/>
      <c r="G171" s="3"/>
      <c r="H171" s="1"/>
    </row>
    <row r="172" spans="1:8" ht="13.2" x14ac:dyDescent="0.25">
      <c r="A172" s="2"/>
      <c r="B172" s="1"/>
      <c r="C172" s="1"/>
      <c r="D172" s="1"/>
      <c r="E172" s="1"/>
      <c r="F172" s="2"/>
      <c r="G172" s="3"/>
      <c r="H172" s="1"/>
    </row>
    <row r="173" spans="1:8" ht="13.2" x14ac:dyDescent="0.25">
      <c r="A173" s="1"/>
      <c r="B173" s="1"/>
      <c r="C173" s="1"/>
      <c r="D173" s="1"/>
      <c r="E173" s="1"/>
      <c r="F173" s="1"/>
      <c r="G173" s="3"/>
      <c r="H173" s="1"/>
    </row>
    <row r="174" spans="1:8" ht="13.2" x14ac:dyDescent="0.25">
      <c r="A174" s="2"/>
      <c r="B174" s="1"/>
      <c r="C174" s="1"/>
      <c r="D174" s="1"/>
      <c r="E174" s="1"/>
      <c r="F174" s="1"/>
      <c r="G174" s="3"/>
      <c r="H174" s="1"/>
    </row>
    <row r="175" spans="1:8" ht="13.2" x14ac:dyDescent="0.25">
      <c r="A175" s="1"/>
      <c r="B175" s="1"/>
      <c r="C175" s="1"/>
      <c r="D175" s="1"/>
      <c r="E175" s="1"/>
      <c r="F175" s="1"/>
      <c r="G175" s="3"/>
      <c r="H175" s="1"/>
    </row>
    <row r="176" spans="1:8" ht="13.2" x14ac:dyDescent="0.25">
      <c r="A176" s="2"/>
      <c r="B176" s="1"/>
      <c r="C176" s="1"/>
      <c r="D176" s="1"/>
      <c r="E176" s="1"/>
      <c r="F176" s="1"/>
      <c r="G176" s="3"/>
      <c r="H176" s="1"/>
    </row>
    <row r="177" spans="1:8" ht="13.2" x14ac:dyDescent="0.25">
      <c r="A177" s="1"/>
      <c r="B177" s="1"/>
      <c r="C177" s="1"/>
      <c r="D177" s="1"/>
      <c r="E177" s="1"/>
      <c r="F177" s="1"/>
      <c r="G177" s="3"/>
      <c r="H177" s="1"/>
    </row>
    <row r="178" spans="1:8" ht="13.2" x14ac:dyDescent="0.25">
      <c r="A178" s="1"/>
      <c r="B178" s="1"/>
      <c r="C178" s="1"/>
      <c r="D178" s="1"/>
      <c r="E178" s="1"/>
      <c r="F178" s="1"/>
      <c r="G178" s="1"/>
      <c r="H178" s="1"/>
    </row>
    <row r="179" spans="1:8" ht="13.2" x14ac:dyDescent="0.25">
      <c r="A179" s="1"/>
      <c r="B179" s="1"/>
      <c r="C179" s="1"/>
      <c r="D179" s="1"/>
      <c r="E179" s="1"/>
      <c r="F179" s="1"/>
      <c r="G179" s="3"/>
      <c r="H179" s="1"/>
    </row>
    <row r="180" spans="1:8" ht="13.2" x14ac:dyDescent="0.25">
      <c r="A180" s="1"/>
      <c r="B180" s="1"/>
      <c r="C180" s="1"/>
      <c r="D180" s="1"/>
      <c r="E180" s="1"/>
      <c r="F180" s="1"/>
      <c r="G180" s="3"/>
      <c r="H180" s="1"/>
    </row>
    <row r="181" spans="1:8" ht="13.2" x14ac:dyDescent="0.25">
      <c r="A181" s="2"/>
      <c r="B181" s="1"/>
      <c r="C181" s="1"/>
      <c r="D181" s="1"/>
      <c r="E181" s="1"/>
      <c r="F181" s="1"/>
      <c r="G181" s="3"/>
      <c r="H181" s="1"/>
    </row>
    <row r="182" spans="1:8" ht="13.2" x14ac:dyDescent="0.25">
      <c r="A182" s="1"/>
      <c r="B182" s="1"/>
      <c r="C182" s="1"/>
      <c r="D182" s="1"/>
      <c r="E182" s="1"/>
      <c r="F182" s="1"/>
      <c r="G182" s="3"/>
      <c r="H182" s="1"/>
    </row>
    <row r="183" spans="1:8" ht="13.2" x14ac:dyDescent="0.25">
      <c r="A183" s="1"/>
      <c r="B183" s="1"/>
      <c r="C183" s="1"/>
      <c r="D183" s="1"/>
      <c r="E183" s="1"/>
      <c r="F183" s="1"/>
      <c r="G183" s="3"/>
      <c r="H183" s="1"/>
    </row>
    <row r="184" spans="1:8" ht="13.2" x14ac:dyDescent="0.25">
      <c r="A184" s="2"/>
      <c r="B184" s="1"/>
      <c r="C184" s="1"/>
      <c r="D184" s="1"/>
      <c r="E184" s="1"/>
      <c r="F184" s="1"/>
      <c r="G184" s="3"/>
      <c r="H184" s="1"/>
    </row>
    <row r="185" spans="1:8" ht="13.2" x14ac:dyDescent="0.25">
      <c r="A185" s="2"/>
      <c r="B185" s="1"/>
      <c r="C185" s="1"/>
      <c r="D185" s="1"/>
      <c r="E185" s="1"/>
      <c r="F185" s="1"/>
      <c r="G185" s="3"/>
      <c r="H185" s="1"/>
    </row>
    <row r="186" spans="1:8" ht="13.2" x14ac:dyDescent="0.25">
      <c r="A186" s="2"/>
      <c r="B186" s="1"/>
      <c r="C186" s="1"/>
      <c r="D186" s="1"/>
      <c r="E186" s="1"/>
      <c r="F186" s="2"/>
      <c r="G186" s="3"/>
      <c r="H186" s="1"/>
    </row>
    <row r="187" spans="1:8" ht="13.2" x14ac:dyDescent="0.25">
      <c r="A187" s="2"/>
      <c r="B187" s="1"/>
      <c r="C187" s="1"/>
      <c r="D187" s="1"/>
      <c r="E187" s="1"/>
      <c r="F187" s="1"/>
      <c r="G187" s="3"/>
      <c r="H187" s="1"/>
    </row>
    <row r="188" spans="1:8" ht="13.2" x14ac:dyDescent="0.25">
      <c r="A188" s="1"/>
      <c r="B188" s="1"/>
      <c r="C188" s="1"/>
      <c r="D188" s="1"/>
      <c r="E188" s="1"/>
      <c r="F188" s="1"/>
      <c r="G188" s="3"/>
      <c r="H188" s="1"/>
    </row>
    <row r="189" spans="1:8" ht="13.2" x14ac:dyDescent="0.25">
      <c r="A189" s="1"/>
      <c r="B189" s="1"/>
      <c r="C189" s="1"/>
      <c r="D189" s="1"/>
      <c r="E189" s="1"/>
      <c r="F189" s="1"/>
      <c r="G189" s="3"/>
      <c r="H189" s="1"/>
    </row>
    <row r="190" spans="1:8" ht="13.2" x14ac:dyDescent="0.25">
      <c r="A190" s="1"/>
      <c r="B190" s="1"/>
      <c r="C190" s="1"/>
      <c r="D190" s="1"/>
      <c r="E190" s="1"/>
      <c r="F190" s="1"/>
      <c r="G190" s="3"/>
      <c r="H190" s="1"/>
    </row>
    <row r="191" spans="1:8" ht="13.2" x14ac:dyDescent="0.25">
      <c r="A191" s="1"/>
      <c r="B191" s="1"/>
      <c r="C191" s="1"/>
      <c r="D191" s="1"/>
      <c r="E191" s="1"/>
      <c r="F191" s="1"/>
      <c r="G191" s="3"/>
      <c r="H191" s="1"/>
    </row>
    <row r="192" spans="1:8" ht="13.2" x14ac:dyDescent="0.25">
      <c r="A192" s="2"/>
      <c r="B192" s="1"/>
      <c r="C192" s="1"/>
      <c r="D192" s="1"/>
      <c r="E192" s="1"/>
      <c r="F192" s="1"/>
      <c r="G192" s="3"/>
      <c r="H192" s="1"/>
    </row>
    <row r="193" spans="1:8" ht="13.2" x14ac:dyDescent="0.25">
      <c r="A193" s="1"/>
      <c r="B193" s="1"/>
      <c r="C193" s="1"/>
      <c r="D193" s="1"/>
      <c r="E193" s="1"/>
      <c r="F193" s="1"/>
      <c r="G193" s="3"/>
      <c r="H193" s="1"/>
    </row>
    <row r="194" spans="1:8" ht="13.2" x14ac:dyDescent="0.25">
      <c r="A194" s="1"/>
      <c r="B194" s="1"/>
      <c r="C194" s="1"/>
      <c r="D194" s="1"/>
      <c r="E194" s="1"/>
      <c r="F194" s="1"/>
      <c r="G194" s="3"/>
      <c r="H194" s="1"/>
    </row>
    <row r="195" spans="1:8" ht="13.2" x14ac:dyDescent="0.25">
      <c r="A195" s="1"/>
      <c r="B195" s="1"/>
      <c r="C195" s="1"/>
      <c r="D195" s="1"/>
      <c r="E195" s="1"/>
      <c r="F195" s="1"/>
      <c r="G195" s="3"/>
      <c r="H195" s="1"/>
    </row>
    <row r="196" spans="1:8" ht="13.2" x14ac:dyDescent="0.25">
      <c r="A196" s="1"/>
      <c r="B196" s="1"/>
      <c r="C196" s="1"/>
      <c r="D196" s="1"/>
      <c r="E196" s="1"/>
      <c r="F196" s="1"/>
      <c r="G196" s="3"/>
      <c r="H196" s="1"/>
    </row>
    <row r="197" spans="1:8" ht="13.2" x14ac:dyDescent="0.25">
      <c r="A197" s="1"/>
      <c r="B197" s="1"/>
      <c r="C197" s="1"/>
      <c r="D197" s="1"/>
      <c r="E197" s="1"/>
      <c r="F197" s="1"/>
      <c r="G197" s="3"/>
      <c r="H197" s="1"/>
    </row>
    <row r="198" spans="1:8" ht="13.2" x14ac:dyDescent="0.25">
      <c r="A198" s="2"/>
      <c r="B198" s="1"/>
      <c r="C198" s="1"/>
      <c r="D198" s="1"/>
      <c r="E198" s="1"/>
      <c r="F198" s="1"/>
      <c r="G198" s="3"/>
      <c r="H198" s="1"/>
    </row>
    <row r="199" spans="1:8" ht="13.2" x14ac:dyDescent="0.25">
      <c r="A199" s="2"/>
      <c r="B199" s="1"/>
      <c r="C199" s="1"/>
      <c r="D199" s="1"/>
      <c r="E199" s="1"/>
      <c r="F199" s="1"/>
      <c r="G199" s="3"/>
      <c r="H199" s="1"/>
    </row>
    <row r="200" spans="1:8" ht="13.2" x14ac:dyDescent="0.25">
      <c r="A200" s="2"/>
      <c r="B200" s="1"/>
      <c r="C200" s="1"/>
      <c r="D200" s="1"/>
      <c r="E200" s="1"/>
      <c r="F200" s="1"/>
      <c r="G200" s="3"/>
      <c r="H200" s="1"/>
    </row>
    <row r="201" spans="1:8" ht="13.2" x14ac:dyDescent="0.25">
      <c r="A201" s="1"/>
      <c r="B201" s="1"/>
      <c r="C201" s="1"/>
      <c r="D201" s="1"/>
      <c r="E201" s="1"/>
      <c r="F201" s="1"/>
      <c r="G201" s="3"/>
      <c r="H201" s="1"/>
    </row>
    <row r="202" spans="1:8" ht="13.2" x14ac:dyDescent="0.25">
      <c r="A202" s="1"/>
      <c r="B202" s="1"/>
      <c r="C202" s="1"/>
      <c r="D202" s="1"/>
      <c r="E202" s="1"/>
      <c r="F202" s="1"/>
      <c r="G202" s="3"/>
      <c r="H202" s="1"/>
    </row>
    <row r="203" spans="1:8" ht="13.2" x14ac:dyDescent="0.25">
      <c r="A203" s="2"/>
      <c r="B203" s="1"/>
      <c r="C203" s="1"/>
      <c r="D203" s="1"/>
      <c r="E203" s="1"/>
      <c r="F203" s="1"/>
      <c r="G203" s="3"/>
      <c r="H203" s="1"/>
    </row>
    <row r="204" spans="1:8" ht="13.2" x14ac:dyDescent="0.25">
      <c r="A204" s="2"/>
      <c r="B204" s="1"/>
      <c r="C204" s="1"/>
      <c r="D204" s="1"/>
      <c r="E204" s="1"/>
      <c r="F204" s="1"/>
      <c r="G204" s="3"/>
      <c r="H204" s="1"/>
    </row>
    <row r="205" spans="1:8" ht="13.2" x14ac:dyDescent="0.25">
      <c r="A205" s="2"/>
      <c r="B205" s="1"/>
      <c r="C205" s="1"/>
      <c r="D205" s="1"/>
      <c r="E205" s="1"/>
      <c r="F205" s="1"/>
      <c r="G205" s="3"/>
      <c r="H205" s="1"/>
    </row>
    <row r="206" spans="1:8" ht="13.2" x14ac:dyDescent="0.25">
      <c r="A206" s="1"/>
      <c r="B206" s="1"/>
      <c r="C206" s="1"/>
      <c r="D206" s="1"/>
      <c r="E206" s="1"/>
      <c r="F206" s="1"/>
      <c r="G206" s="3"/>
      <c r="H206" s="1"/>
    </row>
    <row r="207" spans="1:8" ht="13.2" x14ac:dyDescent="0.25">
      <c r="A207" s="1"/>
      <c r="B207" s="1"/>
      <c r="C207" s="1"/>
      <c r="D207" s="1"/>
      <c r="E207" s="1"/>
      <c r="F207" s="1"/>
      <c r="G207" s="3"/>
      <c r="H207" s="1"/>
    </row>
    <row r="208" spans="1:8" ht="13.2" x14ac:dyDescent="0.25">
      <c r="A208" s="2"/>
      <c r="B208" s="1"/>
      <c r="C208" s="1"/>
      <c r="D208" s="1"/>
      <c r="E208" s="1"/>
      <c r="F208" s="1"/>
      <c r="G208" s="3"/>
      <c r="H208" s="1"/>
    </row>
    <row r="209" spans="1:8" ht="13.2" x14ac:dyDescent="0.25">
      <c r="A209" s="2"/>
      <c r="B209" s="1"/>
      <c r="C209" s="1"/>
      <c r="D209" s="1"/>
      <c r="E209" s="1"/>
      <c r="F209" s="1"/>
      <c r="G209" s="3"/>
      <c r="H209" s="1"/>
    </row>
    <row r="210" spans="1:8" ht="13.2" x14ac:dyDescent="0.25">
      <c r="A210" s="2"/>
      <c r="B210" s="1"/>
      <c r="C210" s="1"/>
      <c r="D210" s="1"/>
      <c r="E210" s="1"/>
      <c r="F210" s="1"/>
      <c r="G210" s="3"/>
      <c r="H210" s="1"/>
    </row>
    <row r="211" spans="1:8" ht="13.2" x14ac:dyDescent="0.25">
      <c r="A211" s="2"/>
      <c r="B211" s="1"/>
      <c r="C211" s="1"/>
      <c r="D211" s="1"/>
      <c r="E211" s="1"/>
      <c r="F211" s="1"/>
      <c r="G211" s="3"/>
      <c r="H211" s="1"/>
    </row>
    <row r="212" spans="1:8" ht="13.2" x14ac:dyDescent="0.25">
      <c r="A212" s="2"/>
      <c r="B212" s="1"/>
      <c r="C212" s="1"/>
      <c r="D212" s="1"/>
      <c r="E212" s="1"/>
      <c r="F212" s="1"/>
      <c r="G212" s="3"/>
      <c r="H212" s="1"/>
    </row>
    <row r="213" spans="1:8" ht="13.2" x14ac:dyDescent="0.25">
      <c r="A213" s="2"/>
      <c r="B213" s="1"/>
      <c r="C213" s="1"/>
      <c r="D213" s="1"/>
      <c r="E213" s="1"/>
      <c r="F213" s="1"/>
      <c r="G213" s="3"/>
      <c r="H213" s="1"/>
    </row>
    <row r="214" spans="1:8" ht="13.2" x14ac:dyDescent="0.25">
      <c r="A214" s="1"/>
      <c r="B214" s="1"/>
      <c r="C214" s="1"/>
      <c r="D214" s="1"/>
      <c r="E214" s="1"/>
      <c r="F214" s="1"/>
      <c r="G214" s="3"/>
      <c r="H214" s="1"/>
    </row>
    <row r="215" spans="1:8" ht="13.2" x14ac:dyDescent="0.25">
      <c r="A215" s="1"/>
      <c r="B215" s="1"/>
      <c r="C215" s="1"/>
      <c r="D215" s="1"/>
      <c r="E215" s="1"/>
      <c r="F215" s="1"/>
      <c r="G215" s="3"/>
      <c r="H215" s="1"/>
    </row>
    <row r="216" spans="1:8" ht="13.2" x14ac:dyDescent="0.25">
      <c r="A216" s="1"/>
      <c r="B216" s="1"/>
      <c r="C216" s="1"/>
      <c r="D216" s="1"/>
      <c r="E216" s="1"/>
      <c r="F216" s="1"/>
      <c r="G216" s="3"/>
      <c r="H216" s="1"/>
    </row>
    <row r="217" spans="1:8" ht="13.2" x14ac:dyDescent="0.25">
      <c r="A217" s="1"/>
      <c r="B217" s="1"/>
      <c r="C217" s="1"/>
      <c r="D217" s="1"/>
      <c r="E217" s="1"/>
      <c r="F217" s="1"/>
      <c r="G217" s="3"/>
      <c r="H217" s="1"/>
    </row>
    <row r="218" spans="1:8" ht="13.2" x14ac:dyDescent="0.25">
      <c r="A218" s="1"/>
      <c r="B218" s="1"/>
      <c r="C218" s="1"/>
      <c r="D218" s="1"/>
      <c r="E218" s="1"/>
      <c r="F218" s="1"/>
      <c r="G218" s="3"/>
      <c r="H218" s="1"/>
    </row>
    <row r="219" spans="1:8" ht="13.2" x14ac:dyDescent="0.25">
      <c r="A219" s="1"/>
      <c r="B219" s="1"/>
      <c r="C219" s="1"/>
      <c r="D219" s="1"/>
      <c r="E219" s="1"/>
      <c r="F219" s="1"/>
      <c r="G219" s="3"/>
      <c r="H219" s="1"/>
    </row>
    <row r="220" spans="1:8" ht="13.2" x14ac:dyDescent="0.25">
      <c r="A220" s="1"/>
      <c r="B220" s="1"/>
      <c r="C220" s="1"/>
      <c r="D220" s="1"/>
      <c r="E220" s="1"/>
      <c r="F220" s="1"/>
      <c r="G220" s="3"/>
      <c r="H220" s="1"/>
    </row>
    <row r="221" spans="1:8" ht="13.2" x14ac:dyDescent="0.25">
      <c r="A221" s="1"/>
      <c r="B221" s="1"/>
      <c r="C221" s="1"/>
      <c r="D221" s="1"/>
      <c r="E221" s="1"/>
      <c r="F221" s="1"/>
      <c r="G221" s="3"/>
      <c r="H221" s="1"/>
    </row>
    <row r="222" spans="1:8" ht="13.2" x14ac:dyDescent="0.25">
      <c r="A222" s="1"/>
      <c r="B222" s="1"/>
      <c r="C222" s="1"/>
      <c r="D222" s="1"/>
      <c r="E222" s="1"/>
      <c r="F222" s="1"/>
      <c r="G222" s="3"/>
      <c r="H222" s="1"/>
    </row>
    <row r="223" spans="1:8" ht="13.2" x14ac:dyDescent="0.25">
      <c r="A223" s="1"/>
      <c r="B223" s="1"/>
      <c r="C223" s="1"/>
      <c r="D223" s="1"/>
      <c r="E223" s="1"/>
      <c r="F223" s="1"/>
      <c r="G223" s="3"/>
      <c r="H223" s="1"/>
    </row>
    <row r="224" spans="1:8" ht="13.2" x14ac:dyDescent="0.25">
      <c r="A224" s="1"/>
      <c r="B224" s="1"/>
      <c r="C224" s="1"/>
      <c r="D224" s="1"/>
      <c r="E224" s="1"/>
      <c r="F224" s="1"/>
      <c r="G224" s="3"/>
      <c r="H224" s="1"/>
    </row>
    <row r="225" spans="1:8" ht="13.2" x14ac:dyDescent="0.25">
      <c r="A225" s="1"/>
      <c r="B225" s="1"/>
      <c r="C225" s="1"/>
      <c r="D225" s="1"/>
      <c r="E225" s="1"/>
      <c r="F225" s="1"/>
      <c r="G225" s="3"/>
      <c r="H225" s="1"/>
    </row>
    <row r="226" spans="1:8" ht="13.2" x14ac:dyDescent="0.25">
      <c r="A226" s="1"/>
      <c r="B226" s="1"/>
      <c r="C226" s="1"/>
      <c r="D226" s="1"/>
      <c r="E226" s="1"/>
      <c r="F226" s="1"/>
      <c r="G226" s="3"/>
      <c r="H226" s="1"/>
    </row>
    <row r="227" spans="1:8" ht="13.2" x14ac:dyDescent="0.25">
      <c r="A227" s="1"/>
      <c r="B227" s="1"/>
      <c r="C227" s="1"/>
      <c r="D227" s="1"/>
      <c r="E227" s="1"/>
      <c r="F227" s="1"/>
      <c r="G227" s="3"/>
      <c r="H227" s="1"/>
    </row>
    <row r="228" spans="1:8" ht="13.2" x14ac:dyDescent="0.25">
      <c r="A228" s="1"/>
      <c r="B228" s="1"/>
      <c r="C228" s="1"/>
      <c r="D228" s="1"/>
      <c r="E228" s="1"/>
      <c r="F228" s="1"/>
      <c r="G228" s="3"/>
      <c r="H228" s="1"/>
    </row>
    <row r="229" spans="1:8" ht="13.2" x14ac:dyDescent="0.25">
      <c r="A229" s="1"/>
      <c r="B229" s="1"/>
      <c r="C229" s="1"/>
      <c r="D229" s="1"/>
      <c r="E229" s="1"/>
      <c r="F229" s="1"/>
      <c r="G229" s="3"/>
      <c r="H229" s="1"/>
    </row>
    <row r="230" spans="1:8" ht="13.2" x14ac:dyDescent="0.25">
      <c r="A230" s="1"/>
      <c r="B230" s="1"/>
      <c r="C230" s="1"/>
      <c r="D230" s="1"/>
      <c r="E230" s="1"/>
      <c r="F230" s="1"/>
      <c r="G230" s="3"/>
      <c r="H230" s="1"/>
    </row>
    <row r="231" spans="1:8" ht="13.2" x14ac:dyDescent="0.25">
      <c r="A231" s="1"/>
      <c r="B231" s="1"/>
      <c r="C231" s="1"/>
      <c r="D231" s="1"/>
      <c r="E231" s="1"/>
      <c r="F231" s="1"/>
      <c r="G231" s="3"/>
      <c r="H231" s="1"/>
    </row>
    <row r="232" spans="1:8" ht="13.2" x14ac:dyDescent="0.25">
      <c r="A232" s="1"/>
      <c r="B232" s="1"/>
      <c r="C232" s="1"/>
      <c r="D232" s="1"/>
      <c r="E232" s="1"/>
      <c r="F232" s="1"/>
      <c r="G232" s="3"/>
      <c r="H232" s="1"/>
    </row>
    <row r="233" spans="1:8" ht="13.2" x14ac:dyDescent="0.25">
      <c r="A233" s="1"/>
      <c r="B233" s="1"/>
      <c r="C233" s="1"/>
      <c r="D233" s="1"/>
      <c r="E233" s="1"/>
      <c r="F233" s="1"/>
      <c r="G233" s="3"/>
      <c r="H233" s="1"/>
    </row>
    <row r="234" spans="1:8" ht="13.2" x14ac:dyDescent="0.25">
      <c r="A234" s="1"/>
      <c r="B234" s="1"/>
      <c r="C234" s="1"/>
      <c r="D234" s="1"/>
      <c r="E234" s="1"/>
      <c r="F234" s="1"/>
      <c r="G234" s="3"/>
      <c r="H234" s="1"/>
    </row>
    <row r="235" spans="1:8" ht="13.2" x14ac:dyDescent="0.25">
      <c r="A235" s="2"/>
      <c r="B235" s="1"/>
      <c r="C235" s="1"/>
      <c r="D235" s="1"/>
      <c r="E235" s="1"/>
      <c r="F235" s="1"/>
      <c r="G235" s="3"/>
      <c r="H235" s="1"/>
    </row>
    <row r="236" spans="1:8" ht="13.2" x14ac:dyDescent="0.25">
      <c r="A236" s="1"/>
      <c r="B236" s="1"/>
      <c r="C236" s="1"/>
      <c r="D236" s="1"/>
      <c r="E236" s="1"/>
      <c r="F236" s="1"/>
      <c r="G236" s="3"/>
      <c r="H236" s="1"/>
    </row>
    <row r="237" spans="1:8" ht="13.2" x14ac:dyDescent="0.25">
      <c r="A237" s="1"/>
      <c r="B237" s="1"/>
      <c r="C237" s="1"/>
      <c r="D237" s="1"/>
      <c r="E237" s="1"/>
      <c r="F237" s="1"/>
      <c r="G237" s="3"/>
      <c r="H237" s="1"/>
    </row>
    <row r="238" spans="1:8" ht="13.2" x14ac:dyDescent="0.25">
      <c r="A238" s="1"/>
      <c r="B238" s="1"/>
      <c r="C238" s="1"/>
      <c r="D238" s="1"/>
      <c r="E238" s="1"/>
      <c r="F238" s="1"/>
      <c r="G238" s="3"/>
      <c r="H238" s="1"/>
    </row>
    <row r="239" spans="1:8" ht="13.2" x14ac:dyDescent="0.25">
      <c r="A239" s="1"/>
      <c r="B239" s="1"/>
      <c r="C239" s="1"/>
      <c r="D239" s="1"/>
      <c r="E239" s="1"/>
      <c r="F239" s="1"/>
      <c r="G239" s="3"/>
      <c r="H239" s="1"/>
    </row>
    <row r="240" spans="1:8" ht="13.2" x14ac:dyDescent="0.25">
      <c r="A240" s="1"/>
      <c r="B240" s="1"/>
      <c r="C240" s="1"/>
      <c r="D240" s="1"/>
      <c r="E240" s="1"/>
      <c r="F240" s="1"/>
      <c r="G240" s="3"/>
      <c r="H240" s="1"/>
    </row>
    <row r="241" spans="1:8" ht="13.2" x14ac:dyDescent="0.25">
      <c r="A241" s="1"/>
      <c r="B241" s="1"/>
      <c r="C241" s="1"/>
      <c r="D241" s="1"/>
      <c r="E241" s="1"/>
      <c r="F241" s="1"/>
      <c r="G241" s="1"/>
      <c r="H241" s="1"/>
    </row>
    <row r="242" spans="1:8" ht="13.2" x14ac:dyDescent="0.25">
      <c r="A242" s="1"/>
      <c r="B242" s="1"/>
      <c r="C242" s="1"/>
      <c r="D242" s="1"/>
      <c r="E242" s="1"/>
      <c r="F242" s="1"/>
      <c r="G242" s="3"/>
      <c r="H242" s="1"/>
    </row>
    <row r="243" spans="1:8" ht="13.2" x14ac:dyDescent="0.25">
      <c r="A243" s="2"/>
      <c r="B243" s="1"/>
      <c r="C243" s="1"/>
      <c r="D243" s="1"/>
      <c r="E243" s="1"/>
      <c r="F243" s="1"/>
      <c r="G243" s="3"/>
      <c r="H243" s="1"/>
    </row>
    <row r="244" spans="1:8" ht="13.2" x14ac:dyDescent="0.25">
      <c r="A244" s="1"/>
      <c r="B244" s="1"/>
      <c r="C244" s="1"/>
      <c r="D244" s="1"/>
      <c r="E244" s="1"/>
      <c r="F244" s="1"/>
      <c r="G244" s="3"/>
      <c r="H244" s="1"/>
    </row>
    <row r="245" spans="1:8" ht="13.2" x14ac:dyDescent="0.25">
      <c r="A245" s="1"/>
      <c r="B245" s="1"/>
      <c r="C245" s="1"/>
      <c r="D245" s="1"/>
      <c r="E245" s="1"/>
      <c r="F245" s="1"/>
      <c r="G245" s="3"/>
      <c r="H245" s="1"/>
    </row>
    <row r="246" spans="1:8" ht="13.2" x14ac:dyDescent="0.25">
      <c r="A246" s="2"/>
      <c r="B246" s="1"/>
      <c r="C246" s="1"/>
      <c r="D246" s="1"/>
      <c r="E246" s="1"/>
      <c r="F246" s="1"/>
      <c r="G246" s="3"/>
      <c r="H246" s="1"/>
    </row>
    <row r="247" spans="1:8" ht="13.2" x14ac:dyDescent="0.25">
      <c r="A247" s="2"/>
      <c r="B247" s="1"/>
      <c r="C247" s="1"/>
      <c r="D247" s="1"/>
      <c r="E247" s="1"/>
      <c r="F247" s="1"/>
      <c r="G247" s="3"/>
      <c r="H247" s="1"/>
    </row>
    <row r="248" spans="1:8" ht="13.2" x14ac:dyDescent="0.25">
      <c r="A248" s="1"/>
      <c r="B248" s="1"/>
      <c r="C248" s="1"/>
      <c r="D248" s="1"/>
      <c r="E248" s="1"/>
      <c r="F248" s="1"/>
      <c r="G248" s="3"/>
      <c r="H248" s="1"/>
    </row>
    <row r="249" spans="1:8" ht="13.2" x14ac:dyDescent="0.25">
      <c r="A249" s="1"/>
      <c r="B249" s="1"/>
      <c r="C249" s="1"/>
      <c r="D249" s="1"/>
      <c r="E249" s="1"/>
      <c r="F249" s="1"/>
      <c r="G249" s="3"/>
      <c r="H249" s="1"/>
    </row>
    <row r="250" spans="1:8" ht="13.2" x14ac:dyDescent="0.25">
      <c r="A250" s="1"/>
      <c r="B250" s="1"/>
      <c r="C250" s="1"/>
      <c r="D250" s="1"/>
      <c r="E250" s="1"/>
      <c r="F250" s="1"/>
      <c r="G250" s="3"/>
      <c r="H250" s="1"/>
    </row>
    <row r="251" spans="1:8" ht="13.2" x14ac:dyDescent="0.25">
      <c r="A251" s="1"/>
      <c r="B251" s="1"/>
      <c r="C251" s="1"/>
      <c r="D251" s="1"/>
      <c r="E251" s="1"/>
      <c r="F251" s="1"/>
      <c r="G251" s="3"/>
      <c r="H251" s="1"/>
    </row>
    <row r="252" spans="1:8" ht="13.2" x14ac:dyDescent="0.25">
      <c r="A252" s="1"/>
      <c r="B252" s="1"/>
      <c r="C252" s="1"/>
      <c r="D252" s="1"/>
      <c r="E252" s="1"/>
      <c r="F252" s="1"/>
      <c r="G252" s="3"/>
      <c r="H252" s="1"/>
    </row>
    <row r="253" spans="1:8" ht="13.2" x14ac:dyDescent="0.25">
      <c r="A253" s="1"/>
      <c r="B253" s="1"/>
      <c r="C253" s="1"/>
      <c r="D253" s="1"/>
      <c r="E253" s="1"/>
      <c r="F253" s="1"/>
      <c r="G253" s="3"/>
      <c r="H253" s="1"/>
    </row>
    <row r="254" spans="1:8" ht="13.2" x14ac:dyDescent="0.25">
      <c r="A254" s="2"/>
      <c r="B254" s="1"/>
      <c r="C254" s="1"/>
      <c r="D254" s="1"/>
      <c r="E254" s="1"/>
      <c r="F254" s="1"/>
      <c r="G254" s="3"/>
      <c r="H254" s="1"/>
    </row>
    <row r="255" spans="1:8" ht="13.2" x14ac:dyDescent="0.25">
      <c r="A255" s="1"/>
      <c r="B255" s="1"/>
      <c r="C255" s="1"/>
      <c r="D255" s="1"/>
      <c r="E255" s="1"/>
      <c r="F255" s="1"/>
      <c r="G255" s="3"/>
      <c r="H255" s="1"/>
    </row>
    <row r="256" spans="1:8" ht="13.2" x14ac:dyDescent="0.25">
      <c r="A256" s="1"/>
      <c r="B256" s="1"/>
      <c r="C256" s="1"/>
      <c r="D256" s="1"/>
      <c r="E256" s="1"/>
      <c r="F256" s="1"/>
      <c r="G256" s="3"/>
      <c r="H256" s="1"/>
    </row>
    <row r="257" spans="1:8" ht="13.2" x14ac:dyDescent="0.25">
      <c r="A257" s="1"/>
      <c r="B257" s="1"/>
      <c r="C257" s="1"/>
      <c r="D257" s="1"/>
      <c r="E257" s="1"/>
      <c r="F257" s="1"/>
      <c r="G257" s="3"/>
      <c r="H257" s="1"/>
    </row>
    <row r="258" spans="1:8" ht="13.2" x14ac:dyDescent="0.25">
      <c r="A258" s="1"/>
      <c r="B258" s="1"/>
      <c r="C258" s="1"/>
      <c r="D258" s="1"/>
      <c r="E258" s="1"/>
      <c r="F258" s="1"/>
      <c r="G258" s="3"/>
      <c r="H258" s="1"/>
    </row>
    <row r="259" spans="1:8" ht="13.2" x14ac:dyDescent="0.25">
      <c r="A259" s="1"/>
      <c r="B259" s="1"/>
      <c r="C259" s="1"/>
      <c r="D259" s="1"/>
      <c r="E259" s="1"/>
      <c r="F259" s="1"/>
      <c r="G259" s="3"/>
      <c r="H259" s="1"/>
    </row>
    <row r="260" spans="1:8" ht="13.2" x14ac:dyDescent="0.25">
      <c r="A260" s="2"/>
      <c r="B260" s="1"/>
      <c r="C260" s="1"/>
      <c r="D260" s="1"/>
      <c r="E260" s="1"/>
      <c r="F260" s="1"/>
      <c r="G260" s="3"/>
      <c r="H260" s="1"/>
    </row>
    <row r="261" spans="1:8" ht="13.2" x14ac:dyDescent="0.25">
      <c r="A261" s="1"/>
      <c r="B261" s="1"/>
      <c r="C261" s="1"/>
      <c r="D261" s="1"/>
      <c r="E261" s="1"/>
      <c r="F261" s="1"/>
      <c r="G261" s="3"/>
      <c r="H261" s="1"/>
    </row>
    <row r="262" spans="1:8" ht="13.2" x14ac:dyDescent="0.25">
      <c r="A262" s="1"/>
      <c r="B262" s="1"/>
      <c r="C262" s="1"/>
      <c r="D262" s="1"/>
      <c r="E262" s="1"/>
      <c r="F262" s="1"/>
      <c r="G262" s="3"/>
      <c r="H262" s="1"/>
    </row>
    <row r="263" spans="1:8" ht="13.2" x14ac:dyDescent="0.25">
      <c r="A263" s="1"/>
      <c r="B263" s="1"/>
      <c r="C263" s="1"/>
      <c r="D263" s="1"/>
      <c r="E263" s="1"/>
      <c r="F263" s="1"/>
      <c r="G263" s="3"/>
      <c r="H263" s="1"/>
    </row>
    <row r="264" spans="1:8" ht="13.2" x14ac:dyDescent="0.25">
      <c r="A264" s="2"/>
      <c r="B264" s="1"/>
      <c r="C264" s="1"/>
      <c r="D264" s="1"/>
      <c r="E264" s="1"/>
      <c r="F264" s="1"/>
      <c r="G264" s="3"/>
      <c r="H264" s="1"/>
    </row>
    <row r="265" spans="1:8" ht="13.2" x14ac:dyDescent="0.25">
      <c r="A265" s="2"/>
      <c r="B265" s="1"/>
      <c r="C265" s="1"/>
      <c r="D265" s="1"/>
      <c r="E265" s="1"/>
      <c r="F265" s="1"/>
      <c r="G265" s="3"/>
      <c r="H265" s="1"/>
    </row>
    <row r="266" spans="1:8" ht="13.2" x14ac:dyDescent="0.25">
      <c r="A266" s="1"/>
      <c r="B266" s="1"/>
      <c r="C266" s="1"/>
      <c r="D266" s="1"/>
      <c r="E266" s="1"/>
      <c r="F266" s="1"/>
      <c r="G266" s="3"/>
      <c r="H266" s="1"/>
    </row>
    <row r="267" spans="1:8" ht="13.2" x14ac:dyDescent="0.25">
      <c r="A267" s="2"/>
      <c r="B267" s="1"/>
      <c r="C267" s="1"/>
      <c r="D267" s="1"/>
      <c r="E267" s="1"/>
      <c r="F267" s="1"/>
      <c r="G267" s="3"/>
      <c r="H267" s="1"/>
    </row>
    <row r="268" spans="1:8" ht="13.2" x14ac:dyDescent="0.25">
      <c r="A268" s="1"/>
      <c r="B268" s="1"/>
      <c r="C268" s="1"/>
      <c r="D268" s="1"/>
      <c r="E268" s="1"/>
      <c r="F268" s="1"/>
      <c r="G268" s="3"/>
      <c r="H268" s="1"/>
    </row>
    <row r="269" spans="1:8" ht="13.2" x14ac:dyDescent="0.25">
      <c r="A269" s="2"/>
      <c r="B269" s="1"/>
      <c r="C269" s="1"/>
      <c r="D269" s="1"/>
      <c r="E269" s="1"/>
      <c r="F269" s="1"/>
      <c r="G269" s="3"/>
      <c r="H269" s="1"/>
    </row>
    <row r="270" spans="1:8" ht="13.2" x14ac:dyDescent="0.25">
      <c r="A270" s="2"/>
      <c r="B270" s="1"/>
      <c r="C270" s="1"/>
      <c r="D270" s="1"/>
      <c r="E270" s="1"/>
      <c r="F270" s="1"/>
      <c r="G270" s="3"/>
      <c r="H270" s="1"/>
    </row>
    <row r="271" spans="1:8" ht="13.2" x14ac:dyDescent="0.25">
      <c r="A271" s="1"/>
      <c r="B271" s="1"/>
      <c r="C271" s="1"/>
      <c r="D271" s="1"/>
      <c r="E271" s="1"/>
      <c r="F271" s="1"/>
      <c r="G271" s="3"/>
      <c r="H271" s="1"/>
    </row>
    <row r="272" spans="1:8" ht="13.2" x14ac:dyDescent="0.25">
      <c r="A272" s="1"/>
      <c r="B272" s="1"/>
      <c r="C272" s="1"/>
      <c r="D272" s="1"/>
      <c r="E272" s="1"/>
      <c r="F272" s="1"/>
      <c r="G272" s="3"/>
      <c r="H272" s="1"/>
    </row>
    <row r="273" spans="1:8" ht="13.2" x14ac:dyDescent="0.25">
      <c r="A273" s="1"/>
      <c r="B273" s="1"/>
      <c r="C273" s="1"/>
      <c r="D273" s="1"/>
      <c r="E273" s="1"/>
      <c r="F273" s="1"/>
      <c r="G273" s="1"/>
      <c r="H273" s="1"/>
    </row>
    <row r="274" spans="1:8" ht="13.2" x14ac:dyDescent="0.25">
      <c r="A274" s="2"/>
      <c r="B274" s="1"/>
      <c r="C274" s="1"/>
      <c r="D274" s="1"/>
      <c r="E274" s="1"/>
      <c r="F274" s="1"/>
      <c r="G274" s="3"/>
      <c r="H274" s="1"/>
    </row>
    <row r="275" spans="1:8" ht="13.2" x14ac:dyDescent="0.25">
      <c r="A275" s="1"/>
      <c r="B275" s="1"/>
      <c r="C275" s="1"/>
      <c r="D275" s="1"/>
      <c r="E275" s="1"/>
      <c r="F275" s="1"/>
      <c r="G275" s="3"/>
      <c r="H275" s="1"/>
    </row>
    <row r="276" spans="1:8" ht="13.2" x14ac:dyDescent="0.25">
      <c r="A276" s="1"/>
      <c r="B276" s="1"/>
      <c r="C276" s="1"/>
      <c r="D276" s="1"/>
      <c r="E276" s="1"/>
      <c r="F276" s="1"/>
      <c r="G276" s="3"/>
      <c r="H276" s="1"/>
    </row>
    <row r="277" spans="1:8" ht="13.2" x14ac:dyDescent="0.25">
      <c r="A277" s="2"/>
      <c r="B277" s="1"/>
      <c r="C277" s="1"/>
      <c r="D277" s="1"/>
      <c r="E277" s="1"/>
      <c r="F277" s="1"/>
      <c r="G277" s="3"/>
      <c r="H277" s="1"/>
    </row>
    <row r="278" spans="1:8" ht="13.2" x14ac:dyDescent="0.25">
      <c r="A278" s="1"/>
      <c r="B278" s="1"/>
      <c r="C278" s="1"/>
      <c r="D278" s="1"/>
      <c r="E278" s="1"/>
      <c r="F278" s="1"/>
      <c r="G278" s="3"/>
      <c r="H278" s="1"/>
    </row>
    <row r="279" spans="1:8" ht="13.2" x14ac:dyDescent="0.25">
      <c r="A279" s="2"/>
      <c r="B279" s="1"/>
      <c r="C279" s="1"/>
      <c r="D279" s="1"/>
      <c r="E279" s="1"/>
      <c r="F279" s="1"/>
      <c r="G279" s="3"/>
      <c r="H279" s="1"/>
    </row>
    <row r="280" spans="1:8" ht="13.2" x14ac:dyDescent="0.25">
      <c r="A280" s="1"/>
      <c r="B280" s="1"/>
      <c r="C280" s="1"/>
      <c r="D280" s="1"/>
      <c r="E280" s="1"/>
      <c r="F280" s="1"/>
      <c r="G280" s="3"/>
      <c r="H280" s="1"/>
    </row>
    <row r="281" spans="1:8" ht="13.2" x14ac:dyDescent="0.25">
      <c r="A281" s="2"/>
      <c r="B281" s="1"/>
      <c r="C281" s="1"/>
      <c r="D281" s="1"/>
      <c r="E281" s="1"/>
      <c r="F281" s="1"/>
      <c r="G281" s="3"/>
      <c r="H281" s="1"/>
    </row>
    <row r="282" spans="1:8" ht="13.2" x14ac:dyDescent="0.25">
      <c r="A282" s="1"/>
      <c r="B282" s="1"/>
      <c r="C282" s="1"/>
      <c r="D282" s="1"/>
      <c r="E282" s="1"/>
      <c r="F282" s="1"/>
      <c r="G282" s="3"/>
      <c r="H282" s="1"/>
    </row>
    <row r="283" spans="1:8" ht="13.2" x14ac:dyDescent="0.25">
      <c r="A283" s="1"/>
      <c r="B283" s="1"/>
      <c r="C283" s="1"/>
      <c r="D283" s="1"/>
      <c r="E283" s="1"/>
      <c r="F283" s="1"/>
      <c r="G283" s="3"/>
      <c r="H283" s="1"/>
    </row>
    <row r="284" spans="1:8" ht="13.2" x14ac:dyDescent="0.25">
      <c r="A284" s="1"/>
      <c r="B284" s="1"/>
      <c r="C284" s="1"/>
      <c r="D284" s="1"/>
      <c r="E284" s="1"/>
      <c r="F284" s="1"/>
      <c r="G284" s="3"/>
      <c r="H284" s="1"/>
    </row>
    <row r="285" spans="1:8" ht="13.2" x14ac:dyDescent="0.25">
      <c r="A285" s="1"/>
      <c r="B285" s="1"/>
      <c r="C285" s="1"/>
      <c r="D285" s="1"/>
      <c r="E285" s="1"/>
      <c r="F285" s="1"/>
      <c r="G285" s="3"/>
      <c r="H285" s="1"/>
    </row>
    <row r="286" spans="1:8" ht="13.2" x14ac:dyDescent="0.25">
      <c r="A286" s="1"/>
      <c r="B286" s="1"/>
      <c r="C286" s="1"/>
      <c r="D286" s="1"/>
      <c r="E286" s="1"/>
      <c r="F286" s="1"/>
      <c r="G286" s="3"/>
      <c r="H286" s="1"/>
    </row>
    <row r="287" spans="1:8" ht="13.2" x14ac:dyDescent="0.25">
      <c r="A287" s="2"/>
      <c r="B287" s="1"/>
      <c r="C287" s="1"/>
      <c r="D287" s="1"/>
      <c r="E287" s="1"/>
      <c r="F287" s="1"/>
      <c r="G287" s="3"/>
      <c r="H287" s="1"/>
    </row>
    <row r="288" spans="1:8" ht="13.2" x14ac:dyDescent="0.25">
      <c r="A288" s="2"/>
      <c r="B288" s="1"/>
      <c r="C288" s="1"/>
      <c r="D288" s="1"/>
      <c r="E288" s="1"/>
      <c r="F288" s="1"/>
      <c r="G288" s="3"/>
      <c r="H288" s="1"/>
    </row>
    <row r="289" spans="1:8" ht="13.2" x14ac:dyDescent="0.25">
      <c r="A289" s="1"/>
      <c r="B289" s="1"/>
      <c r="C289" s="1"/>
      <c r="D289" s="1"/>
      <c r="E289" s="1"/>
      <c r="F289" s="1"/>
      <c r="G289" s="3"/>
      <c r="H289" s="1"/>
    </row>
    <row r="290" spans="1:8" ht="13.2" x14ac:dyDescent="0.25">
      <c r="A290" s="2"/>
      <c r="B290" s="1"/>
      <c r="C290" s="1"/>
      <c r="D290" s="1"/>
      <c r="E290" s="1"/>
      <c r="F290" s="1"/>
      <c r="G290" s="3"/>
      <c r="H290" s="1"/>
    </row>
    <row r="291" spans="1:8" ht="13.2" x14ac:dyDescent="0.25">
      <c r="A291" s="2"/>
      <c r="B291" s="1"/>
      <c r="C291" s="1"/>
      <c r="D291" s="1"/>
      <c r="E291" s="1"/>
      <c r="F291" s="1"/>
      <c r="G291" s="3"/>
      <c r="H291" s="1"/>
    </row>
    <row r="292" spans="1:8" ht="13.2" x14ac:dyDescent="0.25">
      <c r="A292" s="1"/>
      <c r="B292" s="1"/>
      <c r="C292" s="1"/>
      <c r="D292" s="1"/>
      <c r="E292" s="1"/>
      <c r="F292" s="1"/>
      <c r="G292" s="3"/>
      <c r="H292" s="1"/>
    </row>
    <row r="293" spans="1:8" ht="13.2" x14ac:dyDescent="0.25">
      <c r="A293" s="1"/>
      <c r="B293" s="1"/>
      <c r="C293" s="1"/>
      <c r="D293" s="1"/>
      <c r="E293" s="1"/>
      <c r="F293" s="1"/>
      <c r="G293" s="3"/>
      <c r="H293" s="1"/>
    </row>
    <row r="294" spans="1:8" ht="13.2" x14ac:dyDescent="0.25">
      <c r="A294" s="1"/>
      <c r="B294" s="1"/>
      <c r="C294" s="1"/>
      <c r="D294" s="1"/>
      <c r="E294" s="1"/>
      <c r="F294" s="1"/>
      <c r="G294" s="1"/>
      <c r="H294" s="1"/>
    </row>
    <row r="295" spans="1:8" ht="13.2" x14ac:dyDescent="0.25">
      <c r="A295" s="1"/>
      <c r="B295" s="1"/>
      <c r="C295" s="1"/>
      <c r="D295" s="1"/>
      <c r="E295" s="1"/>
      <c r="F295" s="1"/>
      <c r="G295" s="3"/>
      <c r="H295" s="1"/>
    </row>
    <row r="296" spans="1:8" ht="13.2" x14ac:dyDescent="0.25">
      <c r="A296" s="1"/>
      <c r="B296" s="1"/>
      <c r="C296" s="1"/>
      <c r="D296" s="1"/>
      <c r="E296" s="1"/>
      <c r="F296" s="1"/>
      <c r="G296" s="3"/>
      <c r="H296" s="1"/>
    </row>
    <row r="297" spans="1:8" ht="13.2" x14ac:dyDescent="0.25">
      <c r="A297" s="1"/>
      <c r="B297" s="1"/>
      <c r="C297" s="1"/>
      <c r="D297" s="1"/>
      <c r="E297" s="1"/>
      <c r="F297" s="1"/>
      <c r="G297" s="3"/>
      <c r="H297" s="1"/>
    </row>
    <row r="298" spans="1:8" ht="13.2" x14ac:dyDescent="0.25">
      <c r="A298" s="1"/>
      <c r="B298" s="1"/>
      <c r="C298" s="1"/>
      <c r="D298" s="1"/>
      <c r="E298" s="1"/>
      <c r="F298" s="1"/>
      <c r="G298" s="3"/>
      <c r="H298" s="1"/>
    </row>
    <row r="299" spans="1:8" ht="13.2" x14ac:dyDescent="0.25">
      <c r="A299" s="1"/>
      <c r="B299" s="1"/>
      <c r="C299" s="1"/>
      <c r="D299" s="1"/>
      <c r="E299" s="1"/>
      <c r="F299" s="1"/>
      <c r="G299" s="3"/>
      <c r="H299" s="1"/>
    </row>
    <row r="300" spans="1:8" ht="13.2" x14ac:dyDescent="0.25">
      <c r="A300" s="1"/>
      <c r="B300" s="1"/>
      <c r="C300" s="1"/>
      <c r="D300" s="1"/>
      <c r="E300" s="1"/>
      <c r="F300" s="1"/>
      <c r="G300" s="3"/>
      <c r="H300" s="1"/>
    </row>
    <row r="301" spans="1:8" ht="13.2" x14ac:dyDescent="0.25">
      <c r="A301" s="1"/>
      <c r="B301" s="1"/>
      <c r="C301" s="1"/>
      <c r="D301" s="1"/>
      <c r="E301" s="1"/>
      <c r="F301" s="1"/>
      <c r="G301" s="3"/>
      <c r="H301" s="1"/>
    </row>
    <row r="302" spans="1:8" ht="13.2" x14ac:dyDescent="0.25">
      <c r="A302" s="2"/>
      <c r="B302" s="1"/>
      <c r="C302" s="1"/>
      <c r="D302" s="1"/>
      <c r="E302" s="1"/>
      <c r="F302" s="1"/>
      <c r="G302" s="3"/>
      <c r="H302" s="1"/>
    </row>
    <row r="303" spans="1:8" ht="13.2" x14ac:dyDescent="0.25">
      <c r="A303" s="1"/>
      <c r="B303" s="1"/>
      <c r="C303" s="1"/>
      <c r="D303" s="1"/>
      <c r="E303" s="1"/>
      <c r="F303" s="1"/>
      <c r="G303" s="3"/>
      <c r="H303" s="1"/>
    </row>
    <row r="304" spans="1:8" ht="13.2" x14ac:dyDescent="0.25">
      <c r="A304" s="1"/>
      <c r="B304" s="1"/>
      <c r="C304" s="1"/>
      <c r="D304" s="1"/>
      <c r="E304" s="1"/>
      <c r="F304" s="1"/>
      <c r="G304" s="3"/>
      <c r="H304" s="1"/>
    </row>
    <row r="305" spans="1:8" ht="13.2" x14ac:dyDescent="0.25">
      <c r="A305" s="1"/>
      <c r="B305" s="1"/>
      <c r="C305" s="1"/>
      <c r="D305" s="1"/>
      <c r="E305" s="1"/>
      <c r="F305" s="1"/>
      <c r="G305" s="3"/>
      <c r="H305" s="1"/>
    </row>
    <row r="306" spans="1:8" ht="13.2" x14ac:dyDescent="0.25">
      <c r="A306" s="2"/>
      <c r="B306" s="1"/>
      <c r="C306" s="1"/>
      <c r="D306" s="1"/>
      <c r="E306" s="1"/>
      <c r="F306" s="1"/>
      <c r="G306" s="3"/>
      <c r="H306" s="1"/>
    </row>
    <row r="307" spans="1:8" ht="13.2" x14ac:dyDescent="0.25">
      <c r="A307" s="1"/>
      <c r="B307" s="1"/>
      <c r="C307" s="1"/>
      <c r="D307" s="1"/>
      <c r="E307" s="1"/>
      <c r="F307" s="1"/>
      <c r="G307" s="3"/>
      <c r="H307" s="1"/>
    </row>
    <row r="308" spans="1:8" ht="13.2" x14ac:dyDescent="0.25">
      <c r="A308" s="1"/>
      <c r="B308" s="1"/>
      <c r="C308" s="1"/>
      <c r="D308" s="1"/>
      <c r="E308" s="1"/>
      <c r="F308" s="1"/>
      <c r="G308" s="3"/>
      <c r="H308" s="1"/>
    </row>
    <row r="309" spans="1:8" ht="13.2" x14ac:dyDescent="0.25">
      <c r="A309" s="1"/>
      <c r="B309" s="1"/>
      <c r="C309" s="1"/>
      <c r="D309" s="1"/>
      <c r="E309" s="1"/>
      <c r="F309" s="1"/>
      <c r="G309" s="3"/>
      <c r="H309" s="1"/>
    </row>
    <row r="310" spans="1:8" ht="13.2" x14ac:dyDescent="0.25">
      <c r="A310" s="1"/>
      <c r="B310" s="1"/>
      <c r="C310" s="1"/>
      <c r="D310" s="1"/>
      <c r="E310" s="1"/>
      <c r="F310" s="1"/>
      <c r="G310" s="3"/>
      <c r="H310" s="1"/>
    </row>
    <row r="311" spans="1:8" ht="13.2" x14ac:dyDescent="0.25">
      <c r="A311" s="1"/>
      <c r="B311" s="1"/>
      <c r="C311" s="1"/>
      <c r="D311" s="1"/>
      <c r="E311" s="1"/>
      <c r="F311" s="1"/>
      <c r="G311" s="3"/>
      <c r="H311" s="1"/>
    </row>
    <row r="312" spans="1:8" ht="13.2" x14ac:dyDescent="0.25">
      <c r="A312" s="1"/>
      <c r="B312" s="1"/>
      <c r="C312" s="1"/>
      <c r="D312" s="1"/>
      <c r="E312" s="1"/>
      <c r="F312" s="1"/>
      <c r="G312" s="3"/>
      <c r="H312" s="1"/>
    </row>
    <row r="313" spans="1:8" ht="13.2" x14ac:dyDescent="0.25">
      <c r="A313" s="1"/>
      <c r="B313" s="1"/>
      <c r="C313" s="1"/>
      <c r="D313" s="1"/>
      <c r="E313" s="1"/>
      <c r="F313" s="1"/>
      <c r="G313" s="3"/>
      <c r="H313" s="1"/>
    </row>
    <row r="314" spans="1:8" ht="13.2" x14ac:dyDescent="0.25">
      <c r="A314" s="1"/>
      <c r="B314" s="1"/>
      <c r="C314" s="1"/>
      <c r="D314" s="1"/>
      <c r="E314" s="1"/>
      <c r="F314" s="1"/>
      <c r="G314" s="3"/>
      <c r="H314" s="1"/>
    </row>
    <row r="315" spans="1:8" ht="13.2" x14ac:dyDescent="0.25">
      <c r="A315" s="1"/>
      <c r="B315" s="1"/>
      <c r="C315" s="1"/>
      <c r="D315" s="1"/>
      <c r="E315" s="1"/>
      <c r="F315" s="1"/>
      <c r="G315" s="3"/>
      <c r="H315" s="1"/>
    </row>
    <row r="316" spans="1:8" ht="13.2" x14ac:dyDescent="0.25">
      <c r="A316" s="2"/>
      <c r="B316" s="1"/>
      <c r="C316" s="1"/>
      <c r="D316" s="1"/>
      <c r="E316" s="1"/>
      <c r="F316" s="1"/>
      <c r="G316" s="3"/>
      <c r="H316" s="1"/>
    </row>
    <row r="317" spans="1:8" ht="13.2" x14ac:dyDescent="0.25">
      <c r="A317" s="2"/>
      <c r="B317" s="1"/>
      <c r="C317" s="1"/>
      <c r="D317" s="1"/>
      <c r="E317" s="1"/>
      <c r="F317" s="1"/>
      <c r="G317" s="3"/>
      <c r="H317" s="1"/>
    </row>
    <row r="318" spans="1:8" ht="13.2" x14ac:dyDescent="0.25">
      <c r="A318" s="1"/>
      <c r="B318" s="1"/>
      <c r="C318" s="1"/>
      <c r="D318" s="1"/>
      <c r="E318" s="1"/>
      <c r="F318" s="1"/>
      <c r="G318" s="3"/>
      <c r="H318" s="1"/>
    </row>
    <row r="319" spans="1:8" ht="13.2" x14ac:dyDescent="0.25">
      <c r="A319" s="2"/>
      <c r="B319" s="1"/>
      <c r="C319" s="1"/>
      <c r="D319" s="1"/>
      <c r="E319" s="1"/>
      <c r="F319" s="1"/>
      <c r="G319" s="3"/>
      <c r="H319" s="1"/>
    </row>
    <row r="320" spans="1:8" ht="13.2" x14ac:dyDescent="0.25">
      <c r="A320" s="1"/>
      <c r="B320" s="1"/>
      <c r="C320" s="1"/>
      <c r="D320" s="1"/>
      <c r="E320" s="1"/>
      <c r="F320" s="1"/>
      <c r="G320" s="3"/>
      <c r="H320" s="1"/>
    </row>
    <row r="321" spans="1:8" ht="13.2" x14ac:dyDescent="0.25">
      <c r="A321" s="2"/>
      <c r="B321" s="1"/>
      <c r="C321" s="1"/>
      <c r="D321" s="1"/>
      <c r="E321" s="1"/>
      <c r="F321" s="1"/>
      <c r="G321" s="3"/>
      <c r="H321" s="1"/>
    </row>
    <row r="322" spans="1:8" ht="13.2" x14ac:dyDescent="0.25">
      <c r="A322" s="1"/>
      <c r="B322" s="1"/>
      <c r="C322" s="1"/>
      <c r="D322" s="1"/>
      <c r="E322" s="1"/>
      <c r="F322" s="1"/>
      <c r="G322" s="3"/>
      <c r="H322" s="1"/>
    </row>
    <row r="323" spans="1:8" ht="13.2" x14ac:dyDescent="0.25">
      <c r="A323" s="1"/>
      <c r="B323" s="1"/>
      <c r="C323" s="1"/>
      <c r="D323" s="1"/>
      <c r="E323" s="1"/>
      <c r="F323" s="1"/>
      <c r="G323" s="3"/>
      <c r="H323" s="1"/>
    </row>
    <row r="324" spans="1:8" ht="13.2" x14ac:dyDescent="0.25">
      <c r="A324" s="1"/>
      <c r="B324" s="1"/>
      <c r="C324" s="1"/>
      <c r="D324" s="1"/>
      <c r="E324" s="1"/>
      <c r="F324" s="1"/>
      <c r="G324" s="3"/>
      <c r="H324" s="1"/>
    </row>
    <row r="325" spans="1:8" ht="13.2" x14ac:dyDescent="0.25">
      <c r="A325" s="1"/>
      <c r="B325" s="1"/>
      <c r="C325" s="1"/>
      <c r="D325" s="1"/>
      <c r="E325" s="1"/>
      <c r="F325" s="1"/>
      <c r="G325" s="3"/>
      <c r="H325" s="1"/>
    </row>
    <row r="326" spans="1:8" ht="13.2" x14ac:dyDescent="0.25">
      <c r="A326" s="1"/>
      <c r="B326" s="1"/>
      <c r="C326" s="1"/>
      <c r="D326" s="1"/>
      <c r="E326" s="1"/>
      <c r="F326" s="1"/>
      <c r="G326" s="3"/>
      <c r="H326" s="1"/>
    </row>
    <row r="327" spans="1:8" ht="13.2" x14ac:dyDescent="0.25">
      <c r="A327" s="2"/>
      <c r="B327" s="1"/>
      <c r="C327" s="1"/>
      <c r="D327" s="1"/>
      <c r="E327" s="1"/>
      <c r="F327" s="1"/>
      <c r="G327" s="3"/>
      <c r="H327" s="1"/>
    </row>
    <row r="328" spans="1:8" ht="13.2" x14ac:dyDescent="0.25">
      <c r="A328" s="1"/>
      <c r="B328" s="1"/>
      <c r="C328" s="1"/>
      <c r="D328" s="1"/>
      <c r="E328" s="1"/>
      <c r="F328" s="1"/>
      <c r="G328" s="3"/>
      <c r="H328" s="1"/>
    </row>
    <row r="329" spans="1:8" ht="13.2" x14ac:dyDescent="0.25">
      <c r="A329" s="1"/>
      <c r="B329" s="1"/>
      <c r="C329" s="1"/>
      <c r="D329" s="1"/>
      <c r="E329" s="1"/>
      <c r="F329" s="1"/>
      <c r="G329" s="3"/>
      <c r="H329" s="1"/>
    </row>
    <row r="330" spans="1:8" ht="13.2" x14ac:dyDescent="0.25">
      <c r="A330" s="2"/>
      <c r="B330" s="1"/>
      <c r="C330" s="1"/>
      <c r="D330" s="1"/>
      <c r="E330" s="1"/>
      <c r="F330" s="1"/>
      <c r="G330" s="3"/>
      <c r="H330" s="1"/>
    </row>
    <row r="331" spans="1:8" ht="13.2" x14ac:dyDescent="0.25">
      <c r="A331" s="2"/>
      <c r="B331" s="1"/>
      <c r="C331" s="1"/>
      <c r="D331" s="1"/>
      <c r="E331" s="1"/>
      <c r="F331" s="2"/>
      <c r="G331" s="3"/>
      <c r="H331" s="1"/>
    </row>
    <row r="332" spans="1:8" ht="13.2" x14ac:dyDescent="0.25">
      <c r="A332" s="2"/>
      <c r="B332" s="1"/>
      <c r="C332" s="1"/>
      <c r="D332" s="1"/>
      <c r="E332" s="1"/>
      <c r="F332" s="1"/>
      <c r="G332" s="3"/>
      <c r="H332" s="1"/>
    </row>
    <row r="333" spans="1:8" ht="13.2" x14ac:dyDescent="0.25">
      <c r="A333" s="1"/>
      <c r="B333" s="1"/>
      <c r="C333" s="1"/>
      <c r="D333" s="1"/>
      <c r="E333" s="1"/>
      <c r="F333" s="1"/>
      <c r="G333" s="3"/>
      <c r="H333" s="1"/>
    </row>
    <row r="334" spans="1:8" ht="13.2" x14ac:dyDescent="0.25">
      <c r="A334" s="2"/>
      <c r="B334" s="1"/>
      <c r="C334" s="1"/>
      <c r="D334" s="1"/>
      <c r="E334" s="1"/>
      <c r="F334" s="1"/>
      <c r="G334" s="3"/>
      <c r="H334" s="1"/>
    </row>
    <row r="335" spans="1:8" ht="13.2" x14ac:dyDescent="0.25">
      <c r="A335" s="1"/>
      <c r="B335" s="1"/>
      <c r="C335" s="1"/>
      <c r="D335" s="1"/>
      <c r="E335" s="1"/>
      <c r="F335" s="1"/>
      <c r="G335" s="3"/>
      <c r="H335" s="1"/>
    </row>
    <row r="336" spans="1:8" ht="13.2" x14ac:dyDescent="0.25">
      <c r="A336" s="2"/>
      <c r="B336" s="1"/>
      <c r="C336" s="1"/>
      <c r="D336" s="1"/>
      <c r="E336" s="1"/>
      <c r="F336" s="1"/>
      <c r="G336" s="3"/>
      <c r="H336" s="1"/>
    </row>
    <row r="337" spans="1:8" ht="13.2" x14ac:dyDescent="0.25">
      <c r="A337" s="1"/>
      <c r="B337" s="1"/>
      <c r="C337" s="1"/>
      <c r="D337" s="1"/>
      <c r="E337" s="1"/>
      <c r="F337" s="1"/>
      <c r="G337" s="3"/>
      <c r="H337" s="1"/>
    </row>
    <row r="338" spans="1:8" ht="13.2" x14ac:dyDescent="0.25">
      <c r="A338" s="1"/>
      <c r="B338" s="1"/>
      <c r="C338" s="1"/>
      <c r="D338" s="1"/>
      <c r="E338" s="1"/>
      <c r="F338" s="1"/>
      <c r="G338" s="3"/>
      <c r="H338" s="1"/>
    </row>
    <row r="339" spans="1:8" ht="13.2" x14ac:dyDescent="0.25">
      <c r="A339" s="1"/>
      <c r="B339" s="1"/>
      <c r="C339" s="1"/>
      <c r="D339" s="1"/>
      <c r="E339" s="1"/>
      <c r="F339" s="1"/>
      <c r="G339" s="1"/>
      <c r="H339" s="1"/>
    </row>
    <row r="340" spans="1:8" ht="13.2" x14ac:dyDescent="0.25">
      <c r="A340" s="1"/>
      <c r="B340" s="1"/>
      <c r="C340" s="1"/>
      <c r="D340" s="1"/>
      <c r="E340" s="1"/>
      <c r="F340" s="1"/>
      <c r="G340" s="3"/>
      <c r="H340" s="1"/>
    </row>
    <row r="341" spans="1:8" ht="13.2" x14ac:dyDescent="0.25">
      <c r="A341" s="1"/>
      <c r="B341" s="1"/>
      <c r="C341" s="1"/>
      <c r="D341" s="1"/>
      <c r="E341" s="1"/>
      <c r="F341" s="1"/>
      <c r="G341" s="3"/>
      <c r="H341" s="1"/>
    </row>
    <row r="342" spans="1:8" ht="13.2" x14ac:dyDescent="0.25">
      <c r="A342" s="1"/>
      <c r="B342" s="1"/>
      <c r="C342" s="1"/>
      <c r="D342" s="1"/>
      <c r="E342" s="1"/>
      <c r="F342" s="1"/>
      <c r="G342" s="3"/>
      <c r="H342" s="1"/>
    </row>
    <row r="343" spans="1:8" ht="13.2" x14ac:dyDescent="0.25">
      <c r="A343" s="1"/>
      <c r="B343" s="1"/>
      <c r="C343" s="1"/>
      <c r="D343" s="1"/>
      <c r="E343" s="1"/>
      <c r="F343" s="1"/>
      <c r="G343" s="3"/>
      <c r="H343" s="1"/>
    </row>
    <row r="344" spans="1:8" ht="13.2" x14ac:dyDescent="0.25">
      <c r="A344" s="1"/>
      <c r="B344" s="1"/>
      <c r="C344" s="1"/>
      <c r="D344" s="1"/>
      <c r="E344" s="1"/>
      <c r="F344" s="1"/>
      <c r="G344" s="3"/>
      <c r="H344" s="1"/>
    </row>
    <row r="345" spans="1:8" ht="13.2" x14ac:dyDescent="0.25">
      <c r="A345" s="1"/>
      <c r="B345" s="1"/>
      <c r="C345" s="1"/>
      <c r="D345" s="1"/>
      <c r="E345" s="1"/>
      <c r="F345" s="1"/>
      <c r="G345" s="3"/>
      <c r="H345" s="1"/>
    </row>
    <row r="346" spans="1:8" ht="13.2" x14ac:dyDescent="0.25">
      <c r="A346" s="2"/>
      <c r="B346" s="1"/>
      <c r="C346" s="1"/>
      <c r="D346" s="1"/>
      <c r="E346" s="1"/>
      <c r="F346" s="1"/>
      <c r="G346" s="3"/>
      <c r="H346" s="1"/>
    </row>
    <row r="347" spans="1:8" ht="13.2" x14ac:dyDescent="0.25">
      <c r="A347" s="1"/>
      <c r="B347" s="1"/>
      <c r="C347" s="1"/>
      <c r="D347" s="1"/>
      <c r="E347" s="1"/>
      <c r="F347" s="1"/>
      <c r="G347" s="3"/>
      <c r="H347" s="1"/>
    </row>
    <row r="348" spans="1:8" ht="13.2" x14ac:dyDescent="0.25">
      <c r="A348" s="1"/>
      <c r="B348" s="1"/>
      <c r="C348" s="1"/>
      <c r="D348" s="1"/>
      <c r="E348" s="1"/>
      <c r="F348" s="1"/>
      <c r="G348" s="3"/>
      <c r="H348" s="1"/>
    </row>
    <row r="349" spans="1:8" ht="13.2" x14ac:dyDescent="0.25">
      <c r="A349" s="1"/>
      <c r="B349" s="1"/>
      <c r="C349" s="1"/>
      <c r="D349" s="1"/>
      <c r="E349" s="1"/>
      <c r="F349" s="1"/>
      <c r="G349" s="3"/>
      <c r="H349" s="1"/>
    </row>
    <row r="350" spans="1:8" ht="13.2" x14ac:dyDescent="0.25">
      <c r="A350" s="1"/>
      <c r="B350" s="1"/>
      <c r="C350" s="1"/>
      <c r="D350" s="1"/>
      <c r="E350" s="1"/>
      <c r="F350" s="1"/>
      <c r="G350" s="3"/>
      <c r="H350" s="1"/>
    </row>
    <row r="351" spans="1:8" ht="13.2" x14ac:dyDescent="0.25">
      <c r="A351" s="1"/>
      <c r="B351" s="1"/>
      <c r="C351" s="1"/>
      <c r="D351" s="1"/>
      <c r="E351" s="1"/>
      <c r="F351" s="1"/>
      <c r="G351" s="3"/>
      <c r="H351" s="1"/>
    </row>
    <row r="352" spans="1:8" ht="13.2" x14ac:dyDescent="0.25">
      <c r="A352" s="1"/>
      <c r="B352" s="1"/>
      <c r="C352" s="1"/>
      <c r="D352" s="1"/>
      <c r="E352" s="1"/>
      <c r="F352" s="1"/>
      <c r="G352" s="3"/>
      <c r="H352" s="1"/>
    </row>
    <row r="353" spans="1:8" ht="13.2" x14ac:dyDescent="0.25">
      <c r="A353" s="1"/>
      <c r="B353" s="1"/>
      <c r="C353" s="1"/>
      <c r="D353" s="1"/>
      <c r="E353" s="1"/>
      <c r="F353" s="1"/>
      <c r="G353" s="3"/>
      <c r="H353" s="1"/>
    </row>
    <row r="354" spans="1:8" ht="13.2" x14ac:dyDescent="0.25">
      <c r="A354" s="1"/>
      <c r="B354" s="1"/>
      <c r="C354" s="1"/>
      <c r="D354" s="1"/>
      <c r="E354" s="1"/>
      <c r="F354" s="1"/>
      <c r="G354" s="3"/>
      <c r="H354" s="1"/>
    </row>
    <row r="355" spans="1:8" ht="13.2" x14ac:dyDescent="0.25">
      <c r="A355" s="1"/>
      <c r="B355" s="1"/>
      <c r="C355" s="1"/>
      <c r="D355" s="1"/>
      <c r="E355" s="1"/>
      <c r="F355" s="1"/>
      <c r="G355" s="3"/>
      <c r="H355" s="1"/>
    </row>
    <row r="356" spans="1:8" ht="13.2" x14ac:dyDescent="0.25">
      <c r="A356" s="1"/>
      <c r="B356" s="1"/>
      <c r="C356" s="1"/>
      <c r="D356" s="1"/>
      <c r="E356" s="1"/>
      <c r="F356" s="1"/>
      <c r="G356" s="3"/>
      <c r="H356" s="1"/>
    </row>
    <row r="357" spans="1:8" ht="13.2" x14ac:dyDescent="0.25">
      <c r="A357" s="1"/>
      <c r="B357" s="1"/>
      <c r="C357" s="1"/>
      <c r="D357" s="1"/>
      <c r="E357" s="1"/>
      <c r="F357" s="1"/>
      <c r="G357" s="1"/>
      <c r="H357" s="1"/>
    </row>
    <row r="358" spans="1:8" ht="13.2" x14ac:dyDescent="0.25">
      <c r="A358" s="2"/>
      <c r="B358" s="1"/>
      <c r="C358" s="1"/>
      <c r="D358" s="1"/>
      <c r="E358" s="1"/>
      <c r="F358" s="1"/>
      <c r="G358" s="3"/>
      <c r="H358" s="1"/>
    </row>
    <row r="359" spans="1:8" ht="13.2" x14ac:dyDescent="0.25">
      <c r="A359" s="1"/>
      <c r="B359" s="1"/>
      <c r="C359" s="1"/>
      <c r="D359" s="1"/>
      <c r="E359" s="1"/>
      <c r="F359" s="1"/>
      <c r="G359" s="3"/>
      <c r="H359" s="1"/>
    </row>
    <row r="360" spans="1:8" ht="13.2" x14ac:dyDescent="0.25">
      <c r="A360" s="1"/>
      <c r="B360" s="1"/>
      <c r="C360" s="1"/>
      <c r="D360" s="1"/>
      <c r="E360" s="1"/>
      <c r="F360" s="1"/>
      <c r="G360" s="3"/>
      <c r="H360" s="1"/>
    </row>
    <row r="361" spans="1:8" ht="13.2" x14ac:dyDescent="0.25">
      <c r="A361" s="1"/>
      <c r="B361" s="1"/>
      <c r="C361" s="1"/>
      <c r="D361" s="1"/>
      <c r="E361" s="1"/>
      <c r="F361" s="1"/>
      <c r="G361" s="1"/>
      <c r="H361" s="1"/>
    </row>
    <row r="362" spans="1:8" ht="13.2" x14ac:dyDescent="0.25">
      <c r="A362" s="1"/>
      <c r="B362" s="1"/>
      <c r="C362" s="1"/>
      <c r="D362" s="1"/>
      <c r="E362" s="1"/>
      <c r="F362" s="1"/>
      <c r="G362" s="3"/>
      <c r="H362" s="1"/>
    </row>
    <row r="363" spans="1:8" ht="13.2" x14ac:dyDescent="0.25">
      <c r="A363" s="1"/>
      <c r="B363" s="1"/>
      <c r="C363" s="1"/>
      <c r="D363" s="1"/>
      <c r="E363" s="1"/>
      <c r="F363" s="1"/>
      <c r="G363" s="3"/>
      <c r="H363" s="1"/>
    </row>
    <row r="364" spans="1:8" ht="13.2" x14ac:dyDescent="0.25">
      <c r="A364" s="2"/>
      <c r="B364" s="1"/>
      <c r="C364" s="1"/>
      <c r="D364" s="1"/>
      <c r="E364" s="1"/>
      <c r="F364" s="1"/>
      <c r="G364" s="3"/>
      <c r="H364" s="1"/>
    </row>
    <row r="365" spans="1:8" ht="13.2" x14ac:dyDescent="0.25">
      <c r="A365" s="1"/>
      <c r="B365" s="1"/>
      <c r="C365" s="1"/>
      <c r="D365" s="1"/>
      <c r="E365" s="1"/>
      <c r="F365" s="1"/>
      <c r="G365" s="3"/>
      <c r="H365" s="1"/>
    </row>
    <row r="366" spans="1:8" ht="13.2" x14ac:dyDescent="0.25">
      <c r="A366" s="1"/>
      <c r="B366" s="1"/>
      <c r="C366" s="1"/>
      <c r="D366" s="1"/>
      <c r="E366" s="1"/>
      <c r="F366" s="1"/>
      <c r="G366" s="3"/>
      <c r="H366" s="1"/>
    </row>
    <row r="367" spans="1:8" ht="13.2" x14ac:dyDescent="0.25">
      <c r="A367" s="2"/>
      <c r="B367" s="1"/>
      <c r="C367" s="1"/>
      <c r="D367" s="1"/>
      <c r="E367" s="1"/>
      <c r="F367" s="1"/>
      <c r="G367" s="3"/>
      <c r="H367" s="1"/>
    </row>
    <row r="368" spans="1:8" ht="13.2" x14ac:dyDescent="0.25">
      <c r="A368" s="1"/>
      <c r="B368" s="1"/>
      <c r="C368" s="1"/>
      <c r="D368" s="1"/>
      <c r="E368" s="1"/>
      <c r="F368" s="1"/>
      <c r="G368" s="3"/>
      <c r="H368" s="1"/>
    </row>
    <row r="369" spans="1:8" ht="13.2" x14ac:dyDescent="0.25">
      <c r="A369" s="1"/>
      <c r="B369" s="1"/>
      <c r="C369" s="1"/>
      <c r="D369" s="1"/>
      <c r="E369" s="1"/>
      <c r="F369" s="1"/>
      <c r="G369" s="3"/>
      <c r="H369" s="1"/>
    </row>
    <row r="370" spans="1:8" ht="13.2" x14ac:dyDescent="0.25">
      <c r="A370" s="2"/>
      <c r="B370" s="1"/>
      <c r="C370" s="1"/>
      <c r="D370" s="1"/>
      <c r="E370" s="1"/>
      <c r="F370" s="1"/>
      <c r="G370" s="3"/>
      <c r="H370" s="1"/>
    </row>
    <row r="371" spans="1:8" ht="13.2" x14ac:dyDescent="0.25">
      <c r="A371" s="1"/>
      <c r="B371" s="1"/>
      <c r="C371" s="1"/>
      <c r="D371" s="1"/>
      <c r="E371" s="1"/>
      <c r="F371" s="1"/>
      <c r="G371" s="3"/>
      <c r="H371" s="1"/>
    </row>
    <row r="372" spans="1:8" ht="13.2" x14ac:dyDescent="0.25">
      <c r="A372" s="2"/>
      <c r="B372" s="1"/>
      <c r="C372" s="1"/>
      <c r="D372" s="1"/>
      <c r="E372" s="1"/>
      <c r="F372" s="1"/>
      <c r="G372" s="3"/>
      <c r="H372" s="1"/>
    </row>
    <row r="373" spans="1:8" ht="13.2" x14ac:dyDescent="0.25">
      <c r="A373" s="1"/>
      <c r="B373" s="1"/>
      <c r="C373" s="1"/>
      <c r="D373" s="1"/>
      <c r="E373" s="1"/>
      <c r="F373" s="1"/>
      <c r="G373" s="3"/>
      <c r="H373" s="1"/>
    </row>
    <row r="374" spans="1:8" ht="13.2" x14ac:dyDescent="0.25">
      <c r="A374" s="1"/>
      <c r="B374" s="1"/>
      <c r="C374" s="1"/>
      <c r="D374" s="1"/>
      <c r="E374" s="1"/>
      <c r="F374" s="1"/>
      <c r="G374" s="3"/>
      <c r="H374" s="1"/>
    </row>
    <row r="375" spans="1:8" ht="13.2" x14ac:dyDescent="0.25">
      <c r="A375" s="1"/>
      <c r="B375" s="1"/>
      <c r="C375" s="1"/>
      <c r="D375" s="1"/>
      <c r="E375" s="1"/>
      <c r="F375" s="1"/>
      <c r="G375" s="3"/>
      <c r="H375" s="1"/>
    </row>
    <row r="376" spans="1:8" ht="13.2" x14ac:dyDescent="0.25">
      <c r="A376" s="1"/>
      <c r="B376" s="1"/>
      <c r="C376" s="1"/>
      <c r="D376" s="1"/>
      <c r="E376" s="1"/>
      <c r="F376" s="1"/>
      <c r="G376" s="3"/>
      <c r="H376" s="1"/>
    </row>
    <row r="377" spans="1:8" ht="13.2" x14ac:dyDescent="0.25">
      <c r="A377" s="2"/>
      <c r="B377" s="1"/>
      <c r="C377" s="1"/>
      <c r="D377" s="1"/>
      <c r="E377" s="1"/>
      <c r="F377" s="1"/>
      <c r="G377" s="3"/>
      <c r="H377" s="1"/>
    </row>
    <row r="378" spans="1:8" ht="13.2" x14ac:dyDescent="0.25">
      <c r="A378" s="1"/>
      <c r="B378" s="1"/>
      <c r="C378" s="1"/>
      <c r="D378" s="1"/>
      <c r="E378" s="1"/>
      <c r="F378" s="1"/>
      <c r="G378" s="3"/>
      <c r="H378" s="1"/>
    </row>
    <row r="379" spans="1:8" ht="13.2" x14ac:dyDescent="0.25">
      <c r="A379" s="1"/>
      <c r="B379" s="1"/>
      <c r="C379" s="1"/>
      <c r="D379" s="1"/>
      <c r="E379" s="1"/>
      <c r="F379" s="1"/>
      <c r="G379" s="1"/>
      <c r="H379" s="1"/>
    </row>
    <row r="380" spans="1:8" ht="13.2" x14ac:dyDescent="0.25">
      <c r="A380" s="2"/>
      <c r="B380" s="1"/>
      <c r="C380" s="1"/>
      <c r="D380" s="1"/>
      <c r="E380" s="1"/>
      <c r="F380" s="1"/>
      <c r="G380" s="3"/>
      <c r="H380" s="1"/>
    </row>
    <row r="381" spans="1:8" ht="13.2" x14ac:dyDescent="0.25">
      <c r="A381" s="1"/>
      <c r="B381" s="1"/>
      <c r="C381" s="1"/>
      <c r="D381" s="1"/>
      <c r="E381" s="1"/>
      <c r="F381" s="1"/>
      <c r="G381" s="3"/>
      <c r="H381" s="1"/>
    </row>
    <row r="382" spans="1:8" ht="13.2" x14ac:dyDescent="0.25">
      <c r="A382" s="1"/>
      <c r="B382" s="1"/>
      <c r="C382" s="1"/>
      <c r="D382" s="1"/>
      <c r="E382" s="1"/>
      <c r="F382" s="1"/>
      <c r="G382" s="3"/>
      <c r="H382" s="1"/>
    </row>
    <row r="383" spans="1:8" ht="13.2" x14ac:dyDescent="0.25">
      <c r="A383" s="1"/>
      <c r="B383" s="1"/>
      <c r="C383" s="1"/>
      <c r="D383" s="1"/>
      <c r="E383" s="1"/>
      <c r="F383" s="1"/>
      <c r="G383" s="3"/>
      <c r="H383" s="1"/>
    </row>
    <row r="384" spans="1:8" ht="13.2" x14ac:dyDescent="0.25">
      <c r="A384" s="1"/>
      <c r="B384" s="1"/>
      <c r="C384" s="1"/>
      <c r="D384" s="1"/>
      <c r="E384" s="1"/>
      <c r="F384" s="1"/>
      <c r="G384" s="3"/>
      <c r="H384" s="1"/>
    </row>
    <row r="385" spans="1:8" ht="13.2" x14ac:dyDescent="0.25">
      <c r="A385" s="2"/>
      <c r="B385" s="1"/>
      <c r="C385" s="1"/>
      <c r="D385" s="1"/>
      <c r="E385" s="1"/>
      <c r="F385" s="1"/>
      <c r="G385" s="3"/>
      <c r="H385" s="1"/>
    </row>
    <row r="386" spans="1:8" ht="13.2" x14ac:dyDescent="0.25">
      <c r="A386" s="2"/>
      <c r="B386" s="1"/>
      <c r="C386" s="1"/>
      <c r="D386" s="1"/>
      <c r="E386" s="1"/>
      <c r="F386" s="1"/>
      <c r="G386" s="3"/>
      <c r="H386" s="1"/>
    </row>
    <row r="387" spans="1:8" ht="13.2" x14ac:dyDescent="0.25">
      <c r="A387" s="1"/>
      <c r="B387" s="1"/>
      <c r="C387" s="1"/>
      <c r="D387" s="1"/>
      <c r="E387" s="1"/>
      <c r="F387" s="1"/>
      <c r="G387" s="3"/>
      <c r="H387" s="1"/>
    </row>
    <row r="388" spans="1:8" ht="13.2" x14ac:dyDescent="0.25">
      <c r="A388" s="2"/>
      <c r="B388" s="1"/>
      <c r="C388" s="1"/>
      <c r="D388" s="1"/>
      <c r="E388" s="1"/>
      <c r="F388" s="1"/>
      <c r="G388" s="3"/>
      <c r="H388" s="1"/>
    </row>
    <row r="389" spans="1:8" ht="13.2" x14ac:dyDescent="0.25">
      <c r="A389" s="4"/>
      <c r="B389" s="1"/>
      <c r="C389" s="1"/>
      <c r="D389" s="1"/>
      <c r="E389" s="1"/>
      <c r="F389" s="1"/>
      <c r="G389" s="3"/>
      <c r="H389" s="1"/>
    </row>
    <row r="390" spans="1:8" ht="13.2" x14ac:dyDescent="0.25">
      <c r="A390" s="1"/>
      <c r="B390" s="1"/>
      <c r="C390" s="1"/>
      <c r="D390" s="1"/>
      <c r="E390" s="1"/>
      <c r="F390" s="1"/>
      <c r="G390" s="3"/>
      <c r="H390" s="1"/>
    </row>
    <row r="391" spans="1:8" ht="13.2" x14ac:dyDescent="0.25">
      <c r="A391" s="1"/>
      <c r="B391" s="1"/>
      <c r="C391" s="1"/>
      <c r="D391" s="1"/>
      <c r="E391" s="1"/>
      <c r="F391" s="1"/>
      <c r="G391" s="3"/>
      <c r="H391" s="1"/>
    </row>
    <row r="392" spans="1:8" ht="13.2" x14ac:dyDescent="0.25">
      <c r="A392" s="1"/>
      <c r="B392" s="1"/>
      <c r="C392" s="1"/>
      <c r="D392" s="1"/>
      <c r="E392" s="1"/>
      <c r="F392" s="1"/>
      <c r="G392" s="3"/>
      <c r="H392" s="1"/>
    </row>
    <row r="393" spans="1:8" ht="13.2" x14ac:dyDescent="0.25">
      <c r="A393" s="1"/>
      <c r="B393" s="1"/>
      <c r="C393" s="1"/>
      <c r="D393" s="1"/>
      <c r="E393" s="1"/>
      <c r="F393" s="1"/>
      <c r="G393" s="3"/>
      <c r="H393" s="1"/>
    </row>
    <row r="394" spans="1:8" ht="13.2" x14ac:dyDescent="0.25">
      <c r="A394" s="2"/>
      <c r="B394" s="1"/>
      <c r="C394" s="1"/>
      <c r="D394" s="1"/>
      <c r="E394" s="1"/>
      <c r="F394" s="1"/>
      <c r="G394" s="3"/>
      <c r="H394" s="1"/>
    </row>
    <row r="395" spans="1:8" ht="13.2" x14ac:dyDescent="0.25">
      <c r="A395" s="1"/>
      <c r="B395" s="1"/>
      <c r="C395" s="1"/>
      <c r="D395" s="1"/>
      <c r="E395" s="1"/>
      <c r="F395" s="1"/>
      <c r="G395" s="3"/>
      <c r="H395" s="1"/>
    </row>
    <row r="396" spans="1:8" ht="13.2" x14ac:dyDescent="0.25">
      <c r="A396" s="2"/>
      <c r="B396" s="1"/>
      <c r="C396" s="1"/>
      <c r="D396" s="1"/>
      <c r="E396" s="1"/>
      <c r="F396" s="1"/>
      <c r="G396" s="3"/>
      <c r="H396" s="1"/>
    </row>
    <row r="397" spans="1:8" ht="13.2" x14ac:dyDescent="0.25">
      <c r="A397" s="1"/>
      <c r="B397" s="1"/>
      <c r="C397" s="1"/>
      <c r="D397" s="1"/>
      <c r="E397" s="1"/>
      <c r="F397" s="1"/>
      <c r="G397" s="3"/>
      <c r="H397" s="1"/>
    </row>
    <row r="398" spans="1:8" ht="13.2" x14ac:dyDescent="0.25">
      <c r="A398" s="1"/>
      <c r="B398" s="1"/>
      <c r="C398" s="1"/>
      <c r="D398" s="1"/>
      <c r="E398" s="1"/>
      <c r="F398" s="1"/>
      <c r="G398" s="3"/>
      <c r="H398" s="1"/>
    </row>
    <row r="399" spans="1:8" ht="13.2" x14ac:dyDescent="0.25">
      <c r="A399" s="1"/>
      <c r="B399" s="1"/>
      <c r="C399" s="1"/>
      <c r="D399" s="1"/>
      <c r="E399" s="1"/>
      <c r="F399" s="1"/>
      <c r="G399" s="3"/>
      <c r="H399" s="1"/>
    </row>
    <row r="400" spans="1:8" ht="13.2" x14ac:dyDescent="0.25">
      <c r="A400" s="1"/>
      <c r="B400" s="1"/>
      <c r="C400" s="1"/>
      <c r="D400" s="1"/>
      <c r="E400" s="1"/>
      <c r="F400" s="1"/>
      <c r="G400" s="3"/>
      <c r="H400" s="1"/>
    </row>
    <row r="401" spans="1:8" ht="13.2" x14ac:dyDescent="0.25">
      <c r="A401" s="1"/>
      <c r="B401" s="1"/>
      <c r="C401" s="1"/>
      <c r="D401" s="1"/>
      <c r="E401" s="1"/>
      <c r="F401" s="1"/>
      <c r="G401" s="3"/>
      <c r="H401" s="1"/>
    </row>
    <row r="402" spans="1:8" ht="13.2" x14ac:dyDescent="0.25">
      <c r="A402" s="1"/>
      <c r="B402" s="1"/>
      <c r="C402" s="1"/>
      <c r="D402" s="1"/>
      <c r="E402" s="1"/>
      <c r="F402" s="1"/>
      <c r="G402" s="3"/>
      <c r="H402" s="1"/>
    </row>
    <row r="403" spans="1:8" ht="13.2" x14ac:dyDescent="0.25">
      <c r="A403" s="2"/>
      <c r="B403" s="1"/>
      <c r="C403" s="1"/>
      <c r="D403" s="1"/>
      <c r="E403" s="1"/>
      <c r="F403" s="1"/>
      <c r="G403" s="3"/>
      <c r="H403" s="1"/>
    </row>
    <row r="404" spans="1:8" ht="13.2" x14ac:dyDescent="0.25">
      <c r="A404" s="1"/>
      <c r="B404" s="1"/>
      <c r="C404" s="1"/>
      <c r="D404" s="1"/>
      <c r="E404" s="1"/>
      <c r="F404" s="1"/>
      <c r="G404" s="3"/>
      <c r="H404" s="1"/>
    </row>
    <row r="405" spans="1:8" ht="13.2" x14ac:dyDescent="0.25">
      <c r="A405" s="1"/>
      <c r="B405" s="1"/>
      <c r="C405" s="1"/>
      <c r="D405" s="1"/>
      <c r="E405" s="1"/>
      <c r="F405" s="1"/>
      <c r="G405" s="3"/>
      <c r="H405" s="1"/>
    </row>
    <row r="406" spans="1:8" ht="13.2" x14ac:dyDescent="0.25">
      <c r="A406" s="1"/>
      <c r="B406" s="1"/>
      <c r="C406" s="1"/>
      <c r="D406" s="1"/>
      <c r="E406" s="1"/>
      <c r="F406" s="1"/>
      <c r="G406" s="3"/>
      <c r="H406" s="1"/>
    </row>
    <row r="407" spans="1:8" ht="13.2" x14ac:dyDescent="0.25">
      <c r="A407" s="1"/>
      <c r="B407" s="1"/>
      <c r="C407" s="1"/>
      <c r="D407" s="1"/>
      <c r="E407" s="1"/>
      <c r="F407" s="1"/>
      <c r="G407" s="3"/>
      <c r="H407" s="1"/>
    </row>
    <row r="408" spans="1:8" ht="13.2" x14ac:dyDescent="0.25">
      <c r="A408" s="2"/>
      <c r="B408" s="1"/>
      <c r="C408" s="1"/>
      <c r="D408" s="1"/>
      <c r="E408" s="1"/>
      <c r="F408" s="1"/>
      <c r="G408" s="3"/>
      <c r="H408" s="1"/>
    </row>
    <row r="409" spans="1:8" ht="13.2" x14ac:dyDescent="0.25">
      <c r="A409" s="1"/>
      <c r="B409" s="1"/>
      <c r="C409" s="1"/>
      <c r="D409" s="1"/>
      <c r="E409" s="1"/>
      <c r="F409" s="1"/>
      <c r="G409" s="3"/>
      <c r="H409" s="1"/>
    </row>
    <row r="410" spans="1:8" ht="13.2" x14ac:dyDescent="0.25">
      <c r="A410" s="1"/>
      <c r="B410" s="1"/>
      <c r="C410" s="1"/>
      <c r="D410" s="1"/>
      <c r="E410" s="1"/>
      <c r="F410" s="1"/>
      <c r="G410" s="3"/>
      <c r="H410" s="1"/>
    </row>
    <row r="411" spans="1:8" ht="13.2" x14ac:dyDescent="0.25">
      <c r="A411" s="2"/>
      <c r="B411" s="1"/>
      <c r="C411" s="1"/>
      <c r="D411" s="1"/>
      <c r="E411" s="1"/>
      <c r="F411" s="1"/>
      <c r="G411" s="3"/>
      <c r="H411" s="1"/>
    </row>
    <row r="412" spans="1:8" ht="13.2" x14ac:dyDescent="0.25">
      <c r="A412" s="1"/>
      <c r="B412" s="1"/>
      <c r="C412" s="1"/>
      <c r="D412" s="1"/>
      <c r="E412" s="1"/>
      <c r="F412" s="1"/>
      <c r="G412" s="3"/>
      <c r="H412" s="1"/>
    </row>
    <row r="413" spans="1:8" ht="13.2" x14ac:dyDescent="0.25">
      <c r="A413" s="1"/>
      <c r="B413" s="1"/>
      <c r="C413" s="1"/>
      <c r="D413" s="1"/>
      <c r="E413" s="1"/>
      <c r="F413" s="1"/>
      <c r="G413" s="3"/>
      <c r="H413" s="1"/>
    </row>
    <row r="414" spans="1:8" ht="13.2" x14ac:dyDescent="0.25">
      <c r="A414" s="2"/>
      <c r="B414" s="1"/>
      <c r="C414" s="1"/>
      <c r="D414" s="1"/>
      <c r="E414" s="1"/>
      <c r="F414" s="1"/>
      <c r="G414" s="3"/>
      <c r="H414" s="1"/>
    </row>
    <row r="415" spans="1:8" ht="13.2" x14ac:dyDescent="0.25">
      <c r="A415" s="1"/>
      <c r="B415" s="1"/>
      <c r="C415" s="1"/>
      <c r="D415" s="1"/>
      <c r="E415" s="1"/>
      <c r="F415" s="1"/>
      <c r="G415" s="3"/>
      <c r="H415" s="1"/>
    </row>
    <row r="416" spans="1:8" ht="13.2" x14ac:dyDescent="0.25">
      <c r="A416" s="2"/>
      <c r="B416" s="1"/>
      <c r="C416" s="1"/>
      <c r="D416" s="1"/>
      <c r="E416" s="1"/>
      <c r="F416" s="1"/>
      <c r="G416" s="3"/>
      <c r="H416" s="1"/>
    </row>
    <row r="417" spans="1:8" ht="13.2" x14ac:dyDescent="0.25">
      <c r="A417" s="2"/>
      <c r="B417" s="1"/>
      <c r="C417" s="1"/>
      <c r="D417" s="1"/>
      <c r="E417" s="1"/>
      <c r="F417" s="1"/>
      <c r="G417" s="3"/>
      <c r="H417" s="1"/>
    </row>
    <row r="418" spans="1:8" ht="13.2" x14ac:dyDescent="0.25">
      <c r="A418" s="1"/>
      <c r="B418" s="1"/>
      <c r="C418" s="1"/>
      <c r="D418" s="1"/>
      <c r="E418" s="1"/>
      <c r="F418" s="1"/>
      <c r="G418" s="1"/>
      <c r="H418" s="1"/>
    </row>
    <row r="419" spans="1:8" ht="13.2" x14ac:dyDescent="0.25">
      <c r="A419" s="1"/>
      <c r="B419" s="1"/>
      <c r="C419" s="1"/>
      <c r="D419" s="1"/>
      <c r="E419" s="1"/>
      <c r="F419" s="1"/>
      <c r="G419" s="1"/>
      <c r="H419" s="1"/>
    </row>
    <row r="420" spans="1:8" ht="13.2" x14ac:dyDescent="0.25">
      <c r="A420" s="1"/>
      <c r="B420" s="1"/>
      <c r="C420" s="1"/>
      <c r="D420" s="1"/>
      <c r="E420" s="1"/>
      <c r="F420" s="1"/>
      <c r="G420" s="1"/>
      <c r="H420" s="1"/>
    </row>
    <row r="421" spans="1:8" ht="13.2" x14ac:dyDescent="0.25">
      <c r="A421" s="1"/>
      <c r="B421" s="1"/>
      <c r="C421" s="1"/>
      <c r="D421" s="1"/>
      <c r="E421" s="1"/>
      <c r="F421" s="1"/>
      <c r="G421" s="1"/>
      <c r="H421" s="1"/>
    </row>
    <row r="422" spans="1:8" ht="13.2" x14ac:dyDescent="0.25">
      <c r="A422" s="1"/>
      <c r="B422" s="1"/>
      <c r="C422" s="1"/>
      <c r="D422" s="1"/>
      <c r="E422" s="1"/>
      <c r="F422" s="1"/>
      <c r="G422" s="3"/>
      <c r="H422" s="1"/>
    </row>
    <row r="423" spans="1:8" ht="13.2" x14ac:dyDescent="0.25">
      <c r="A423" s="2"/>
      <c r="B423" s="1"/>
      <c r="C423" s="1"/>
      <c r="D423" s="1"/>
      <c r="E423" s="1"/>
      <c r="F423" s="1"/>
      <c r="G423" s="3"/>
      <c r="H423" s="1"/>
    </row>
    <row r="424" spans="1:8" ht="13.2" x14ac:dyDescent="0.25">
      <c r="A424" s="1"/>
      <c r="B424" s="1"/>
      <c r="C424" s="1"/>
      <c r="D424" s="1"/>
      <c r="E424" s="1"/>
      <c r="F424" s="1"/>
      <c r="G424" s="3"/>
      <c r="H424" s="1"/>
    </row>
    <row r="425" spans="1:8" ht="13.2" x14ac:dyDescent="0.25">
      <c r="A425" s="2"/>
      <c r="B425" s="1"/>
      <c r="C425" s="1"/>
      <c r="D425" s="1"/>
      <c r="E425" s="1"/>
      <c r="F425" s="1"/>
      <c r="G425" s="3"/>
      <c r="H425" s="1"/>
    </row>
    <row r="426" spans="1:8" ht="13.2" x14ac:dyDescent="0.25">
      <c r="A426" s="1"/>
      <c r="B426" s="1"/>
      <c r="C426" s="1"/>
      <c r="D426" s="1"/>
      <c r="E426" s="1"/>
      <c r="F426" s="1"/>
      <c r="G426" s="3"/>
      <c r="H426" s="1"/>
    </row>
    <row r="427" spans="1:8" ht="13.2" x14ac:dyDescent="0.25">
      <c r="A427" s="1"/>
      <c r="B427" s="1"/>
      <c r="C427" s="1"/>
      <c r="D427" s="1"/>
      <c r="E427" s="1"/>
      <c r="F427" s="1"/>
      <c r="G427" s="3"/>
      <c r="H427" s="1"/>
    </row>
    <row r="428" spans="1:8" ht="13.2" x14ac:dyDescent="0.25">
      <c r="A428" s="1"/>
      <c r="B428" s="1"/>
      <c r="C428" s="1"/>
      <c r="D428" s="1"/>
      <c r="E428" s="1"/>
      <c r="F428" s="1"/>
      <c r="G428" s="3"/>
      <c r="H428" s="1"/>
    </row>
    <row r="429" spans="1:8" ht="13.2" x14ac:dyDescent="0.25">
      <c r="A429" s="1"/>
      <c r="B429" s="1"/>
      <c r="C429" s="1"/>
      <c r="D429" s="1"/>
      <c r="E429" s="1"/>
      <c r="F429" s="1"/>
      <c r="G429" s="3"/>
      <c r="H429" s="1"/>
    </row>
    <row r="430" spans="1:8" ht="13.2" x14ac:dyDescent="0.25">
      <c r="A430" s="2"/>
      <c r="B430" s="1"/>
      <c r="C430" s="1"/>
      <c r="D430" s="1"/>
      <c r="E430" s="1"/>
      <c r="F430" s="1"/>
      <c r="G430" s="3"/>
      <c r="H430" s="1"/>
    </row>
    <row r="431" spans="1:8" ht="13.2" x14ac:dyDescent="0.25">
      <c r="A431" s="1"/>
      <c r="B431" s="1"/>
      <c r="C431" s="1"/>
      <c r="D431" s="1"/>
      <c r="E431" s="1"/>
      <c r="F431" s="1"/>
      <c r="G431" s="3"/>
      <c r="H431" s="1"/>
    </row>
    <row r="432" spans="1:8" ht="13.2" x14ac:dyDescent="0.25">
      <c r="A432" s="2"/>
      <c r="B432" s="1"/>
      <c r="C432" s="1"/>
      <c r="D432" s="1"/>
      <c r="E432" s="1"/>
      <c r="F432" s="1"/>
      <c r="G432" s="3"/>
      <c r="H432" s="1"/>
    </row>
    <row r="433" spans="1:8" ht="13.2" x14ac:dyDescent="0.25">
      <c r="A433" s="2"/>
      <c r="B433" s="1"/>
      <c r="C433" s="1"/>
      <c r="D433" s="1"/>
      <c r="E433" s="1"/>
      <c r="F433" s="1"/>
      <c r="G433" s="3"/>
      <c r="H433" s="1"/>
    </row>
    <row r="434" spans="1:8" ht="13.2" x14ac:dyDescent="0.25">
      <c r="A434" s="1"/>
      <c r="B434" s="1"/>
      <c r="C434" s="1"/>
      <c r="D434" s="1"/>
      <c r="E434" s="1"/>
      <c r="F434" s="1"/>
      <c r="G434" s="3"/>
      <c r="H434" s="1"/>
    </row>
    <row r="435" spans="1:8" ht="13.2" x14ac:dyDescent="0.25">
      <c r="A435" s="2"/>
      <c r="B435" s="1"/>
      <c r="C435" s="1"/>
      <c r="D435" s="1"/>
      <c r="E435" s="1"/>
      <c r="F435" s="1"/>
      <c r="G435" s="3"/>
      <c r="H435" s="1"/>
    </row>
    <row r="436" spans="1:8" ht="13.2" x14ac:dyDescent="0.25">
      <c r="A436" s="1"/>
      <c r="B436" s="1"/>
      <c r="C436" s="1"/>
      <c r="D436" s="1"/>
      <c r="E436" s="1"/>
      <c r="F436" s="1"/>
      <c r="G436" s="3"/>
      <c r="H436" s="1"/>
    </row>
    <row r="437" spans="1:8" ht="13.2" x14ac:dyDescent="0.25">
      <c r="A437" s="1"/>
      <c r="B437" s="1"/>
      <c r="C437" s="1"/>
      <c r="D437" s="1"/>
      <c r="E437" s="1"/>
      <c r="F437" s="1"/>
      <c r="G437" s="3"/>
      <c r="H437" s="1"/>
    </row>
    <row r="438" spans="1:8" ht="13.2" x14ac:dyDescent="0.25">
      <c r="A438" s="1"/>
      <c r="B438" s="1"/>
      <c r="C438" s="1"/>
      <c r="D438" s="1"/>
      <c r="E438" s="1"/>
      <c r="F438" s="1"/>
      <c r="G438" s="3"/>
      <c r="H438" s="1"/>
    </row>
    <row r="439" spans="1:8" ht="13.2" x14ac:dyDescent="0.25">
      <c r="A439" s="1"/>
      <c r="B439" s="1"/>
      <c r="C439" s="1"/>
      <c r="D439" s="1"/>
      <c r="E439" s="1"/>
      <c r="F439" s="1"/>
      <c r="G439" s="3"/>
      <c r="H439" s="1"/>
    </row>
    <row r="440" spans="1:8" ht="13.2" x14ac:dyDescent="0.25">
      <c r="A440" s="1"/>
      <c r="B440" s="1"/>
      <c r="C440" s="1"/>
      <c r="D440" s="1"/>
      <c r="E440" s="1"/>
      <c r="F440" s="1"/>
      <c r="G440" s="3"/>
      <c r="H440" s="1"/>
    </row>
    <row r="441" spans="1:8" ht="13.2" x14ac:dyDescent="0.25">
      <c r="A441" s="1"/>
      <c r="B441" s="1"/>
      <c r="C441" s="1"/>
      <c r="D441" s="1"/>
      <c r="E441" s="1"/>
      <c r="F441" s="1"/>
      <c r="G441" s="3"/>
      <c r="H441" s="1"/>
    </row>
    <row r="442" spans="1:8" ht="13.2" x14ac:dyDescent="0.25">
      <c r="A442" s="1"/>
      <c r="B442" s="1"/>
      <c r="C442" s="1"/>
      <c r="D442" s="1"/>
      <c r="E442" s="1"/>
      <c r="F442" s="1"/>
      <c r="G442" s="3"/>
      <c r="H442" s="1"/>
    </row>
    <row r="443" spans="1:8" ht="13.2" x14ac:dyDescent="0.25">
      <c r="A443" s="1"/>
      <c r="B443" s="1"/>
      <c r="C443" s="1"/>
      <c r="D443" s="1"/>
      <c r="E443" s="1"/>
      <c r="F443" s="1"/>
      <c r="G443" s="3"/>
      <c r="H443" s="1"/>
    </row>
    <row r="444" spans="1:8" ht="13.2" x14ac:dyDescent="0.25">
      <c r="A444" s="1"/>
      <c r="B444" s="1"/>
      <c r="C444" s="1"/>
      <c r="D444" s="1"/>
      <c r="E444" s="1"/>
      <c r="F444" s="1"/>
      <c r="G444" s="3"/>
      <c r="H444" s="1"/>
    </row>
    <row r="445" spans="1:8" ht="13.2" x14ac:dyDescent="0.25">
      <c r="A445" s="1"/>
      <c r="B445" s="1"/>
      <c r="C445" s="1"/>
      <c r="D445" s="1"/>
      <c r="E445" s="1"/>
      <c r="F445" s="1"/>
      <c r="G445" s="3"/>
      <c r="H445" s="1"/>
    </row>
    <row r="446" spans="1:8" ht="13.2" x14ac:dyDescent="0.25">
      <c r="A446" s="1"/>
      <c r="B446" s="1"/>
      <c r="C446" s="1"/>
      <c r="D446" s="1"/>
      <c r="E446" s="1"/>
      <c r="F446" s="1"/>
      <c r="G446" s="3"/>
      <c r="H446" s="1"/>
    </row>
    <row r="447" spans="1:8" ht="13.2" x14ac:dyDescent="0.25">
      <c r="A447" s="2"/>
      <c r="B447" s="1"/>
      <c r="C447" s="1"/>
      <c r="D447" s="1"/>
      <c r="E447" s="1"/>
      <c r="F447" s="1"/>
      <c r="G447" s="3"/>
      <c r="H447" s="1"/>
    </row>
    <row r="448" spans="1:8" ht="13.2" x14ac:dyDescent="0.25">
      <c r="A448" s="1"/>
      <c r="B448" s="1"/>
      <c r="C448" s="1"/>
      <c r="D448" s="1"/>
      <c r="E448" s="1"/>
      <c r="F448" s="1"/>
      <c r="G448" s="3"/>
      <c r="H448" s="1"/>
    </row>
    <row r="449" spans="1:8" ht="13.2" x14ac:dyDescent="0.25">
      <c r="A449" s="1"/>
      <c r="B449" s="1"/>
      <c r="C449" s="1"/>
      <c r="D449" s="1"/>
      <c r="E449" s="1"/>
      <c r="F449" s="1"/>
      <c r="G449" s="3"/>
      <c r="H449" s="1"/>
    </row>
    <row r="450" spans="1:8" ht="13.2" x14ac:dyDescent="0.25">
      <c r="A450" s="1"/>
      <c r="B450" s="1"/>
      <c r="C450" s="1"/>
      <c r="D450" s="1"/>
      <c r="E450" s="1"/>
      <c r="F450" s="1"/>
      <c r="G450" s="1"/>
      <c r="H450" s="1"/>
    </row>
    <row r="451" spans="1:8" ht="13.2" x14ac:dyDescent="0.25">
      <c r="A451" s="1"/>
      <c r="B451" s="1"/>
      <c r="C451" s="1"/>
      <c r="D451" s="1"/>
      <c r="E451" s="1"/>
      <c r="F451" s="1"/>
      <c r="G451" s="1"/>
      <c r="H451" s="1"/>
    </row>
    <row r="452" spans="1:8" ht="13.2" x14ac:dyDescent="0.25">
      <c r="A452" s="1"/>
      <c r="B452" s="1"/>
      <c r="C452" s="1"/>
      <c r="D452" s="1"/>
      <c r="E452" s="1"/>
      <c r="F452" s="1"/>
      <c r="G452" s="3"/>
      <c r="H452" s="1"/>
    </row>
    <row r="453" spans="1:8" ht="13.2" x14ac:dyDescent="0.25">
      <c r="A453" s="2"/>
      <c r="B453" s="1"/>
      <c r="C453" s="1"/>
      <c r="D453" s="1"/>
      <c r="E453" s="1"/>
      <c r="F453" s="1"/>
      <c r="G453" s="3"/>
      <c r="H453" s="1"/>
    </row>
    <row r="454" spans="1:8" ht="13.2" x14ac:dyDescent="0.25">
      <c r="A454" s="2"/>
      <c r="B454" s="1"/>
      <c r="C454" s="1"/>
      <c r="D454" s="1"/>
      <c r="E454" s="1"/>
      <c r="F454" s="1"/>
      <c r="G454" s="3"/>
      <c r="H454" s="1"/>
    </row>
    <row r="455" spans="1:8" ht="13.2" x14ac:dyDescent="0.25">
      <c r="A455" s="2"/>
      <c r="B455" s="1"/>
      <c r="C455" s="1"/>
      <c r="D455" s="1"/>
      <c r="E455" s="1"/>
      <c r="F455" s="1"/>
      <c r="G455" s="3"/>
      <c r="H455" s="1"/>
    </row>
    <row r="456" spans="1:8" ht="13.2" x14ac:dyDescent="0.25">
      <c r="A456" s="1"/>
      <c r="B456" s="1"/>
      <c r="C456" s="1"/>
      <c r="D456" s="1"/>
      <c r="E456" s="1"/>
      <c r="F456" s="1"/>
      <c r="G456" s="3"/>
      <c r="H456" s="1"/>
    </row>
    <row r="457" spans="1:8" ht="13.2" x14ac:dyDescent="0.25">
      <c r="A457" s="1"/>
      <c r="B457" s="1"/>
      <c r="C457" s="1"/>
      <c r="D457" s="1"/>
      <c r="E457" s="1"/>
      <c r="F457" s="1"/>
      <c r="G457" s="1"/>
      <c r="H457" s="1"/>
    </row>
    <row r="458" spans="1:8" ht="13.2" x14ac:dyDescent="0.25">
      <c r="A458" s="1"/>
      <c r="B458" s="1"/>
      <c r="C458" s="1"/>
      <c r="D458" s="1"/>
      <c r="E458" s="1"/>
      <c r="F458" s="1"/>
      <c r="G458" s="3"/>
      <c r="H458" s="1"/>
    </row>
    <row r="459" spans="1:8" ht="13.2" x14ac:dyDescent="0.25">
      <c r="A459" s="1"/>
      <c r="B459" s="1"/>
      <c r="C459" s="1"/>
      <c r="D459" s="1"/>
      <c r="E459" s="1"/>
      <c r="F459" s="1"/>
      <c r="G459" s="3"/>
      <c r="H459" s="1"/>
    </row>
    <row r="460" spans="1:8" ht="13.2" x14ac:dyDescent="0.25">
      <c r="A460" s="1"/>
      <c r="B460" s="1"/>
      <c r="C460" s="1"/>
      <c r="D460" s="1"/>
      <c r="E460" s="1"/>
      <c r="F460" s="1"/>
      <c r="G460" s="3"/>
      <c r="H460" s="1"/>
    </row>
    <row r="461" spans="1:8" ht="13.2" x14ac:dyDescent="0.25">
      <c r="A461" s="2"/>
      <c r="B461" s="1"/>
      <c r="C461" s="1"/>
      <c r="D461" s="1"/>
      <c r="E461" s="1"/>
      <c r="F461" s="1"/>
      <c r="G461" s="3"/>
      <c r="H461" s="1"/>
    </row>
    <row r="462" spans="1:8" ht="13.2" x14ac:dyDescent="0.25">
      <c r="A462" s="2"/>
      <c r="B462" s="1"/>
      <c r="C462" s="1"/>
      <c r="D462" s="1"/>
      <c r="E462" s="1"/>
      <c r="F462" s="1"/>
      <c r="G462" s="3"/>
      <c r="H462" s="1"/>
    </row>
    <row r="463" spans="1:8" ht="13.2" x14ac:dyDescent="0.25">
      <c r="A463" s="2"/>
      <c r="B463" s="1"/>
      <c r="C463" s="1"/>
      <c r="D463" s="1"/>
      <c r="E463" s="1"/>
      <c r="F463" s="1"/>
      <c r="G463" s="1"/>
      <c r="H463" s="1"/>
    </row>
    <row r="464" spans="1:8" ht="13.2" x14ac:dyDescent="0.25">
      <c r="A464" s="1"/>
      <c r="B464" s="1"/>
      <c r="C464" s="1"/>
      <c r="D464" s="1"/>
      <c r="E464" s="1"/>
      <c r="F464" s="1"/>
      <c r="G464" s="3"/>
      <c r="H464" s="1"/>
    </row>
    <row r="465" spans="1:8" ht="13.2" x14ac:dyDescent="0.25">
      <c r="A465" s="1"/>
      <c r="B465" s="1"/>
      <c r="C465" s="1"/>
      <c r="D465" s="1"/>
      <c r="E465" s="1"/>
      <c r="F465" s="1"/>
      <c r="G465" s="3"/>
      <c r="H465" s="1"/>
    </row>
    <row r="466" spans="1:8" ht="13.2" x14ac:dyDescent="0.25">
      <c r="A466" s="1"/>
      <c r="B466" s="1"/>
      <c r="C466" s="1"/>
      <c r="D466" s="1"/>
      <c r="E466" s="1"/>
      <c r="F466" s="1"/>
      <c r="G466" s="3"/>
      <c r="H466" s="1"/>
    </row>
    <row r="467" spans="1:8" ht="13.2" x14ac:dyDescent="0.25">
      <c r="A467" s="1"/>
      <c r="B467" s="1"/>
      <c r="C467" s="1"/>
      <c r="D467" s="1"/>
      <c r="E467" s="1"/>
      <c r="F467" s="1"/>
      <c r="G467" s="3"/>
      <c r="H467" s="1"/>
    </row>
    <row r="468" spans="1:8" ht="13.2" x14ac:dyDescent="0.25">
      <c r="A468" s="1"/>
      <c r="B468" s="1"/>
      <c r="C468" s="1"/>
      <c r="D468" s="1"/>
      <c r="E468" s="1"/>
      <c r="F468" s="1"/>
      <c r="G468" s="3"/>
      <c r="H468" s="1"/>
    </row>
    <row r="469" spans="1:8" ht="13.2" x14ac:dyDescent="0.25">
      <c r="A469" s="1"/>
      <c r="B469" s="1"/>
      <c r="C469" s="1"/>
      <c r="D469" s="1"/>
      <c r="E469" s="1"/>
      <c r="F469" s="1"/>
      <c r="G469" s="3"/>
      <c r="H469" s="1"/>
    </row>
    <row r="470" spans="1:8" ht="13.2" x14ac:dyDescent="0.25">
      <c r="A470" s="1"/>
      <c r="B470" s="1"/>
      <c r="C470" s="1"/>
      <c r="D470" s="1"/>
      <c r="E470" s="1"/>
      <c r="F470" s="1"/>
      <c r="G470" s="3"/>
      <c r="H470" s="1"/>
    </row>
    <row r="471" spans="1:8" ht="13.2" x14ac:dyDescent="0.25">
      <c r="A471" s="2"/>
      <c r="B471" s="1"/>
      <c r="C471" s="1"/>
      <c r="D471" s="1"/>
      <c r="E471" s="1"/>
      <c r="F471" s="1"/>
      <c r="G471" s="3"/>
      <c r="H471" s="1"/>
    </row>
    <row r="472" spans="1:8" ht="13.2" x14ac:dyDescent="0.25">
      <c r="A472" s="2"/>
      <c r="B472" s="1"/>
      <c r="C472" s="1"/>
      <c r="D472" s="1"/>
      <c r="E472" s="1"/>
      <c r="F472" s="1"/>
      <c r="G472" s="3"/>
      <c r="H472" s="1"/>
    </row>
    <row r="473" spans="1:8" ht="13.2" x14ac:dyDescent="0.25">
      <c r="A473" s="1"/>
      <c r="B473" s="1"/>
      <c r="C473" s="1"/>
      <c r="D473" s="1"/>
      <c r="E473" s="1"/>
      <c r="F473" s="1"/>
      <c r="G473" s="3"/>
      <c r="H473" s="1"/>
    </row>
    <row r="474" spans="1:8" ht="13.2" x14ac:dyDescent="0.25">
      <c r="A474" s="1"/>
      <c r="B474" s="1"/>
      <c r="C474" s="1"/>
      <c r="D474" s="1"/>
      <c r="E474" s="1"/>
      <c r="F474" s="1"/>
      <c r="G474" s="3"/>
      <c r="H474" s="1"/>
    </row>
    <row r="475" spans="1:8" ht="13.2" x14ac:dyDescent="0.25">
      <c r="A475" s="2"/>
      <c r="B475" s="1"/>
      <c r="C475" s="1"/>
      <c r="D475" s="1"/>
      <c r="E475" s="1"/>
      <c r="F475" s="1"/>
      <c r="G475" s="3"/>
      <c r="H475" s="1"/>
    </row>
    <row r="476" spans="1:8" ht="13.2" x14ac:dyDescent="0.25">
      <c r="A476" s="1"/>
      <c r="B476" s="1"/>
      <c r="C476" s="1"/>
      <c r="D476" s="1"/>
      <c r="E476" s="1"/>
      <c r="F476" s="1"/>
      <c r="G476" s="3"/>
      <c r="H476" s="1"/>
    </row>
    <row r="477" spans="1:8" ht="13.2" x14ac:dyDescent="0.25">
      <c r="A477" s="1"/>
      <c r="B477" s="1"/>
      <c r="C477" s="1"/>
      <c r="D477" s="1"/>
      <c r="E477" s="1"/>
      <c r="F477" s="1"/>
      <c r="G477" s="3"/>
      <c r="H477" s="1"/>
    </row>
    <row r="478" spans="1:8" ht="13.2" x14ac:dyDescent="0.25">
      <c r="A478" s="1"/>
      <c r="B478" s="1"/>
      <c r="C478" s="1"/>
      <c r="D478" s="1"/>
      <c r="E478" s="1"/>
      <c r="F478" s="1"/>
      <c r="G478" s="3"/>
      <c r="H478" s="1"/>
    </row>
    <row r="479" spans="1:8" ht="13.2" x14ac:dyDescent="0.25">
      <c r="A479" s="1"/>
      <c r="B479" s="1"/>
      <c r="C479" s="1"/>
      <c r="D479" s="1"/>
      <c r="E479" s="1"/>
      <c r="F479" s="1"/>
      <c r="G479" s="3"/>
      <c r="H479" s="1"/>
    </row>
    <row r="480" spans="1:8" ht="13.2" x14ac:dyDescent="0.25">
      <c r="A480" s="1"/>
      <c r="B480" s="1"/>
      <c r="C480" s="1"/>
      <c r="D480" s="1"/>
      <c r="E480" s="1"/>
      <c r="F480" s="1"/>
      <c r="G480" s="3"/>
      <c r="H480" s="1"/>
    </row>
    <row r="481" spans="1:8" ht="13.2" x14ac:dyDescent="0.25">
      <c r="A481" s="1"/>
      <c r="B481" s="1"/>
      <c r="C481" s="1"/>
      <c r="D481" s="1"/>
      <c r="E481" s="1"/>
      <c r="F481" s="1"/>
      <c r="G481" s="3"/>
      <c r="H481" s="1"/>
    </row>
    <row r="482" spans="1:8" ht="13.2" x14ac:dyDescent="0.25">
      <c r="A482" s="1"/>
      <c r="B482" s="1"/>
      <c r="C482" s="1"/>
      <c r="D482" s="1"/>
      <c r="E482" s="1"/>
      <c r="F482" s="1"/>
      <c r="G482" s="3"/>
      <c r="H482" s="1"/>
    </row>
    <row r="483" spans="1:8" ht="13.2" x14ac:dyDescent="0.25">
      <c r="A483" s="2"/>
      <c r="B483" s="1"/>
      <c r="C483" s="1"/>
      <c r="D483" s="1"/>
      <c r="E483" s="1"/>
      <c r="F483" s="1"/>
      <c r="G483" s="3"/>
      <c r="H483" s="1"/>
    </row>
    <row r="484" spans="1:8" ht="13.2" x14ac:dyDescent="0.25">
      <c r="A484" s="1"/>
      <c r="B484" s="1"/>
      <c r="C484" s="1"/>
      <c r="D484" s="1"/>
      <c r="E484" s="1"/>
      <c r="F484" s="1"/>
      <c r="G484" s="3"/>
      <c r="H484" s="1"/>
    </row>
    <row r="485" spans="1:8" ht="13.2" x14ac:dyDescent="0.25">
      <c r="A485" s="2"/>
      <c r="B485" s="1"/>
      <c r="C485" s="1"/>
      <c r="D485" s="1"/>
      <c r="E485" s="1"/>
      <c r="F485" s="1"/>
      <c r="G485" s="3"/>
      <c r="H485" s="1"/>
    </row>
    <row r="486" spans="1:8" ht="13.2" x14ac:dyDescent="0.25">
      <c r="A486" s="1"/>
      <c r="B486" s="1"/>
      <c r="C486" s="1"/>
      <c r="D486" s="1"/>
      <c r="E486" s="1"/>
      <c r="F486" s="1"/>
      <c r="G486" s="3"/>
      <c r="H486" s="1"/>
    </row>
    <row r="487" spans="1:8" ht="13.2" x14ac:dyDescent="0.25">
      <c r="A487" s="1"/>
      <c r="B487" s="1"/>
      <c r="C487" s="1"/>
      <c r="D487" s="1"/>
      <c r="E487" s="1"/>
      <c r="F487" s="1"/>
      <c r="G487" s="3"/>
      <c r="H487" s="1"/>
    </row>
    <row r="488" spans="1:8" ht="13.2" x14ac:dyDescent="0.25">
      <c r="A488" s="1"/>
      <c r="B488" s="1"/>
      <c r="C488" s="1"/>
      <c r="D488" s="1"/>
      <c r="E488" s="1"/>
      <c r="F488" s="1"/>
      <c r="G488" s="3"/>
      <c r="H488" s="1"/>
    </row>
    <row r="489" spans="1:8" ht="13.2" x14ac:dyDescent="0.25">
      <c r="A489" s="1"/>
      <c r="B489" s="1"/>
      <c r="C489" s="1"/>
      <c r="D489" s="1"/>
      <c r="E489" s="1"/>
      <c r="F489" s="1"/>
      <c r="G489" s="3"/>
      <c r="H489" s="1"/>
    </row>
    <row r="490" spans="1:8" ht="13.2" x14ac:dyDescent="0.25">
      <c r="A490" s="2"/>
      <c r="B490" s="1"/>
      <c r="C490" s="1"/>
      <c r="D490" s="1"/>
      <c r="E490" s="1"/>
      <c r="F490" s="1"/>
      <c r="G490" s="3"/>
      <c r="H490" s="1"/>
    </row>
    <row r="491" spans="1:8" ht="13.2" x14ac:dyDescent="0.25">
      <c r="A491" s="1"/>
      <c r="B491" s="1"/>
      <c r="C491" s="1"/>
      <c r="D491" s="1"/>
      <c r="E491" s="1"/>
      <c r="F491" s="1"/>
      <c r="G491" s="3"/>
      <c r="H491" s="1"/>
    </row>
    <row r="492" spans="1:8" ht="13.2" x14ac:dyDescent="0.25">
      <c r="A492" s="1"/>
      <c r="B492" s="1"/>
      <c r="C492" s="1"/>
      <c r="D492" s="1"/>
      <c r="E492" s="1"/>
      <c r="F492" s="1"/>
      <c r="G492" s="3"/>
      <c r="H492" s="1"/>
    </row>
    <row r="493" spans="1:8" ht="13.2" x14ac:dyDescent="0.25">
      <c r="A493" s="1"/>
      <c r="B493" s="1"/>
      <c r="C493" s="1"/>
      <c r="D493" s="1"/>
      <c r="E493" s="1"/>
      <c r="F493" s="1"/>
      <c r="G493" s="3"/>
      <c r="H493" s="1"/>
    </row>
    <row r="494" spans="1:8" ht="13.2" x14ac:dyDescent="0.25">
      <c r="A494" s="2"/>
      <c r="B494" s="1"/>
      <c r="C494" s="1"/>
      <c r="D494" s="1"/>
      <c r="E494" s="1"/>
      <c r="F494" s="1"/>
      <c r="G494" s="3"/>
      <c r="H494" s="1"/>
    </row>
    <row r="495" spans="1:8" ht="13.2" x14ac:dyDescent="0.25">
      <c r="A495" s="1"/>
      <c r="B495" s="1"/>
      <c r="C495" s="1"/>
      <c r="D495" s="1"/>
      <c r="E495" s="1"/>
      <c r="F495" s="1"/>
      <c r="G495" s="3"/>
      <c r="H495" s="1"/>
    </row>
    <row r="496" spans="1:8" ht="13.2" x14ac:dyDescent="0.25">
      <c r="A496" s="1"/>
      <c r="B496" s="1"/>
      <c r="C496" s="1"/>
      <c r="D496" s="1"/>
      <c r="E496" s="1"/>
      <c r="F496" s="1"/>
      <c r="G496" s="3"/>
      <c r="H496" s="1"/>
    </row>
    <row r="497" spans="1:8" ht="13.2" x14ac:dyDescent="0.25">
      <c r="A497" s="1"/>
      <c r="B497" s="1"/>
      <c r="C497" s="1"/>
      <c r="D497" s="1"/>
      <c r="E497" s="1"/>
      <c r="F497" s="1"/>
      <c r="G497" s="3"/>
      <c r="H497" s="1"/>
    </row>
    <row r="498" spans="1:8" ht="13.2" x14ac:dyDescent="0.25">
      <c r="A498" s="1"/>
      <c r="B498" s="1"/>
      <c r="C498" s="1"/>
      <c r="D498" s="1"/>
      <c r="E498" s="1"/>
      <c r="F498" s="1"/>
      <c r="G498" s="3"/>
      <c r="H498" s="1"/>
    </row>
    <row r="499" spans="1:8" ht="13.2" x14ac:dyDescent="0.25">
      <c r="A499" s="2"/>
      <c r="B499" s="1"/>
      <c r="C499" s="1"/>
      <c r="D499" s="1"/>
      <c r="E499" s="1"/>
      <c r="F499" s="1"/>
      <c r="G499" s="3"/>
      <c r="H499" s="1"/>
    </row>
    <row r="500" spans="1:8" ht="13.2" x14ac:dyDescent="0.25">
      <c r="A500" s="2"/>
      <c r="B500" s="1"/>
      <c r="C500" s="1"/>
      <c r="D500" s="1"/>
      <c r="E500" s="1"/>
      <c r="F500" s="1"/>
      <c r="G500" s="3"/>
      <c r="H500" s="1"/>
    </row>
    <row r="501" spans="1:8" ht="13.2" x14ac:dyDescent="0.25">
      <c r="A501" s="1"/>
      <c r="B501" s="1"/>
      <c r="C501" s="1"/>
      <c r="D501" s="1"/>
      <c r="E501" s="1"/>
      <c r="F501" s="1"/>
      <c r="G501" s="3"/>
      <c r="H501" s="1"/>
    </row>
    <row r="502" spans="1:8" ht="13.2" x14ac:dyDescent="0.25">
      <c r="A502" s="2"/>
      <c r="B502" s="1"/>
      <c r="C502" s="1"/>
      <c r="D502" s="1"/>
      <c r="E502" s="1"/>
      <c r="F502" s="1"/>
      <c r="G502" s="3"/>
      <c r="H502" s="1"/>
    </row>
    <row r="503" spans="1:8" ht="13.2" x14ac:dyDescent="0.25">
      <c r="A503" s="1"/>
      <c r="B503" s="1"/>
      <c r="C503" s="1"/>
      <c r="D503" s="1"/>
      <c r="E503" s="1"/>
      <c r="F503" s="1"/>
      <c r="G503" s="3"/>
      <c r="H503" s="1"/>
    </row>
    <row r="504" spans="1:8" ht="13.2" x14ac:dyDescent="0.25">
      <c r="A504" s="1"/>
      <c r="B504" s="1"/>
      <c r="C504" s="1"/>
      <c r="D504" s="1"/>
      <c r="E504" s="1"/>
      <c r="F504" s="1"/>
      <c r="G504" s="3"/>
      <c r="H504" s="1"/>
    </row>
    <row r="505" spans="1:8" ht="13.2" x14ac:dyDescent="0.25">
      <c r="A505" s="1"/>
      <c r="B505" s="1"/>
      <c r="C505" s="1"/>
      <c r="D505" s="1"/>
      <c r="E505" s="1"/>
      <c r="F505" s="1"/>
      <c r="G505" s="3"/>
      <c r="H505" s="1"/>
    </row>
    <row r="506" spans="1:8" ht="13.2" x14ac:dyDescent="0.25">
      <c r="A506" s="1"/>
      <c r="B506" s="1"/>
      <c r="C506" s="1"/>
      <c r="D506" s="1"/>
      <c r="E506" s="1"/>
      <c r="F506" s="1"/>
      <c r="G506" s="3"/>
      <c r="H506" s="1"/>
    </row>
    <row r="507" spans="1:8" ht="13.2" x14ac:dyDescent="0.25">
      <c r="A507" s="1"/>
      <c r="B507" s="1"/>
      <c r="C507" s="1"/>
      <c r="D507" s="1"/>
      <c r="E507" s="1"/>
      <c r="F507" s="1"/>
      <c r="G507" s="3"/>
      <c r="H507" s="1"/>
    </row>
    <row r="508" spans="1:8" ht="13.2" x14ac:dyDescent="0.25">
      <c r="A508" s="2"/>
      <c r="B508" s="1"/>
      <c r="C508" s="1"/>
      <c r="D508" s="1"/>
      <c r="E508" s="1"/>
      <c r="F508" s="1"/>
      <c r="G508" s="3"/>
      <c r="H508" s="1"/>
    </row>
    <row r="509" spans="1:8" ht="13.2" x14ac:dyDescent="0.25">
      <c r="A509" s="2"/>
      <c r="B509" s="1"/>
      <c r="C509" s="1"/>
      <c r="D509" s="1"/>
      <c r="E509" s="1"/>
      <c r="F509" s="1"/>
      <c r="G509" s="3"/>
      <c r="H509" s="1"/>
    </row>
    <row r="510" spans="1:8" ht="13.2" x14ac:dyDescent="0.25">
      <c r="A510" s="2"/>
      <c r="B510" s="1"/>
      <c r="C510" s="1"/>
      <c r="D510" s="1"/>
      <c r="E510" s="1"/>
      <c r="F510" s="1"/>
      <c r="G510" s="3"/>
      <c r="H510" s="1"/>
    </row>
    <row r="511" spans="1:8" ht="13.2" x14ac:dyDescent="0.25">
      <c r="A511" s="2"/>
      <c r="B511" s="1"/>
      <c r="C511" s="1"/>
      <c r="D511" s="1"/>
      <c r="E511" s="1"/>
      <c r="F511" s="1"/>
      <c r="G511" s="1"/>
      <c r="H511" s="1"/>
    </row>
    <row r="512" spans="1:8" ht="13.2" x14ac:dyDescent="0.25">
      <c r="A512" s="2"/>
      <c r="B512" s="1"/>
      <c r="C512" s="1"/>
      <c r="D512" s="1"/>
      <c r="E512" s="1"/>
      <c r="F512" s="1"/>
      <c r="G512" s="1"/>
      <c r="H512" s="1"/>
    </row>
    <row r="513" spans="1:8" ht="13.2" x14ac:dyDescent="0.25">
      <c r="A513" s="1"/>
      <c r="B513" s="1"/>
      <c r="C513" s="1"/>
      <c r="D513" s="1"/>
      <c r="E513" s="1"/>
      <c r="F513" s="1"/>
      <c r="G513" s="3"/>
      <c r="H513" s="1"/>
    </row>
    <row r="514" spans="1:8" ht="13.2" x14ac:dyDescent="0.25">
      <c r="A514" s="1"/>
      <c r="B514" s="1"/>
      <c r="C514" s="1"/>
      <c r="D514" s="1"/>
      <c r="E514" s="1"/>
      <c r="F514" s="1"/>
      <c r="G514" s="3"/>
      <c r="H514" s="1"/>
    </row>
    <row r="515" spans="1:8" ht="13.2" x14ac:dyDescent="0.25">
      <c r="A515" s="1"/>
      <c r="B515" s="1"/>
      <c r="C515" s="1"/>
      <c r="D515" s="1"/>
      <c r="E515" s="1"/>
      <c r="F515" s="1"/>
      <c r="G515" s="1"/>
      <c r="H515" s="1"/>
    </row>
    <row r="516" spans="1:8" ht="13.2" x14ac:dyDescent="0.25">
      <c r="A516" s="2"/>
      <c r="B516" s="1"/>
      <c r="C516" s="1"/>
      <c r="D516" s="1"/>
      <c r="E516" s="1"/>
      <c r="F516" s="1"/>
      <c r="G516" s="3"/>
      <c r="H516" s="1"/>
    </row>
    <row r="517" spans="1:8" ht="13.2" x14ac:dyDescent="0.25">
      <c r="A517" s="1"/>
      <c r="B517" s="1"/>
      <c r="C517" s="1"/>
      <c r="D517" s="1"/>
      <c r="E517" s="1"/>
      <c r="F517" s="1"/>
      <c r="G517" s="3"/>
      <c r="H517" s="1"/>
    </row>
    <row r="518" spans="1:8" ht="13.2" x14ac:dyDescent="0.25">
      <c r="A518" s="1"/>
      <c r="B518" s="1"/>
      <c r="C518" s="1"/>
      <c r="D518" s="1"/>
      <c r="E518" s="1"/>
      <c r="F518" s="1"/>
      <c r="G518" s="3"/>
      <c r="H518" s="1"/>
    </row>
    <row r="519" spans="1:8" ht="13.2" x14ac:dyDescent="0.25">
      <c r="A519" s="1"/>
      <c r="B519" s="1"/>
      <c r="C519" s="1"/>
      <c r="D519" s="1"/>
      <c r="E519" s="1"/>
      <c r="F519" s="1"/>
      <c r="G519" s="3"/>
      <c r="H519" s="1"/>
    </row>
    <row r="520" spans="1:8" ht="13.2" x14ac:dyDescent="0.25">
      <c r="A520" s="1"/>
      <c r="B520" s="1"/>
      <c r="C520" s="1"/>
      <c r="D520" s="1"/>
      <c r="E520" s="1"/>
      <c r="F520" s="1"/>
      <c r="G520" s="3"/>
      <c r="H520" s="1"/>
    </row>
    <row r="521" spans="1:8" ht="13.2" x14ac:dyDescent="0.25">
      <c r="A521" s="1"/>
      <c r="B521" s="1"/>
      <c r="C521" s="1"/>
      <c r="D521" s="1"/>
      <c r="E521" s="1"/>
      <c r="F521" s="1"/>
      <c r="G521" s="3"/>
      <c r="H521" s="1"/>
    </row>
    <row r="522" spans="1:8" ht="13.2" x14ac:dyDescent="0.25">
      <c r="A522" s="1"/>
      <c r="B522" s="1"/>
      <c r="C522" s="1"/>
      <c r="D522" s="1"/>
      <c r="E522" s="1"/>
      <c r="F522" s="1"/>
      <c r="G522" s="3"/>
      <c r="H522" s="1"/>
    </row>
    <row r="523" spans="1:8" ht="13.2" x14ac:dyDescent="0.25">
      <c r="A523" s="1"/>
      <c r="B523" s="1"/>
      <c r="C523" s="1"/>
      <c r="D523" s="1"/>
      <c r="E523" s="1"/>
      <c r="F523" s="1"/>
      <c r="G523" s="3"/>
      <c r="H523" s="1"/>
    </row>
    <row r="524" spans="1:8" ht="13.2" x14ac:dyDescent="0.25">
      <c r="A524" s="1"/>
      <c r="B524" s="1"/>
      <c r="C524" s="1"/>
      <c r="D524" s="1"/>
      <c r="E524" s="1"/>
      <c r="F524" s="1"/>
      <c r="G524" s="3"/>
      <c r="H524" s="1"/>
    </row>
    <row r="525" spans="1:8" ht="13.2" x14ac:dyDescent="0.25">
      <c r="A525" s="1"/>
      <c r="B525" s="1"/>
      <c r="C525" s="1"/>
      <c r="D525" s="1"/>
      <c r="E525" s="1"/>
      <c r="F525" s="1"/>
      <c r="G525" s="3"/>
      <c r="H525" s="1"/>
    </row>
    <row r="526" spans="1:8" ht="13.2" x14ac:dyDescent="0.25">
      <c r="A526" s="1"/>
      <c r="B526" s="1"/>
      <c r="C526" s="1"/>
      <c r="D526" s="1"/>
      <c r="E526" s="1"/>
      <c r="F526" s="1"/>
      <c r="G526" s="3"/>
      <c r="H526" s="1"/>
    </row>
    <row r="527" spans="1:8" ht="13.2" x14ac:dyDescent="0.25">
      <c r="A527" s="1"/>
      <c r="B527" s="1"/>
      <c r="C527" s="1"/>
      <c r="D527" s="1"/>
      <c r="E527" s="1"/>
      <c r="F527" s="1"/>
      <c r="G527" s="3"/>
      <c r="H527" s="1"/>
    </row>
    <row r="528" spans="1:8" ht="13.2" x14ac:dyDescent="0.25">
      <c r="A528" s="1"/>
      <c r="B528" s="1"/>
      <c r="C528" s="1"/>
      <c r="D528" s="1"/>
      <c r="E528" s="1"/>
      <c r="F528" s="1"/>
      <c r="G528" s="3"/>
      <c r="H528" s="1"/>
    </row>
    <row r="529" spans="1:8" ht="13.2" x14ac:dyDescent="0.25">
      <c r="A529" s="1"/>
      <c r="B529" s="1"/>
      <c r="C529" s="1"/>
      <c r="D529" s="1"/>
      <c r="E529" s="1"/>
      <c r="F529" s="1"/>
      <c r="G529" s="3"/>
      <c r="H529" s="1"/>
    </row>
    <row r="530" spans="1:8" ht="13.2" x14ac:dyDescent="0.25">
      <c r="A530" s="1"/>
      <c r="B530" s="1"/>
      <c r="C530" s="1"/>
      <c r="D530" s="1"/>
      <c r="E530" s="1"/>
      <c r="F530" s="1"/>
      <c r="G530" s="3"/>
      <c r="H530" s="1"/>
    </row>
    <row r="531" spans="1:8" ht="13.2" x14ac:dyDescent="0.25">
      <c r="A531" s="1"/>
      <c r="B531" s="1"/>
      <c r="C531" s="1"/>
      <c r="D531" s="1"/>
      <c r="E531" s="1"/>
      <c r="F531" s="1"/>
      <c r="G531" s="3"/>
      <c r="H531" s="1"/>
    </row>
    <row r="532" spans="1:8" ht="13.2" x14ac:dyDescent="0.25">
      <c r="A532" s="1"/>
      <c r="B532" s="1"/>
      <c r="C532" s="1"/>
      <c r="D532" s="1"/>
      <c r="E532" s="1"/>
      <c r="F532" s="1"/>
      <c r="G532" s="3"/>
      <c r="H532" s="1"/>
    </row>
    <row r="533" spans="1:8" ht="13.2" x14ac:dyDescent="0.25">
      <c r="A533" s="1"/>
      <c r="B533" s="1"/>
      <c r="C533" s="1"/>
      <c r="D533" s="1"/>
      <c r="E533" s="1"/>
      <c r="F533" s="1"/>
      <c r="G533" s="3"/>
      <c r="H533" s="1"/>
    </row>
    <row r="534" spans="1:8" ht="13.2" x14ac:dyDescent="0.25">
      <c r="A534" s="1"/>
      <c r="B534" s="1"/>
      <c r="C534" s="1"/>
      <c r="D534" s="1"/>
      <c r="E534" s="1"/>
      <c r="F534" s="1"/>
      <c r="G534" s="3"/>
      <c r="H534" s="1"/>
    </row>
    <row r="535" spans="1:8" ht="13.2" x14ac:dyDescent="0.25">
      <c r="A535" s="1"/>
      <c r="B535" s="1"/>
      <c r="C535" s="1"/>
      <c r="D535" s="1"/>
      <c r="E535" s="1"/>
      <c r="F535" s="1"/>
      <c r="G535" s="3"/>
      <c r="H535" s="1"/>
    </row>
    <row r="536" spans="1:8" ht="13.2" x14ac:dyDescent="0.25">
      <c r="A536" s="1"/>
      <c r="B536" s="1"/>
      <c r="C536" s="1"/>
      <c r="D536" s="1"/>
      <c r="E536" s="1"/>
      <c r="F536" s="1"/>
      <c r="G536" s="3"/>
      <c r="H536" s="1"/>
    </row>
    <row r="537" spans="1:8" ht="13.2" x14ac:dyDescent="0.25">
      <c r="A537" s="1"/>
      <c r="B537" s="1"/>
      <c r="C537" s="1"/>
      <c r="D537" s="1"/>
      <c r="E537" s="1"/>
      <c r="F537" s="1"/>
      <c r="G537" s="3"/>
      <c r="H537" s="1"/>
    </row>
    <row r="538" spans="1:8" ht="13.2" x14ac:dyDescent="0.25">
      <c r="A538" s="1"/>
      <c r="B538" s="1"/>
      <c r="C538" s="1"/>
      <c r="D538" s="1"/>
      <c r="E538" s="1"/>
      <c r="F538" s="1"/>
      <c r="G538" s="3"/>
      <c r="H538" s="1"/>
    </row>
    <row r="539" spans="1:8" ht="13.2" x14ac:dyDescent="0.25">
      <c r="A539" s="2"/>
      <c r="B539" s="1"/>
      <c r="C539" s="1"/>
      <c r="D539" s="1"/>
      <c r="E539" s="1"/>
      <c r="F539" s="1"/>
      <c r="G539" s="3"/>
      <c r="H539" s="1"/>
    </row>
    <row r="540" spans="1:8" ht="13.2" x14ac:dyDescent="0.25">
      <c r="A540" s="1"/>
      <c r="B540" s="1"/>
      <c r="C540" s="1"/>
      <c r="D540" s="1"/>
      <c r="E540" s="1"/>
      <c r="F540" s="1"/>
      <c r="G540" s="3"/>
      <c r="H540" s="1"/>
    </row>
    <row r="541" spans="1:8" ht="13.2" x14ac:dyDescent="0.25">
      <c r="A541" s="1"/>
      <c r="B541" s="1"/>
      <c r="C541" s="1"/>
      <c r="D541" s="1"/>
      <c r="E541" s="1"/>
      <c r="F541" s="1"/>
      <c r="G541" s="3"/>
      <c r="H541" s="1"/>
    </row>
    <row r="542" spans="1:8" ht="13.2" x14ac:dyDescent="0.25">
      <c r="A542" s="1"/>
      <c r="B542" s="1"/>
      <c r="C542" s="1"/>
      <c r="D542" s="1"/>
      <c r="E542" s="1"/>
      <c r="F542" s="1"/>
      <c r="G542" s="3"/>
      <c r="H542" s="1"/>
    </row>
    <row r="543" spans="1:8" ht="13.2" x14ac:dyDescent="0.25">
      <c r="A543" s="1"/>
      <c r="B543" s="1"/>
      <c r="C543" s="1"/>
      <c r="D543" s="1"/>
      <c r="E543" s="1"/>
      <c r="F543" s="1"/>
      <c r="G543" s="3"/>
      <c r="H543" s="1"/>
    </row>
    <row r="544" spans="1:8" ht="13.2" x14ac:dyDescent="0.25">
      <c r="A544" s="2"/>
      <c r="B544" s="1"/>
      <c r="C544" s="1"/>
      <c r="D544" s="1"/>
      <c r="E544" s="1"/>
      <c r="F544" s="1"/>
      <c r="G544" s="3"/>
      <c r="H544" s="1"/>
    </row>
    <row r="545" spans="1:8" ht="13.2" x14ac:dyDescent="0.25">
      <c r="A545" s="2"/>
      <c r="B545" s="1"/>
      <c r="C545" s="1"/>
      <c r="D545" s="1"/>
      <c r="E545" s="1"/>
      <c r="F545" s="1"/>
      <c r="G545" s="3"/>
      <c r="H545" s="1"/>
    </row>
    <row r="546" spans="1:8" ht="13.2" x14ac:dyDescent="0.25">
      <c r="A546" s="2"/>
      <c r="B546" s="1"/>
      <c r="C546" s="1"/>
      <c r="D546" s="1"/>
      <c r="E546" s="1"/>
      <c r="F546" s="1"/>
      <c r="G546" s="3"/>
      <c r="H546" s="1"/>
    </row>
    <row r="547" spans="1:8" ht="13.2" x14ac:dyDescent="0.25">
      <c r="A547" s="1"/>
      <c r="B547" s="1"/>
      <c r="C547" s="1"/>
      <c r="D547" s="1"/>
      <c r="E547" s="1"/>
      <c r="F547" s="1"/>
      <c r="G547" s="3"/>
      <c r="H547" s="1"/>
    </row>
    <row r="548" spans="1:8" ht="13.2" x14ac:dyDescent="0.25">
      <c r="A548" s="1"/>
      <c r="B548" s="1"/>
      <c r="C548" s="1"/>
      <c r="D548" s="1"/>
      <c r="E548" s="1"/>
      <c r="F548" s="1"/>
      <c r="G548" s="3"/>
      <c r="H548" s="1"/>
    </row>
    <row r="549" spans="1:8" ht="13.2" x14ac:dyDescent="0.25">
      <c r="A549" s="2"/>
      <c r="B549" s="1"/>
      <c r="C549" s="1"/>
      <c r="D549" s="1"/>
      <c r="E549" s="1"/>
      <c r="F549" s="1"/>
      <c r="G549" s="3"/>
      <c r="H549" s="1"/>
    </row>
    <row r="550" spans="1:8" ht="13.2" x14ac:dyDescent="0.25">
      <c r="A550" s="1"/>
      <c r="B550" s="1"/>
      <c r="C550" s="1"/>
      <c r="D550" s="1"/>
      <c r="E550" s="1"/>
      <c r="F550" s="1"/>
      <c r="G550" s="3"/>
      <c r="H550" s="1"/>
    </row>
    <row r="551" spans="1:8" ht="13.2" x14ac:dyDescent="0.25">
      <c r="A551" s="1"/>
      <c r="B551" s="1"/>
      <c r="C551" s="1"/>
      <c r="D551" s="1"/>
      <c r="E551" s="1"/>
      <c r="F551" s="1"/>
      <c r="G551" s="3"/>
      <c r="H551" s="1"/>
    </row>
    <row r="552" spans="1:8" ht="13.2" x14ac:dyDescent="0.25">
      <c r="A552" s="2"/>
      <c r="B552" s="1"/>
      <c r="C552" s="1"/>
      <c r="D552" s="1"/>
      <c r="E552" s="1"/>
      <c r="F552" s="1"/>
      <c r="G552" s="3"/>
      <c r="H552" s="1"/>
    </row>
    <row r="553" spans="1:8" ht="13.2" x14ac:dyDescent="0.25">
      <c r="A553" s="1"/>
      <c r="B553" s="1"/>
      <c r="C553" s="1"/>
      <c r="D553" s="1"/>
      <c r="E553" s="1"/>
      <c r="F553" s="1"/>
      <c r="G553" s="3"/>
      <c r="H553" s="1"/>
    </row>
    <row r="554" spans="1:8" ht="13.2" x14ac:dyDescent="0.25">
      <c r="A554" s="1"/>
      <c r="B554" s="1"/>
      <c r="C554" s="1"/>
      <c r="D554" s="1"/>
      <c r="E554" s="1"/>
      <c r="F554" s="1"/>
      <c r="G554" s="3"/>
      <c r="H554" s="1"/>
    </row>
    <row r="555" spans="1:8" ht="13.2" x14ac:dyDescent="0.25">
      <c r="A555" s="2"/>
      <c r="B555" s="1"/>
      <c r="C555" s="1"/>
      <c r="D555" s="1"/>
      <c r="E555" s="1"/>
      <c r="F555" s="1"/>
      <c r="G555" s="3"/>
      <c r="H555" s="1"/>
    </row>
    <row r="556" spans="1:8" ht="13.2" x14ac:dyDescent="0.25">
      <c r="A556" s="1"/>
      <c r="B556" s="1"/>
      <c r="C556" s="1"/>
      <c r="D556" s="1"/>
      <c r="E556" s="1"/>
      <c r="F556" s="1"/>
      <c r="G556" s="3"/>
      <c r="H556" s="1"/>
    </row>
    <row r="557" spans="1:8" ht="13.2" x14ac:dyDescent="0.25">
      <c r="A557" s="1"/>
      <c r="B557" s="1"/>
      <c r="C557" s="1"/>
      <c r="D557" s="1"/>
      <c r="E557" s="1"/>
      <c r="F557" s="1"/>
      <c r="G557" s="3"/>
      <c r="H557" s="1"/>
    </row>
    <row r="558" spans="1:8" ht="13.2" x14ac:dyDescent="0.25">
      <c r="A558" s="1"/>
      <c r="B558" s="1"/>
      <c r="C558" s="1"/>
      <c r="D558" s="1"/>
      <c r="E558" s="1"/>
      <c r="F558" s="1"/>
      <c r="G558" s="3"/>
      <c r="H558" s="1"/>
    </row>
    <row r="559" spans="1:8" ht="13.2" x14ac:dyDescent="0.25">
      <c r="A559" s="1"/>
      <c r="B559" s="1"/>
      <c r="C559" s="1"/>
      <c r="D559" s="1"/>
      <c r="E559" s="1"/>
      <c r="F559" s="1"/>
      <c r="G559" s="3"/>
      <c r="H559" s="1"/>
    </row>
    <row r="560" spans="1:8" ht="13.2" x14ac:dyDescent="0.25">
      <c r="A560" s="1"/>
      <c r="B560" s="1"/>
      <c r="C560" s="1"/>
      <c r="D560" s="1"/>
      <c r="E560" s="1"/>
      <c r="F560" s="1"/>
      <c r="G560" s="3"/>
      <c r="H560" s="1"/>
    </row>
    <row r="561" spans="1:8" ht="13.2" x14ac:dyDescent="0.25">
      <c r="A561" s="2"/>
      <c r="B561" s="1"/>
      <c r="C561" s="1"/>
      <c r="D561" s="1"/>
      <c r="E561" s="1"/>
      <c r="F561" s="1"/>
      <c r="G561" s="3"/>
      <c r="H561" s="1"/>
    </row>
    <row r="562" spans="1:8" ht="13.2" x14ac:dyDescent="0.25">
      <c r="A562" s="1"/>
      <c r="B562" s="1"/>
      <c r="C562" s="1"/>
      <c r="D562" s="1"/>
      <c r="E562" s="1"/>
      <c r="F562" s="1"/>
      <c r="G562" s="3"/>
      <c r="H562" s="1"/>
    </row>
    <row r="563" spans="1:8" ht="13.2" x14ac:dyDescent="0.25">
      <c r="A563" s="1"/>
      <c r="B563" s="1"/>
      <c r="C563" s="1"/>
      <c r="D563" s="1"/>
      <c r="E563" s="1"/>
      <c r="F563" s="1"/>
      <c r="G563" s="3"/>
      <c r="H563" s="1"/>
    </row>
    <row r="564" spans="1:8" ht="13.2" x14ac:dyDescent="0.25">
      <c r="A564" s="1"/>
      <c r="B564" s="1"/>
      <c r="C564" s="1"/>
      <c r="D564" s="1"/>
      <c r="E564" s="1"/>
      <c r="F564" s="2"/>
      <c r="G564" s="3"/>
      <c r="H564" s="1"/>
    </row>
    <row r="565" spans="1:8" ht="13.2" x14ac:dyDescent="0.25">
      <c r="A565" s="1"/>
      <c r="B565" s="1"/>
      <c r="C565" s="1"/>
      <c r="D565" s="1"/>
      <c r="E565" s="1"/>
      <c r="F565" s="1"/>
      <c r="G565" s="3"/>
      <c r="H565" s="1"/>
    </row>
    <row r="566" spans="1:8" ht="13.2" x14ac:dyDescent="0.25">
      <c r="A566" s="1"/>
      <c r="B566" s="1"/>
      <c r="C566" s="1"/>
      <c r="D566" s="1"/>
      <c r="E566" s="1"/>
      <c r="F566" s="1"/>
      <c r="G566" s="3"/>
      <c r="H566" s="1"/>
    </row>
    <row r="567" spans="1:8" ht="13.2" x14ac:dyDescent="0.25">
      <c r="A567" s="2"/>
      <c r="B567" s="1"/>
      <c r="C567" s="1"/>
      <c r="D567" s="1"/>
      <c r="E567" s="1"/>
      <c r="F567" s="1"/>
      <c r="G567" s="3"/>
      <c r="H567" s="1"/>
    </row>
    <row r="568" spans="1:8" ht="13.2" x14ac:dyDescent="0.25">
      <c r="A568" s="1"/>
      <c r="B568" s="1"/>
      <c r="C568" s="1"/>
      <c r="D568" s="1"/>
      <c r="E568" s="1"/>
      <c r="F568" s="1"/>
      <c r="G568" s="3"/>
      <c r="H568" s="1"/>
    </row>
    <row r="569" spans="1:8" ht="13.2" x14ac:dyDescent="0.25">
      <c r="A569" s="1"/>
      <c r="B569" s="1"/>
      <c r="C569" s="1"/>
      <c r="D569" s="1"/>
      <c r="E569" s="1"/>
      <c r="F569" s="1"/>
      <c r="G569" s="3"/>
      <c r="H569" s="1"/>
    </row>
    <row r="570" spans="1:8" ht="13.2" x14ac:dyDescent="0.25">
      <c r="A570" s="1"/>
      <c r="B570" s="1"/>
      <c r="C570" s="1"/>
      <c r="D570" s="1"/>
      <c r="E570" s="1"/>
      <c r="F570" s="1"/>
      <c r="G570" s="3"/>
      <c r="H570" s="1"/>
    </row>
    <row r="571" spans="1:8" ht="13.2" x14ac:dyDescent="0.25">
      <c r="A571" s="1"/>
      <c r="B571" s="1"/>
      <c r="C571" s="1"/>
      <c r="D571" s="1"/>
      <c r="E571" s="1"/>
      <c r="F571" s="1"/>
      <c r="G571" s="3"/>
      <c r="H571" s="1"/>
    </row>
    <row r="572" spans="1:8" ht="13.2" x14ac:dyDescent="0.25">
      <c r="A572" s="1"/>
      <c r="B572" s="1"/>
      <c r="C572" s="1"/>
      <c r="D572" s="1"/>
      <c r="E572" s="1"/>
      <c r="F572" s="1"/>
      <c r="G572" s="3"/>
      <c r="H572" s="1"/>
    </row>
    <row r="573" spans="1:8" ht="13.2" x14ac:dyDescent="0.25">
      <c r="A573" s="1"/>
      <c r="B573" s="1"/>
      <c r="C573" s="1"/>
      <c r="D573" s="1"/>
      <c r="E573" s="1"/>
      <c r="F573" s="1"/>
      <c r="G573" s="3"/>
      <c r="H573" s="1"/>
    </row>
    <row r="574" spans="1:8" ht="13.2" x14ac:dyDescent="0.25">
      <c r="A574" s="1"/>
      <c r="B574" s="1"/>
      <c r="C574" s="1"/>
      <c r="D574" s="1"/>
      <c r="E574" s="1"/>
      <c r="F574" s="1"/>
      <c r="G574" s="3"/>
      <c r="H574" s="1"/>
    </row>
    <row r="575" spans="1:8" ht="13.2" x14ac:dyDescent="0.25">
      <c r="A575" s="2"/>
      <c r="B575" s="1"/>
      <c r="C575" s="1"/>
      <c r="D575" s="1"/>
      <c r="E575" s="1"/>
      <c r="F575" s="1"/>
      <c r="G575" s="3"/>
      <c r="H575" s="1"/>
    </row>
    <row r="576" spans="1:8" ht="13.2" x14ac:dyDescent="0.25">
      <c r="A576" s="1"/>
      <c r="B576" s="1"/>
      <c r="C576" s="1"/>
      <c r="D576" s="1"/>
      <c r="E576" s="1"/>
      <c r="F576" s="1"/>
      <c r="G576" s="3"/>
      <c r="H576" s="1"/>
    </row>
    <row r="577" spans="1:8" ht="13.2" x14ac:dyDescent="0.25">
      <c r="A577" s="1"/>
      <c r="B577" s="1"/>
      <c r="C577" s="1"/>
      <c r="D577" s="1"/>
      <c r="E577" s="1"/>
      <c r="F577" s="1"/>
      <c r="G577" s="3"/>
      <c r="H577" s="1"/>
    </row>
    <row r="578" spans="1:8" ht="13.2" x14ac:dyDescent="0.25">
      <c r="A578" s="1"/>
      <c r="B578" s="1"/>
      <c r="C578" s="1"/>
      <c r="D578" s="1"/>
      <c r="E578" s="1"/>
      <c r="F578" s="1"/>
      <c r="G578" s="3"/>
      <c r="H578" s="1"/>
    </row>
    <row r="579" spans="1:8" ht="13.2" x14ac:dyDescent="0.25">
      <c r="A579" s="1"/>
      <c r="B579" s="1"/>
      <c r="C579" s="1"/>
      <c r="D579" s="1"/>
      <c r="E579" s="1"/>
      <c r="F579" s="1"/>
      <c r="G579" s="1"/>
      <c r="H579" s="1"/>
    </row>
    <row r="580" spans="1:8" ht="13.2" x14ac:dyDescent="0.25">
      <c r="A580" s="1"/>
      <c r="B580" s="1"/>
      <c r="C580" s="1"/>
      <c r="D580" s="1"/>
      <c r="E580" s="1"/>
      <c r="F580" s="1"/>
      <c r="G580" s="1"/>
      <c r="H580" s="1"/>
    </row>
    <row r="581" spans="1:8" ht="13.2" x14ac:dyDescent="0.25">
      <c r="A581" s="2"/>
      <c r="B581" s="1"/>
      <c r="C581" s="1"/>
      <c r="D581" s="1"/>
      <c r="E581" s="1"/>
      <c r="F581" s="1"/>
      <c r="G581" s="1"/>
      <c r="H581" s="1"/>
    </row>
    <row r="582" spans="1:8" ht="13.2" x14ac:dyDescent="0.25">
      <c r="A582" s="2"/>
      <c r="B582" s="1"/>
      <c r="C582" s="1"/>
      <c r="D582" s="1"/>
      <c r="E582" s="1"/>
      <c r="F582" s="1"/>
      <c r="G582" s="3"/>
      <c r="H582" s="1"/>
    </row>
    <row r="583" spans="1:8" ht="13.2" x14ac:dyDescent="0.25">
      <c r="A583" s="1"/>
      <c r="B583" s="1"/>
      <c r="C583" s="1"/>
      <c r="D583" s="1"/>
      <c r="E583" s="1"/>
      <c r="F583" s="1"/>
      <c r="G583" s="3"/>
      <c r="H583" s="1"/>
    </row>
    <row r="584" spans="1:8" ht="13.2" x14ac:dyDescent="0.25">
      <c r="A584" s="1"/>
      <c r="B584" s="1"/>
      <c r="C584" s="1"/>
      <c r="D584" s="1"/>
      <c r="E584" s="1"/>
      <c r="F584" s="1"/>
      <c r="G584" s="3"/>
      <c r="H584" s="1"/>
    </row>
    <row r="585" spans="1:8" ht="13.2" x14ac:dyDescent="0.25">
      <c r="A585" s="1"/>
      <c r="B585" s="1"/>
      <c r="C585" s="1"/>
      <c r="D585" s="1"/>
      <c r="E585" s="1"/>
      <c r="F585" s="1"/>
      <c r="G585" s="3"/>
      <c r="H585" s="1"/>
    </row>
    <row r="586" spans="1:8" ht="13.2" x14ac:dyDescent="0.25">
      <c r="A586" s="2"/>
      <c r="B586" s="1"/>
      <c r="C586" s="1"/>
      <c r="D586" s="1"/>
      <c r="E586" s="1"/>
      <c r="F586" s="1"/>
      <c r="G586" s="3"/>
      <c r="H586" s="1"/>
    </row>
    <row r="587" spans="1:8" ht="13.2" x14ac:dyDescent="0.25">
      <c r="A587" s="1"/>
      <c r="B587" s="1"/>
      <c r="C587" s="1"/>
      <c r="D587" s="1"/>
      <c r="E587" s="1"/>
      <c r="F587" s="1"/>
      <c r="G587" s="3"/>
      <c r="H587" s="1"/>
    </row>
    <row r="588" spans="1:8" ht="13.2" x14ac:dyDescent="0.25">
      <c r="A588" s="1"/>
      <c r="B588" s="1"/>
      <c r="C588" s="1"/>
      <c r="D588" s="1"/>
      <c r="E588" s="1"/>
      <c r="F588" s="1"/>
      <c r="G588" s="3"/>
      <c r="H588" s="1"/>
    </row>
    <row r="589" spans="1:8" ht="13.2" x14ac:dyDescent="0.25">
      <c r="A589" s="1"/>
      <c r="B589" s="1"/>
      <c r="C589" s="1"/>
      <c r="D589" s="1"/>
      <c r="E589" s="1"/>
      <c r="F589" s="1"/>
      <c r="G589" s="3"/>
      <c r="H589" s="1"/>
    </row>
    <row r="590" spans="1:8" ht="13.2" x14ac:dyDescent="0.25">
      <c r="A590" s="2"/>
      <c r="B590" s="1"/>
      <c r="C590" s="1"/>
      <c r="D590" s="1"/>
      <c r="E590" s="1"/>
      <c r="F590" s="1"/>
      <c r="G590" s="3"/>
      <c r="H590" s="1"/>
    </row>
    <row r="591" spans="1:8" ht="13.2" x14ac:dyDescent="0.25">
      <c r="A591" s="2"/>
      <c r="B591" s="1"/>
      <c r="C591" s="1"/>
      <c r="D591" s="1"/>
      <c r="E591" s="1"/>
      <c r="F591" s="1"/>
      <c r="G591" s="3"/>
      <c r="H591" s="1"/>
    </row>
    <row r="592" spans="1:8" ht="13.2" x14ac:dyDescent="0.25">
      <c r="A592" s="1"/>
      <c r="B592" s="1"/>
      <c r="C592" s="1"/>
      <c r="D592" s="1"/>
      <c r="E592" s="1"/>
      <c r="F592" s="1"/>
      <c r="G592" s="3"/>
      <c r="H592" s="1"/>
    </row>
    <row r="593" spans="1:8" ht="13.2" x14ac:dyDescent="0.25">
      <c r="A593" s="2"/>
      <c r="B593" s="1"/>
      <c r="C593" s="1"/>
      <c r="D593" s="1"/>
      <c r="E593" s="1"/>
      <c r="F593" s="1"/>
      <c r="G593" s="3"/>
      <c r="H593" s="1"/>
    </row>
    <row r="594" spans="1:8" ht="13.2" x14ac:dyDescent="0.25">
      <c r="A594" s="1"/>
      <c r="B594" s="1"/>
      <c r="C594" s="1"/>
      <c r="D594" s="1"/>
      <c r="E594" s="1"/>
      <c r="F594" s="1"/>
      <c r="G594" s="1"/>
      <c r="H594" s="1"/>
    </row>
    <row r="595" spans="1:8" ht="13.2" x14ac:dyDescent="0.25">
      <c r="A595" s="1"/>
      <c r="B595" s="1"/>
      <c r="C595" s="1"/>
      <c r="D595" s="1"/>
      <c r="E595" s="1"/>
      <c r="F595" s="1"/>
      <c r="G595" s="1"/>
      <c r="H595" s="1"/>
    </row>
    <row r="596" spans="1:8" ht="13.2" x14ac:dyDescent="0.25">
      <c r="A596" s="2"/>
      <c r="B596" s="1"/>
      <c r="C596" s="1"/>
      <c r="D596" s="1"/>
      <c r="E596" s="1"/>
      <c r="F596" s="1"/>
      <c r="G596" s="3"/>
      <c r="H596" s="1"/>
    </row>
    <row r="597" spans="1:8" ht="13.2" x14ac:dyDescent="0.25">
      <c r="A597" s="1"/>
      <c r="B597" s="1"/>
      <c r="C597" s="1"/>
      <c r="D597" s="1"/>
      <c r="E597" s="1"/>
      <c r="F597" s="1"/>
      <c r="G597" s="3"/>
      <c r="H597" s="1"/>
    </row>
    <row r="598" spans="1:8" ht="13.2" x14ac:dyDescent="0.25">
      <c r="A598" s="1"/>
      <c r="B598" s="1"/>
      <c r="C598" s="1"/>
      <c r="D598" s="1"/>
      <c r="E598" s="1"/>
      <c r="F598" s="1"/>
      <c r="G598" s="3"/>
      <c r="H598" s="1"/>
    </row>
    <row r="599" spans="1:8" ht="13.2" x14ac:dyDescent="0.25">
      <c r="A599" s="1"/>
      <c r="B599" s="1"/>
      <c r="C599" s="1"/>
      <c r="D599" s="1"/>
      <c r="E599" s="1"/>
      <c r="F599" s="1"/>
      <c r="G599" s="3"/>
      <c r="H599" s="1"/>
    </row>
    <row r="600" spans="1:8" ht="13.2" x14ac:dyDescent="0.25">
      <c r="A600" s="1"/>
      <c r="B600" s="1"/>
      <c r="C600" s="1"/>
      <c r="D600" s="1"/>
      <c r="E600" s="1"/>
      <c r="F600" s="1"/>
      <c r="G600" s="3"/>
      <c r="H600" s="1"/>
    </row>
    <row r="601" spans="1:8" ht="13.2" x14ac:dyDescent="0.25">
      <c r="A601" s="1"/>
      <c r="B601" s="1"/>
      <c r="C601" s="1"/>
      <c r="D601" s="1"/>
      <c r="E601" s="1"/>
      <c r="F601" s="1"/>
      <c r="G601" s="3"/>
      <c r="H601" s="1"/>
    </row>
    <row r="602" spans="1:8" ht="13.2" x14ac:dyDescent="0.25">
      <c r="A602" s="1"/>
      <c r="B602" s="1"/>
      <c r="C602" s="1"/>
      <c r="D602" s="1"/>
      <c r="E602" s="1"/>
      <c r="F602" s="1"/>
      <c r="G602" s="3"/>
      <c r="H602" s="1"/>
    </row>
    <row r="603" spans="1:8" ht="13.2" x14ac:dyDescent="0.25">
      <c r="A603" s="1"/>
      <c r="B603" s="1"/>
      <c r="C603" s="1"/>
      <c r="D603" s="1"/>
      <c r="E603" s="1"/>
      <c r="F603" s="1"/>
      <c r="G603" s="3"/>
      <c r="H603" s="1"/>
    </row>
    <row r="604" spans="1:8" ht="13.2" x14ac:dyDescent="0.25">
      <c r="A604" s="2"/>
      <c r="B604" s="1"/>
      <c r="C604" s="1"/>
      <c r="D604" s="1"/>
      <c r="E604" s="1"/>
      <c r="F604" s="1"/>
      <c r="G604" s="3"/>
      <c r="H604" s="1"/>
    </row>
    <row r="605" spans="1:8" ht="13.2" x14ac:dyDescent="0.25">
      <c r="A605" s="2"/>
      <c r="B605" s="1"/>
      <c r="C605" s="1"/>
      <c r="D605" s="1"/>
      <c r="E605" s="1"/>
      <c r="F605" s="1"/>
      <c r="G605" s="3"/>
      <c r="H605" s="1"/>
    </row>
    <row r="606" spans="1:8" ht="13.2" x14ac:dyDescent="0.25">
      <c r="A606" s="1"/>
      <c r="B606" s="1"/>
      <c r="C606" s="1"/>
      <c r="D606" s="1"/>
      <c r="E606" s="1"/>
      <c r="F606" s="1"/>
      <c r="G606" s="3"/>
      <c r="H606" s="1"/>
    </row>
    <row r="607" spans="1:8" ht="13.2" x14ac:dyDescent="0.25">
      <c r="A607" s="1"/>
      <c r="B607" s="1"/>
      <c r="C607" s="1"/>
      <c r="D607" s="1"/>
      <c r="E607" s="1"/>
      <c r="F607" s="1"/>
      <c r="G607" s="3"/>
      <c r="H607" s="1"/>
    </row>
    <row r="608" spans="1:8" ht="13.2" x14ac:dyDescent="0.25">
      <c r="A608" s="1"/>
      <c r="B608" s="1"/>
      <c r="C608" s="1"/>
      <c r="D608" s="1"/>
      <c r="E608" s="1"/>
      <c r="F608" s="1"/>
      <c r="G608" s="3"/>
      <c r="H608" s="1"/>
    </row>
    <row r="609" spans="1:8" ht="13.2" x14ac:dyDescent="0.25">
      <c r="A609" s="2"/>
      <c r="B609" s="1"/>
      <c r="C609" s="1"/>
      <c r="D609" s="1"/>
      <c r="E609" s="1"/>
      <c r="F609" s="1"/>
      <c r="G609" s="3"/>
      <c r="H609" s="1"/>
    </row>
    <row r="610" spans="1:8" ht="13.2" x14ac:dyDescent="0.25">
      <c r="A610" s="1"/>
      <c r="B610" s="1"/>
      <c r="C610" s="1"/>
      <c r="D610" s="1"/>
      <c r="E610" s="1"/>
      <c r="F610" s="1"/>
      <c r="G610" s="3"/>
      <c r="H610" s="1"/>
    </row>
    <row r="611" spans="1:8" ht="13.2" x14ac:dyDescent="0.25">
      <c r="A611" s="1"/>
      <c r="B611" s="1"/>
      <c r="C611" s="1"/>
      <c r="D611" s="1"/>
      <c r="E611" s="1"/>
      <c r="F611" s="1"/>
      <c r="G611" s="3"/>
      <c r="H611" s="1"/>
    </row>
    <row r="612" spans="1:8" ht="13.2" x14ac:dyDescent="0.25">
      <c r="A612" s="2"/>
      <c r="B612" s="1"/>
      <c r="C612" s="1"/>
      <c r="D612" s="1"/>
      <c r="E612" s="1"/>
      <c r="F612" s="1"/>
      <c r="G612" s="3"/>
      <c r="H612" s="1"/>
    </row>
    <row r="613" spans="1:8" ht="13.2" x14ac:dyDescent="0.25">
      <c r="A613" s="1"/>
      <c r="B613" s="1"/>
      <c r="C613" s="1"/>
      <c r="D613" s="1"/>
      <c r="E613" s="1"/>
      <c r="F613" s="1"/>
      <c r="G613" s="1"/>
      <c r="H613" s="1"/>
    </row>
    <row r="614" spans="1:8" ht="13.2" x14ac:dyDescent="0.25">
      <c r="A614" s="2"/>
      <c r="B614" s="1"/>
      <c r="C614" s="1"/>
      <c r="D614" s="1"/>
      <c r="E614" s="1"/>
      <c r="F614" s="1"/>
      <c r="G614" s="3"/>
      <c r="H614" s="1"/>
    </row>
    <row r="615" spans="1:8" ht="13.2" x14ac:dyDescent="0.25">
      <c r="A615" s="2"/>
      <c r="B615" s="1"/>
      <c r="C615" s="1"/>
      <c r="D615" s="1"/>
      <c r="E615" s="1"/>
      <c r="F615" s="1"/>
      <c r="G615" s="3"/>
      <c r="H615" s="1"/>
    </row>
    <row r="616" spans="1:8" ht="13.2" x14ac:dyDescent="0.25">
      <c r="A616" s="1"/>
      <c r="B616" s="1"/>
      <c r="C616" s="1"/>
      <c r="D616" s="1"/>
      <c r="E616" s="1"/>
      <c r="F616" s="1"/>
      <c r="G616" s="3"/>
      <c r="H616" s="1"/>
    </row>
    <row r="617" spans="1:8" ht="13.2" x14ac:dyDescent="0.25">
      <c r="A617" s="1"/>
      <c r="B617" s="1"/>
      <c r="C617" s="1"/>
      <c r="D617" s="1"/>
      <c r="E617" s="1"/>
      <c r="F617" s="1"/>
      <c r="G617" s="3"/>
      <c r="H617" s="1"/>
    </row>
    <row r="618" spans="1:8" ht="13.2" x14ac:dyDescent="0.25">
      <c r="A618" s="1"/>
      <c r="B618" s="1"/>
      <c r="C618" s="1"/>
      <c r="D618" s="1"/>
      <c r="E618" s="1"/>
      <c r="F618" s="1"/>
      <c r="G618" s="3"/>
      <c r="H618" s="1"/>
    </row>
    <row r="619" spans="1:8" ht="13.2" x14ac:dyDescent="0.25">
      <c r="A619" s="1"/>
      <c r="B619" s="1"/>
      <c r="C619" s="1"/>
      <c r="D619" s="1"/>
      <c r="E619" s="1"/>
      <c r="F619" s="1"/>
      <c r="G619" s="1"/>
      <c r="H619" s="1"/>
    </row>
    <row r="620" spans="1:8" ht="13.2" x14ac:dyDescent="0.25">
      <c r="A620" s="1"/>
      <c r="B620" s="1"/>
      <c r="C620" s="1"/>
      <c r="D620" s="1"/>
      <c r="E620" s="1"/>
      <c r="F620" s="1"/>
      <c r="G620" s="3"/>
      <c r="H620" s="1"/>
    </row>
    <row r="621" spans="1:8" ht="13.2" x14ac:dyDescent="0.25">
      <c r="A621" s="1"/>
      <c r="B621" s="1"/>
      <c r="C621" s="1"/>
      <c r="D621" s="1"/>
      <c r="E621" s="1"/>
      <c r="F621" s="1"/>
      <c r="G621" s="3"/>
      <c r="H621" s="1"/>
    </row>
    <row r="622" spans="1:8" ht="13.2" x14ac:dyDescent="0.25">
      <c r="A622" s="1"/>
      <c r="B622" s="1"/>
      <c r="C622" s="1"/>
      <c r="D622" s="1"/>
      <c r="E622" s="1"/>
      <c r="F622" s="1"/>
      <c r="G622" s="3"/>
      <c r="H622" s="1"/>
    </row>
    <row r="623" spans="1:8" ht="13.2" x14ac:dyDescent="0.25">
      <c r="A623" s="2"/>
      <c r="B623" s="1"/>
      <c r="C623" s="1"/>
      <c r="D623" s="1"/>
      <c r="E623" s="1"/>
      <c r="F623" s="1"/>
      <c r="G623" s="3"/>
      <c r="H623" s="1"/>
    </row>
    <row r="624" spans="1:8" ht="13.2" x14ac:dyDescent="0.25">
      <c r="A624" s="2"/>
      <c r="B624" s="1"/>
      <c r="C624" s="1"/>
      <c r="D624" s="1"/>
      <c r="E624" s="1"/>
      <c r="F624" s="1"/>
      <c r="G624" s="3"/>
      <c r="H624" s="1"/>
    </row>
    <row r="625" spans="1:8" ht="13.2" x14ac:dyDescent="0.25">
      <c r="A625" s="2"/>
      <c r="B625" s="1"/>
      <c r="C625" s="1"/>
      <c r="D625" s="1"/>
      <c r="E625" s="1"/>
      <c r="F625" s="1"/>
      <c r="G625" s="3"/>
      <c r="H625" s="1"/>
    </row>
    <row r="626" spans="1:8" ht="13.2" x14ac:dyDescent="0.25">
      <c r="A626" s="2"/>
      <c r="B626" s="1"/>
      <c r="C626" s="1"/>
      <c r="D626" s="1"/>
      <c r="E626" s="1"/>
      <c r="F626" s="1"/>
      <c r="G626" s="3"/>
      <c r="H626" s="1"/>
    </row>
    <row r="627" spans="1:8" ht="13.2" x14ac:dyDescent="0.25">
      <c r="A627" s="1"/>
      <c r="B627" s="1"/>
      <c r="C627" s="1"/>
      <c r="D627" s="1"/>
      <c r="E627" s="1"/>
      <c r="F627" s="1"/>
      <c r="G627" s="3"/>
      <c r="H627" s="1"/>
    </row>
    <row r="628" spans="1:8" ht="13.2" x14ac:dyDescent="0.25">
      <c r="A628" s="1"/>
      <c r="B628" s="1"/>
      <c r="C628" s="1"/>
      <c r="D628" s="1"/>
      <c r="E628" s="1"/>
      <c r="F628" s="1"/>
      <c r="G628" s="1"/>
      <c r="H628" s="1"/>
    </row>
    <row r="629" spans="1:8" ht="13.2" x14ac:dyDescent="0.25">
      <c r="A629" s="2"/>
      <c r="B629" s="1"/>
      <c r="C629" s="1"/>
      <c r="D629" s="1"/>
      <c r="E629" s="1"/>
      <c r="F629" s="2"/>
      <c r="G629" s="3"/>
      <c r="H629" s="1"/>
    </row>
    <row r="630" spans="1:8" ht="13.2" x14ac:dyDescent="0.25">
      <c r="A630" s="2"/>
      <c r="B630" s="1"/>
      <c r="C630" s="1"/>
      <c r="D630" s="1"/>
      <c r="E630" s="1"/>
      <c r="F630" s="2"/>
      <c r="G630" s="3"/>
      <c r="H630" s="1"/>
    </row>
    <row r="631" spans="1:8" ht="13.2" x14ac:dyDescent="0.25">
      <c r="A631" s="2"/>
      <c r="B631" s="1"/>
      <c r="C631" s="1"/>
      <c r="D631" s="1"/>
      <c r="E631" s="1"/>
      <c r="F631" s="2"/>
      <c r="G631" s="3"/>
      <c r="H631" s="1"/>
    </row>
    <row r="632" spans="1:8" ht="13.2" x14ac:dyDescent="0.25">
      <c r="A632" s="2"/>
      <c r="B632" s="1"/>
      <c r="C632" s="1"/>
      <c r="D632" s="1"/>
      <c r="E632" s="1"/>
      <c r="F632" s="2"/>
      <c r="G632" s="3"/>
      <c r="H632" s="1"/>
    </row>
    <row r="633" spans="1:8" ht="13.2" x14ac:dyDescent="0.25">
      <c r="A633" s="2"/>
      <c r="B633" s="1"/>
      <c r="C633" s="1"/>
      <c r="D633" s="1"/>
      <c r="E633" s="1"/>
      <c r="F633" s="2"/>
      <c r="G633" s="3"/>
      <c r="H633" s="1"/>
    </row>
    <row r="634" spans="1:8" ht="13.2" x14ac:dyDescent="0.25">
      <c r="A634" s="2"/>
      <c r="B634" s="1"/>
      <c r="C634" s="1"/>
      <c r="D634" s="1"/>
      <c r="E634" s="1"/>
      <c r="F634" s="2"/>
      <c r="G634" s="3"/>
      <c r="H634" s="1"/>
    </row>
    <row r="635" spans="1:8" ht="13.2" x14ac:dyDescent="0.25">
      <c r="A635" s="2"/>
      <c r="B635" s="1"/>
      <c r="C635" s="1"/>
      <c r="D635" s="1"/>
      <c r="E635" s="1"/>
      <c r="F635" s="2"/>
      <c r="G635" s="3"/>
      <c r="H635" s="1"/>
    </row>
    <row r="636" spans="1:8" ht="13.2" x14ac:dyDescent="0.25">
      <c r="A636" s="2"/>
      <c r="B636" s="1"/>
      <c r="C636" s="1"/>
      <c r="D636" s="1"/>
      <c r="E636" s="1"/>
      <c r="F636" s="2"/>
      <c r="G636" s="3"/>
      <c r="H636" s="1"/>
    </row>
    <row r="637" spans="1:8" ht="13.2" x14ac:dyDescent="0.25">
      <c r="A637" s="2"/>
      <c r="B637" s="1"/>
      <c r="C637" s="1"/>
      <c r="D637" s="1"/>
      <c r="E637" s="1"/>
      <c r="F637" s="2"/>
      <c r="G637" s="3"/>
      <c r="H637" s="1"/>
    </row>
    <row r="638" spans="1:8" ht="13.2" x14ac:dyDescent="0.25">
      <c r="A638" s="2"/>
      <c r="B638" s="1"/>
      <c r="C638" s="1"/>
      <c r="D638" s="1"/>
      <c r="E638" s="1"/>
      <c r="F638" s="2"/>
      <c r="G638" s="3"/>
      <c r="H638" s="1"/>
    </row>
    <row r="639" spans="1:8" ht="13.2" x14ac:dyDescent="0.25">
      <c r="A639" s="2"/>
      <c r="B639" s="1"/>
      <c r="C639" s="1"/>
      <c r="D639" s="1"/>
      <c r="E639" s="1"/>
      <c r="F639" s="2"/>
      <c r="G639" s="3"/>
      <c r="H639" s="1"/>
    </row>
    <row r="640" spans="1:8" ht="13.2" x14ac:dyDescent="0.25">
      <c r="A640" s="2"/>
      <c r="B640" s="1"/>
      <c r="C640" s="1"/>
      <c r="D640" s="1"/>
      <c r="E640" s="1"/>
      <c r="F640" s="2"/>
      <c r="G640" s="3"/>
      <c r="H640" s="1"/>
    </row>
    <row r="641" spans="1:8" ht="13.2" x14ac:dyDescent="0.25">
      <c r="A641" s="2"/>
      <c r="B641" s="1"/>
      <c r="C641" s="1"/>
      <c r="D641" s="1"/>
      <c r="E641" s="1"/>
      <c r="F641" s="1"/>
      <c r="G641" s="3"/>
      <c r="H641" s="1"/>
    </row>
    <row r="642" spans="1:8" ht="13.2" x14ac:dyDescent="0.25">
      <c r="A642" s="2"/>
      <c r="B642" s="1"/>
      <c r="C642" s="1"/>
      <c r="D642" s="1"/>
      <c r="E642" s="1"/>
      <c r="F642" s="1"/>
      <c r="G642" s="3"/>
      <c r="H642" s="1"/>
    </row>
    <row r="643" spans="1:8" ht="13.2" x14ac:dyDescent="0.25">
      <c r="A643" s="1"/>
      <c r="B643" s="1"/>
      <c r="C643" s="1"/>
      <c r="D643" s="1"/>
      <c r="E643" s="1"/>
      <c r="F643" s="1"/>
      <c r="G643" s="3"/>
      <c r="H643" s="1"/>
    </row>
    <row r="644" spans="1:8" ht="13.2" x14ac:dyDescent="0.25">
      <c r="A644" s="1"/>
      <c r="B644" s="1"/>
      <c r="C644" s="1"/>
      <c r="D644" s="1"/>
      <c r="E644" s="1"/>
      <c r="F644" s="1"/>
      <c r="G644" s="1"/>
      <c r="H644" s="1"/>
    </row>
    <row r="645" spans="1:8" ht="13.2" x14ac:dyDescent="0.25">
      <c r="A645" s="1"/>
      <c r="B645" s="1"/>
      <c r="C645" s="1"/>
      <c r="D645" s="1"/>
      <c r="E645" s="1"/>
      <c r="F645" s="1"/>
      <c r="G645" s="3"/>
      <c r="H645" s="1"/>
    </row>
    <row r="646" spans="1:8" ht="13.2" x14ac:dyDescent="0.25">
      <c r="A646" s="1"/>
      <c r="B646" s="1"/>
      <c r="C646" s="1"/>
      <c r="D646" s="1"/>
      <c r="E646" s="1"/>
      <c r="F646" s="1"/>
      <c r="G646" s="3"/>
      <c r="H646" s="1"/>
    </row>
    <row r="647" spans="1:8" ht="13.2" x14ac:dyDescent="0.25">
      <c r="A647" s="2"/>
      <c r="B647" s="1"/>
      <c r="C647" s="1"/>
      <c r="D647" s="1"/>
      <c r="E647" s="1"/>
      <c r="F647" s="1"/>
      <c r="G647" s="3"/>
      <c r="H647" s="1"/>
    </row>
    <row r="648" spans="1:8" ht="13.2" x14ac:dyDescent="0.25">
      <c r="A648" s="1"/>
      <c r="B648" s="1"/>
      <c r="C648" s="1"/>
      <c r="D648" s="1"/>
      <c r="E648" s="1"/>
      <c r="F648" s="1"/>
      <c r="G648" s="1"/>
      <c r="H648" s="1"/>
    </row>
    <row r="649" spans="1:8" ht="13.2" x14ac:dyDescent="0.25">
      <c r="A649" s="2"/>
      <c r="B649" s="1"/>
      <c r="C649" s="1"/>
      <c r="D649" s="1"/>
      <c r="E649" s="1"/>
      <c r="F649" s="1"/>
      <c r="G649" s="3"/>
      <c r="H649" s="1"/>
    </row>
    <row r="650" spans="1:8" ht="13.2" x14ac:dyDescent="0.25">
      <c r="A650" s="2"/>
      <c r="B650" s="1"/>
      <c r="C650" s="1"/>
      <c r="D650" s="1"/>
      <c r="E650" s="1"/>
      <c r="F650" s="1"/>
      <c r="G650" s="3"/>
      <c r="H650" s="1"/>
    </row>
    <row r="651" spans="1:8" ht="13.2" x14ac:dyDescent="0.25">
      <c r="A651" s="1"/>
      <c r="B651" s="1"/>
      <c r="C651" s="1"/>
      <c r="D651" s="1"/>
      <c r="E651" s="1"/>
      <c r="F651" s="1"/>
      <c r="G651" s="3"/>
      <c r="H651" s="1"/>
    </row>
    <row r="652" spans="1:8" ht="13.2" x14ac:dyDescent="0.25">
      <c r="A652" s="1"/>
      <c r="B652" s="1"/>
      <c r="C652" s="1"/>
      <c r="D652" s="1"/>
      <c r="E652" s="1"/>
      <c r="F652" s="1"/>
      <c r="G652" s="3"/>
      <c r="H652" s="1"/>
    </row>
    <row r="653" spans="1:8" ht="13.2" x14ac:dyDescent="0.25">
      <c r="A653" s="1"/>
      <c r="B653" s="1"/>
      <c r="C653" s="1"/>
      <c r="D653" s="1"/>
      <c r="E653" s="1"/>
      <c r="F653" s="1"/>
      <c r="G653" s="3"/>
      <c r="H653" s="1"/>
    </row>
    <row r="654" spans="1:8" ht="13.2" x14ac:dyDescent="0.25">
      <c r="A654" s="1"/>
      <c r="B654" s="1"/>
      <c r="C654" s="1"/>
      <c r="D654" s="1"/>
      <c r="E654" s="1"/>
      <c r="F654" s="1"/>
      <c r="G654" s="1"/>
      <c r="H654" s="1"/>
    </row>
    <row r="655" spans="1:8" ht="13.2" x14ac:dyDescent="0.25">
      <c r="A655" s="1"/>
      <c r="B655" s="1"/>
      <c r="C655" s="1"/>
      <c r="D655" s="1"/>
      <c r="E655" s="1"/>
      <c r="F655" s="1"/>
      <c r="G655" s="3"/>
      <c r="H655" s="1"/>
    </row>
    <row r="656" spans="1:8" ht="13.2" x14ac:dyDescent="0.25">
      <c r="A656" s="1"/>
      <c r="B656" s="1"/>
      <c r="C656" s="1"/>
      <c r="D656" s="1"/>
      <c r="E656" s="1"/>
      <c r="F656" s="1"/>
      <c r="G656" s="3"/>
      <c r="H656" s="1"/>
    </row>
    <row r="657" spans="1:8" ht="13.2" x14ac:dyDescent="0.25">
      <c r="A657" s="2"/>
      <c r="B657" s="1"/>
      <c r="C657" s="1"/>
      <c r="D657" s="1"/>
      <c r="E657" s="1"/>
      <c r="F657" s="1"/>
      <c r="G657" s="3"/>
      <c r="H657" s="1"/>
    </row>
    <row r="658" spans="1:8" ht="13.2" x14ac:dyDescent="0.25">
      <c r="A658" s="1"/>
      <c r="B658" s="1"/>
      <c r="C658" s="1"/>
      <c r="D658" s="1"/>
      <c r="E658" s="1"/>
      <c r="F658" s="1"/>
      <c r="G658" s="3"/>
      <c r="H658" s="1"/>
    </row>
    <row r="659" spans="1:8" ht="13.2" x14ac:dyDescent="0.25">
      <c r="A659" s="1"/>
      <c r="B659" s="1"/>
      <c r="C659" s="1"/>
      <c r="D659" s="1"/>
      <c r="E659" s="1"/>
      <c r="F659" s="1"/>
      <c r="G659" s="3"/>
      <c r="H659" s="1"/>
    </row>
    <row r="660" spans="1:8" ht="13.2" x14ac:dyDescent="0.25">
      <c r="A660" s="1"/>
      <c r="B660" s="1"/>
      <c r="C660" s="1"/>
      <c r="D660" s="1"/>
      <c r="E660" s="1"/>
      <c r="F660" s="1"/>
      <c r="G660" s="3"/>
      <c r="H660" s="1"/>
    </row>
    <row r="661" spans="1:8" ht="13.2" x14ac:dyDescent="0.25">
      <c r="A661" s="1"/>
      <c r="B661" s="1"/>
      <c r="C661" s="1"/>
      <c r="D661" s="1"/>
      <c r="E661" s="1"/>
      <c r="F661" s="1"/>
      <c r="G661" s="3"/>
      <c r="H661" s="1"/>
    </row>
    <row r="662" spans="1:8" ht="13.2" x14ac:dyDescent="0.25">
      <c r="A662" s="2"/>
      <c r="B662" s="1"/>
      <c r="C662" s="1"/>
      <c r="D662" s="1"/>
      <c r="E662" s="1"/>
      <c r="F662" s="1"/>
      <c r="G662" s="3"/>
      <c r="H662" s="1"/>
    </row>
    <row r="663" spans="1:8" ht="13.2" x14ac:dyDescent="0.25">
      <c r="A663" s="1"/>
      <c r="B663" s="1"/>
      <c r="C663" s="1"/>
      <c r="D663" s="1"/>
      <c r="E663" s="1"/>
      <c r="F663" s="1"/>
      <c r="G663" s="1"/>
      <c r="H663" s="1"/>
    </row>
    <row r="664" spans="1:8" ht="13.2" x14ac:dyDescent="0.25">
      <c r="A664" s="1"/>
      <c r="B664" s="1"/>
      <c r="C664" s="1"/>
      <c r="D664" s="1"/>
      <c r="E664" s="1"/>
      <c r="F664" s="1"/>
      <c r="G664" s="1"/>
      <c r="H664" s="1"/>
    </row>
    <row r="665" spans="1:8" ht="13.2" x14ac:dyDescent="0.25">
      <c r="A665" s="1"/>
      <c r="B665" s="1"/>
      <c r="C665" s="1"/>
      <c r="D665" s="1"/>
      <c r="E665" s="1"/>
      <c r="F665" s="1"/>
      <c r="G665" s="1"/>
      <c r="H665" s="1"/>
    </row>
    <row r="666" spans="1:8" ht="13.2" x14ac:dyDescent="0.25">
      <c r="A666" s="1"/>
      <c r="B666" s="1"/>
      <c r="C666" s="1"/>
      <c r="D666" s="1"/>
      <c r="E666" s="1"/>
      <c r="F666" s="1"/>
      <c r="G666" s="3"/>
      <c r="H666" s="1"/>
    </row>
    <row r="667" spans="1:8" ht="13.2" x14ac:dyDescent="0.25">
      <c r="A667" s="1"/>
      <c r="B667" s="1"/>
      <c r="C667" s="1"/>
      <c r="D667" s="1"/>
      <c r="E667" s="1"/>
      <c r="F667" s="1"/>
      <c r="G667" s="3"/>
      <c r="H667" s="1"/>
    </row>
    <row r="668" spans="1:8" ht="13.2" x14ac:dyDescent="0.25">
      <c r="A668" s="1"/>
      <c r="B668" s="1"/>
      <c r="C668" s="1"/>
      <c r="D668" s="1"/>
      <c r="E668" s="1"/>
      <c r="F668" s="1"/>
      <c r="G668" s="3"/>
      <c r="H668" s="1"/>
    </row>
    <row r="669" spans="1:8" ht="13.2" x14ac:dyDescent="0.25">
      <c r="A669" s="1"/>
      <c r="B669" s="1"/>
      <c r="C669" s="1"/>
      <c r="D669" s="1"/>
      <c r="E669" s="1"/>
      <c r="F669" s="1"/>
      <c r="G669" s="3"/>
      <c r="H669" s="1"/>
    </row>
    <row r="670" spans="1:8" ht="13.2" x14ac:dyDescent="0.25">
      <c r="A670" s="1"/>
      <c r="B670" s="1"/>
      <c r="C670" s="1"/>
      <c r="D670" s="1"/>
      <c r="E670" s="1"/>
      <c r="F670" s="1"/>
      <c r="G670" s="3"/>
      <c r="H670" s="1"/>
    </row>
    <row r="671" spans="1:8" ht="13.2" x14ac:dyDescent="0.25">
      <c r="A671" s="1"/>
      <c r="B671" s="1"/>
      <c r="C671" s="1"/>
      <c r="D671" s="1"/>
      <c r="E671" s="1"/>
      <c r="F671" s="1"/>
      <c r="G671" s="3"/>
      <c r="H671" s="1"/>
    </row>
    <row r="672" spans="1:8" ht="13.2" x14ac:dyDescent="0.25">
      <c r="A672" s="1"/>
      <c r="B672" s="1"/>
      <c r="C672" s="1"/>
      <c r="D672" s="1"/>
      <c r="E672" s="1"/>
      <c r="F672" s="1"/>
      <c r="G672" s="3"/>
      <c r="H672" s="1"/>
    </row>
    <row r="673" spans="1:8" ht="13.2" x14ac:dyDescent="0.25">
      <c r="A673" s="1"/>
      <c r="B673" s="1"/>
      <c r="C673" s="1"/>
      <c r="D673" s="1"/>
      <c r="E673" s="1"/>
      <c r="F673" s="1"/>
      <c r="G673" s="1"/>
      <c r="H673" s="1"/>
    </row>
    <row r="674" spans="1:8" ht="13.2" x14ac:dyDescent="0.25">
      <c r="A674" s="1"/>
      <c r="B674" s="1"/>
      <c r="C674" s="1"/>
      <c r="D674" s="1"/>
      <c r="E674" s="1"/>
      <c r="F674" s="1"/>
      <c r="G674" s="3"/>
      <c r="H674" s="1"/>
    </row>
    <row r="675" spans="1:8" ht="13.2" x14ac:dyDescent="0.25">
      <c r="A675" s="1"/>
      <c r="B675" s="1"/>
      <c r="C675" s="1"/>
      <c r="D675" s="1"/>
      <c r="E675" s="1"/>
      <c r="F675" s="1"/>
      <c r="G675" s="3"/>
      <c r="H675" s="1"/>
    </row>
    <row r="676" spans="1:8" ht="13.2" x14ac:dyDescent="0.25">
      <c r="A676" s="1"/>
      <c r="B676" s="1"/>
      <c r="C676" s="1"/>
      <c r="D676" s="1"/>
      <c r="E676" s="1"/>
      <c r="F676" s="1"/>
      <c r="G676" s="3"/>
      <c r="H676" s="1"/>
    </row>
    <row r="677" spans="1:8" ht="13.2" x14ac:dyDescent="0.25">
      <c r="A677" s="1"/>
      <c r="B677" s="1"/>
      <c r="C677" s="1"/>
      <c r="D677" s="1"/>
      <c r="E677" s="1"/>
      <c r="F677" s="1"/>
      <c r="G677" s="3"/>
      <c r="H677" s="1"/>
    </row>
    <row r="678" spans="1:8" ht="13.2" x14ac:dyDescent="0.25">
      <c r="A678" s="2"/>
      <c r="B678" s="1"/>
      <c r="C678" s="1"/>
      <c r="D678" s="1"/>
      <c r="E678" s="1"/>
      <c r="F678" s="1"/>
      <c r="G678" s="3"/>
      <c r="H678" s="1"/>
    </row>
    <row r="679" spans="1:8" ht="13.2" x14ac:dyDescent="0.25">
      <c r="A679" s="1"/>
      <c r="B679" s="1"/>
      <c r="C679" s="1"/>
      <c r="D679" s="1"/>
      <c r="E679" s="1"/>
      <c r="F679" s="1"/>
      <c r="G679" s="3"/>
      <c r="H679" s="1"/>
    </row>
    <row r="680" spans="1:8" ht="13.2" x14ac:dyDescent="0.25">
      <c r="A680" s="1"/>
      <c r="B680" s="1"/>
      <c r="C680" s="1"/>
      <c r="D680" s="1"/>
      <c r="E680" s="1"/>
      <c r="F680" s="1"/>
      <c r="G680" s="3"/>
      <c r="H680" s="1"/>
    </row>
    <row r="681" spans="1:8" ht="13.2" x14ac:dyDescent="0.25">
      <c r="A681" s="1"/>
      <c r="B681" s="1"/>
      <c r="C681" s="1"/>
      <c r="D681" s="1"/>
      <c r="E681" s="1"/>
      <c r="F681" s="1"/>
      <c r="G681" s="3"/>
      <c r="H681" s="1"/>
    </row>
    <row r="682" spans="1:8" ht="13.2" x14ac:dyDescent="0.25">
      <c r="A682" s="1"/>
      <c r="B682" s="1"/>
      <c r="C682" s="1"/>
      <c r="D682" s="1"/>
      <c r="E682" s="1"/>
      <c r="F682" s="1"/>
      <c r="G682" s="3"/>
      <c r="H682" s="1"/>
    </row>
    <row r="683" spans="1:8" ht="13.2" x14ac:dyDescent="0.25">
      <c r="A683" s="1"/>
      <c r="B683" s="1"/>
      <c r="C683" s="1"/>
      <c r="D683" s="1"/>
      <c r="E683" s="1"/>
      <c r="F683" s="1"/>
      <c r="G683" s="3"/>
      <c r="H683" s="1"/>
    </row>
    <row r="684" spans="1:8" ht="13.2" x14ac:dyDescent="0.25">
      <c r="A684" s="1"/>
      <c r="B684" s="1"/>
      <c r="C684" s="1"/>
      <c r="D684" s="1"/>
      <c r="E684" s="1"/>
      <c r="F684" s="1"/>
      <c r="G684" s="3"/>
      <c r="H684" s="1"/>
    </row>
    <row r="685" spans="1:8" ht="13.2" x14ac:dyDescent="0.25">
      <c r="A685" s="2"/>
      <c r="B685" s="1"/>
      <c r="C685" s="1"/>
      <c r="D685" s="1"/>
      <c r="E685" s="1"/>
      <c r="F685" s="1"/>
      <c r="G685" s="3"/>
      <c r="H685" s="1"/>
    </row>
    <row r="686" spans="1:8" ht="13.2" x14ac:dyDescent="0.25">
      <c r="A686" s="1"/>
      <c r="B686" s="1"/>
      <c r="C686" s="1"/>
      <c r="D686" s="1"/>
      <c r="E686" s="1"/>
      <c r="F686" s="1"/>
      <c r="G686" s="3"/>
      <c r="H686" s="1"/>
    </row>
    <row r="687" spans="1:8" ht="13.2" x14ac:dyDescent="0.25">
      <c r="A687" s="1"/>
      <c r="B687" s="1"/>
      <c r="C687" s="1"/>
      <c r="D687" s="1"/>
      <c r="E687" s="1"/>
      <c r="F687" s="1"/>
      <c r="G687" s="3"/>
      <c r="H687" s="1"/>
    </row>
    <row r="688" spans="1:8" ht="13.2" x14ac:dyDescent="0.25">
      <c r="A688" s="1"/>
      <c r="B688" s="1"/>
      <c r="C688" s="1"/>
      <c r="D688" s="1"/>
      <c r="E688" s="1"/>
      <c r="F688" s="1"/>
      <c r="G688" s="3"/>
      <c r="H688" s="1"/>
    </row>
    <row r="689" spans="1:8" ht="13.2" x14ac:dyDescent="0.25">
      <c r="A689" s="1"/>
      <c r="B689" s="1"/>
      <c r="C689" s="1"/>
      <c r="D689" s="1"/>
      <c r="E689" s="1"/>
      <c r="F689" s="1"/>
      <c r="G689" s="3"/>
      <c r="H689" s="1"/>
    </row>
    <row r="690" spans="1:8" ht="13.2" x14ac:dyDescent="0.25">
      <c r="A690" s="1"/>
      <c r="B690" s="1"/>
      <c r="C690" s="1"/>
      <c r="D690" s="1"/>
      <c r="E690" s="1"/>
      <c r="F690" s="1"/>
      <c r="G690" s="3"/>
      <c r="H690" s="1"/>
    </row>
    <row r="691" spans="1:8" ht="13.2" x14ac:dyDescent="0.25">
      <c r="A691" s="2"/>
      <c r="B691" s="1"/>
      <c r="C691" s="1"/>
      <c r="D691" s="1"/>
      <c r="E691" s="1"/>
      <c r="F691" s="1"/>
      <c r="G691" s="3"/>
      <c r="H691" s="1"/>
    </row>
    <row r="692" spans="1:8" ht="13.2" x14ac:dyDescent="0.25">
      <c r="A692" s="2"/>
      <c r="B692" s="1"/>
      <c r="C692" s="1"/>
      <c r="D692" s="1"/>
      <c r="E692" s="1"/>
      <c r="F692" s="1"/>
      <c r="G692" s="3"/>
      <c r="H692" s="1"/>
    </row>
    <row r="693" spans="1:8" ht="13.2" x14ac:dyDescent="0.25">
      <c r="A693" s="2"/>
      <c r="B693" s="1"/>
      <c r="C693" s="1"/>
      <c r="D693" s="1"/>
      <c r="E693" s="1"/>
      <c r="F693" s="1"/>
      <c r="G693" s="3"/>
      <c r="H693" s="1"/>
    </row>
    <row r="694" spans="1:8" ht="13.2" x14ac:dyDescent="0.25">
      <c r="A694" s="2"/>
      <c r="B694" s="1"/>
      <c r="C694" s="1"/>
      <c r="D694" s="1"/>
      <c r="E694" s="1"/>
      <c r="F694" s="2"/>
      <c r="G694" s="3"/>
      <c r="H694" s="1"/>
    </row>
    <row r="695" spans="1:8" ht="13.2" x14ac:dyDescent="0.25">
      <c r="A695" s="2"/>
      <c r="B695" s="1"/>
      <c r="C695" s="1"/>
      <c r="D695" s="1"/>
      <c r="E695" s="1"/>
      <c r="F695" s="1"/>
      <c r="G695" s="3"/>
      <c r="H695" s="1"/>
    </row>
    <row r="696" spans="1:8" ht="13.2" x14ac:dyDescent="0.25">
      <c r="A696" s="2"/>
      <c r="B696" s="1"/>
      <c r="C696" s="1"/>
      <c r="D696" s="1"/>
      <c r="E696" s="1"/>
      <c r="F696" s="1"/>
      <c r="G696" s="3"/>
      <c r="H696" s="1"/>
    </row>
    <row r="697" spans="1:8" ht="13.2" x14ac:dyDescent="0.25">
      <c r="A697" s="1"/>
      <c r="B697" s="1"/>
      <c r="C697" s="1"/>
      <c r="D697" s="1"/>
      <c r="E697" s="1"/>
      <c r="F697" s="1"/>
      <c r="G697" s="3"/>
      <c r="H697" s="1"/>
    </row>
    <row r="698" spans="1:8" ht="13.2" x14ac:dyDescent="0.25">
      <c r="A698" s="1"/>
      <c r="B698" s="1"/>
      <c r="C698" s="1"/>
      <c r="D698" s="1"/>
      <c r="E698" s="1"/>
      <c r="F698" s="1"/>
      <c r="G698" s="3"/>
      <c r="H698" s="1"/>
    </row>
    <row r="699" spans="1:8" ht="13.2" x14ac:dyDescent="0.25">
      <c r="A699" s="1"/>
      <c r="B699" s="1"/>
      <c r="C699" s="1"/>
      <c r="D699" s="1"/>
      <c r="E699" s="1"/>
      <c r="F699" s="1"/>
      <c r="G699" s="3"/>
      <c r="H699" s="1"/>
    </row>
    <row r="700" spans="1:8" ht="13.2" x14ac:dyDescent="0.25">
      <c r="A700" s="1"/>
      <c r="B700" s="1"/>
      <c r="C700" s="1"/>
      <c r="D700" s="1"/>
      <c r="E700" s="1"/>
      <c r="F700" s="1"/>
      <c r="G700" s="3"/>
      <c r="H700" s="1"/>
    </row>
    <row r="701" spans="1:8" ht="13.2" x14ac:dyDescent="0.25">
      <c r="A701" s="1"/>
      <c r="B701" s="1"/>
      <c r="C701" s="1"/>
      <c r="D701" s="1"/>
      <c r="E701" s="1"/>
      <c r="F701" s="1"/>
      <c r="G701" s="3"/>
      <c r="H701" s="1"/>
    </row>
    <row r="702" spans="1:8" ht="13.2" x14ac:dyDescent="0.25">
      <c r="A702" s="1"/>
      <c r="B702" s="1"/>
      <c r="C702" s="1"/>
      <c r="D702" s="1"/>
      <c r="E702" s="1"/>
      <c r="F702" s="1"/>
      <c r="G702" s="3"/>
      <c r="H702" s="1"/>
    </row>
    <row r="703" spans="1:8" ht="13.2" x14ac:dyDescent="0.25">
      <c r="A703" s="2"/>
      <c r="B703" s="1"/>
      <c r="C703" s="1"/>
      <c r="D703" s="1"/>
      <c r="E703" s="1"/>
      <c r="F703" s="1"/>
      <c r="G703" s="3"/>
      <c r="H703" s="1"/>
    </row>
    <row r="704" spans="1:8" ht="13.2" x14ac:dyDescent="0.25">
      <c r="A704" s="1"/>
      <c r="B704" s="1"/>
      <c r="C704" s="1"/>
      <c r="D704" s="1"/>
      <c r="E704" s="1"/>
      <c r="F704" s="1"/>
      <c r="G704" s="3"/>
      <c r="H704" s="1"/>
    </row>
    <row r="705" spans="1:8" ht="13.2" x14ac:dyDescent="0.25">
      <c r="A705" s="2"/>
      <c r="B705" s="1"/>
      <c r="C705" s="1"/>
      <c r="D705" s="1"/>
      <c r="E705" s="1"/>
      <c r="F705" s="1"/>
      <c r="G705" s="3"/>
      <c r="H705" s="1"/>
    </row>
    <row r="706" spans="1:8" ht="13.2" x14ac:dyDescent="0.25">
      <c r="A706" s="1"/>
      <c r="B706" s="1"/>
      <c r="C706" s="1"/>
      <c r="D706" s="1"/>
      <c r="E706" s="1"/>
      <c r="F706" s="1"/>
      <c r="G706" s="3"/>
      <c r="H706" s="1"/>
    </row>
    <row r="707" spans="1:8" ht="13.2" x14ac:dyDescent="0.25">
      <c r="A707" s="1"/>
      <c r="B707" s="1"/>
      <c r="C707" s="1"/>
      <c r="D707" s="1"/>
      <c r="E707" s="1"/>
      <c r="F707" s="1"/>
      <c r="G707" s="3"/>
      <c r="H707" s="1"/>
    </row>
    <row r="708" spans="1:8" ht="13.2" x14ac:dyDescent="0.25">
      <c r="A708" s="1"/>
      <c r="B708" s="1"/>
      <c r="C708" s="1"/>
      <c r="D708" s="1"/>
      <c r="E708" s="1"/>
      <c r="F708" s="1"/>
      <c r="G708" s="1"/>
      <c r="H708" s="1"/>
    </row>
    <row r="709" spans="1:8" ht="13.2" x14ac:dyDescent="0.25">
      <c r="A709" s="1"/>
      <c r="B709" s="1"/>
      <c r="C709" s="1"/>
      <c r="D709" s="1"/>
      <c r="E709" s="1"/>
      <c r="F709" s="1"/>
      <c r="G709" s="3"/>
      <c r="H709" s="1"/>
    </row>
    <row r="710" spans="1:8" ht="13.2" x14ac:dyDescent="0.25">
      <c r="A710" s="1"/>
      <c r="B710" s="1"/>
      <c r="C710" s="1"/>
      <c r="D710" s="1"/>
      <c r="E710" s="1"/>
      <c r="F710" s="1"/>
      <c r="G710" s="3"/>
      <c r="H710" s="1"/>
    </row>
    <row r="711" spans="1:8" ht="13.2" x14ac:dyDescent="0.25">
      <c r="A711" s="2"/>
      <c r="B711" s="1"/>
      <c r="C711" s="1"/>
      <c r="D711" s="1"/>
      <c r="E711" s="1"/>
      <c r="F711" s="1"/>
      <c r="G711" s="3"/>
      <c r="H711" s="1"/>
    </row>
    <row r="712" spans="1:8" ht="13.2" x14ac:dyDescent="0.25">
      <c r="A712" s="1"/>
      <c r="B712" s="1"/>
      <c r="C712" s="1"/>
      <c r="D712" s="1"/>
      <c r="E712" s="1"/>
      <c r="F712" s="1"/>
      <c r="G712" s="3"/>
      <c r="H712" s="1"/>
    </row>
    <row r="713" spans="1:8" ht="13.2" x14ac:dyDescent="0.25">
      <c r="A713" s="2"/>
      <c r="B713" s="1"/>
      <c r="C713" s="1"/>
      <c r="D713" s="1"/>
      <c r="E713" s="1"/>
      <c r="F713" s="1"/>
      <c r="G713" s="3"/>
      <c r="H713" s="1"/>
    </row>
    <row r="714" spans="1:8" ht="13.2" x14ac:dyDescent="0.25">
      <c r="A714" s="2"/>
      <c r="B714" s="1"/>
      <c r="C714" s="1"/>
      <c r="D714" s="1"/>
      <c r="E714" s="1"/>
      <c r="F714" s="1"/>
      <c r="G714" s="3"/>
      <c r="H714" s="1"/>
    </row>
    <row r="715" spans="1:8" ht="13.2" x14ac:dyDescent="0.25">
      <c r="A715" s="1"/>
      <c r="B715" s="1"/>
      <c r="C715" s="1"/>
      <c r="D715" s="1"/>
      <c r="E715" s="1"/>
      <c r="F715" s="1"/>
      <c r="G715" s="3"/>
      <c r="H715" s="1"/>
    </row>
    <row r="716" spans="1:8" ht="13.2" x14ac:dyDescent="0.25">
      <c r="A716" s="1"/>
      <c r="B716" s="1"/>
      <c r="C716" s="1"/>
      <c r="D716" s="1"/>
      <c r="E716" s="1"/>
      <c r="F716" s="1"/>
      <c r="G716" s="3"/>
      <c r="H716" s="1"/>
    </row>
    <row r="717" spans="1:8" ht="13.2" x14ac:dyDescent="0.25">
      <c r="A717" s="1"/>
      <c r="B717" s="1"/>
      <c r="C717" s="1"/>
      <c r="D717" s="1"/>
      <c r="E717" s="1"/>
      <c r="F717" s="1"/>
      <c r="G717" s="3"/>
      <c r="H717" s="1"/>
    </row>
    <row r="718" spans="1:8" ht="13.2" x14ac:dyDescent="0.25">
      <c r="A718" s="1"/>
      <c r="B718" s="1"/>
      <c r="C718" s="1"/>
      <c r="D718" s="1"/>
      <c r="E718" s="1"/>
      <c r="F718" s="1"/>
      <c r="G718" s="3"/>
      <c r="H718" s="1"/>
    </row>
    <row r="719" spans="1:8" ht="13.2" x14ac:dyDescent="0.25">
      <c r="A719" s="1"/>
      <c r="B719" s="1"/>
      <c r="C719" s="1"/>
      <c r="D719" s="1"/>
      <c r="E719" s="1"/>
      <c r="F719" s="1"/>
      <c r="G719" s="3"/>
      <c r="H719" s="1"/>
    </row>
    <row r="720" spans="1:8" ht="13.2" x14ac:dyDescent="0.25">
      <c r="A720" s="1"/>
      <c r="B720" s="1"/>
      <c r="C720" s="1"/>
      <c r="D720" s="1"/>
      <c r="E720" s="1"/>
      <c r="F720" s="1"/>
      <c r="G720" s="3"/>
      <c r="H720" s="1"/>
    </row>
    <row r="721" spans="1:8" ht="13.2" x14ac:dyDescent="0.25">
      <c r="A721" s="1"/>
      <c r="B721" s="1"/>
      <c r="C721" s="1"/>
      <c r="D721" s="1"/>
      <c r="E721" s="1"/>
      <c r="F721" s="1"/>
      <c r="G721" s="3"/>
      <c r="H721" s="1"/>
    </row>
    <row r="722" spans="1:8" ht="13.2" x14ac:dyDescent="0.25">
      <c r="A722" s="2"/>
      <c r="B722" s="1"/>
      <c r="C722" s="1"/>
      <c r="D722" s="1"/>
      <c r="E722" s="1"/>
      <c r="F722" s="1"/>
      <c r="G722" s="3"/>
      <c r="H722" s="1"/>
    </row>
    <row r="723" spans="1:8" ht="13.2" x14ac:dyDescent="0.25">
      <c r="A723" s="2"/>
      <c r="B723" s="1"/>
      <c r="C723" s="1"/>
      <c r="D723" s="1"/>
      <c r="E723" s="1"/>
      <c r="F723" s="1"/>
      <c r="G723" s="3"/>
      <c r="H723" s="1"/>
    </row>
    <row r="724" spans="1:8" ht="13.2" x14ac:dyDescent="0.25">
      <c r="A724" s="1"/>
      <c r="B724" s="1"/>
      <c r="C724" s="1"/>
      <c r="D724" s="1"/>
      <c r="E724" s="1"/>
      <c r="F724" s="1"/>
      <c r="G724" s="3"/>
      <c r="H724" s="1"/>
    </row>
    <row r="725" spans="1:8" ht="13.2" x14ac:dyDescent="0.25">
      <c r="A725" s="1"/>
      <c r="B725" s="1"/>
      <c r="C725" s="1"/>
      <c r="D725" s="1"/>
      <c r="E725" s="1"/>
      <c r="F725" s="1"/>
      <c r="G725" s="3"/>
      <c r="H725" s="1"/>
    </row>
    <row r="726" spans="1:8" ht="13.2" x14ac:dyDescent="0.25">
      <c r="A726" s="1"/>
      <c r="B726" s="1"/>
      <c r="C726" s="1"/>
      <c r="D726" s="1"/>
      <c r="E726" s="1"/>
      <c r="F726" s="1"/>
      <c r="G726" s="3"/>
      <c r="H726" s="1"/>
    </row>
    <row r="727" spans="1:8" ht="13.2" x14ac:dyDescent="0.25">
      <c r="A727" s="1"/>
      <c r="B727" s="1"/>
      <c r="C727" s="1"/>
      <c r="D727" s="1"/>
      <c r="E727" s="1"/>
      <c r="F727" s="1"/>
      <c r="G727" s="3"/>
      <c r="H727" s="1"/>
    </row>
    <row r="728" spans="1:8" ht="13.2" x14ac:dyDescent="0.25">
      <c r="A728" s="1"/>
      <c r="B728" s="1"/>
      <c r="C728" s="1"/>
      <c r="D728" s="1"/>
      <c r="E728" s="1"/>
      <c r="F728" s="1"/>
      <c r="G728" s="3"/>
      <c r="H728" s="1"/>
    </row>
    <row r="729" spans="1:8" ht="13.2" x14ac:dyDescent="0.25">
      <c r="A729" s="1"/>
      <c r="B729" s="1"/>
      <c r="C729" s="1"/>
      <c r="D729" s="1"/>
      <c r="E729" s="1"/>
      <c r="F729" s="1"/>
      <c r="G729" s="1"/>
      <c r="H729" s="1"/>
    </row>
    <row r="730" spans="1:8" ht="13.2" x14ac:dyDescent="0.25">
      <c r="A730" s="2"/>
      <c r="B730" s="1"/>
      <c r="C730" s="1"/>
      <c r="D730" s="1"/>
      <c r="E730" s="1"/>
      <c r="F730" s="1"/>
      <c r="G730" s="3"/>
      <c r="H730" s="1"/>
    </row>
    <row r="731" spans="1:8" ht="13.2" x14ac:dyDescent="0.25">
      <c r="A731" s="1"/>
      <c r="B731" s="1"/>
      <c r="C731" s="1"/>
      <c r="D731" s="1"/>
      <c r="E731" s="1"/>
      <c r="F731" s="1"/>
      <c r="G731" s="3"/>
      <c r="H731" s="1"/>
    </row>
    <row r="732" spans="1:8" ht="13.2" x14ac:dyDescent="0.25">
      <c r="A732" s="1"/>
      <c r="B732" s="1"/>
      <c r="C732" s="1"/>
      <c r="D732" s="1"/>
      <c r="E732" s="1"/>
      <c r="F732" s="1"/>
      <c r="G732" s="3"/>
      <c r="H732" s="1"/>
    </row>
    <row r="733" spans="1:8" ht="13.2" x14ac:dyDescent="0.25">
      <c r="A733" s="2"/>
      <c r="B733" s="1"/>
      <c r="C733" s="1"/>
      <c r="D733" s="1"/>
      <c r="E733" s="1"/>
      <c r="F733" s="1"/>
      <c r="G733" s="3"/>
      <c r="H733" s="1"/>
    </row>
    <row r="734" spans="1:8" ht="13.2" x14ac:dyDescent="0.25">
      <c r="A734" s="1"/>
      <c r="B734" s="1"/>
      <c r="C734" s="1"/>
      <c r="D734" s="1"/>
      <c r="E734" s="1"/>
      <c r="F734" s="1"/>
      <c r="G734" s="3"/>
      <c r="H734" s="1"/>
    </row>
    <row r="735" spans="1:8" ht="13.2" x14ac:dyDescent="0.25">
      <c r="A735" s="1"/>
      <c r="B735" s="1"/>
      <c r="C735" s="1"/>
      <c r="D735" s="1"/>
      <c r="E735" s="1"/>
      <c r="F735" s="1"/>
      <c r="G735" s="1"/>
      <c r="H735" s="1"/>
    </row>
    <row r="736" spans="1:8" ht="13.2" x14ac:dyDescent="0.25">
      <c r="A736" s="1"/>
      <c r="B736" s="1"/>
      <c r="C736" s="1"/>
      <c r="D736" s="1"/>
      <c r="E736" s="1"/>
      <c r="F736" s="1"/>
      <c r="G736" s="3"/>
      <c r="H736" s="1"/>
    </row>
    <row r="737" spans="1:8" ht="13.2" x14ac:dyDescent="0.25">
      <c r="A737" s="1"/>
      <c r="B737" s="1"/>
      <c r="C737" s="1"/>
      <c r="D737" s="1"/>
      <c r="E737" s="1"/>
      <c r="F737" s="1"/>
      <c r="G737" s="3"/>
      <c r="H737" s="1"/>
    </row>
    <row r="738" spans="1:8" ht="13.2" x14ac:dyDescent="0.25">
      <c r="A738" s="1"/>
      <c r="B738" s="1"/>
      <c r="C738" s="1"/>
      <c r="D738" s="1"/>
      <c r="E738" s="1"/>
      <c r="F738" s="1"/>
      <c r="G738" s="1"/>
      <c r="H738" s="1"/>
    </row>
    <row r="739" spans="1:8" ht="13.2" x14ac:dyDescent="0.25">
      <c r="A739" s="1"/>
      <c r="B739" s="1"/>
      <c r="C739" s="1"/>
      <c r="D739" s="1"/>
      <c r="E739" s="1"/>
      <c r="F739" s="1"/>
      <c r="G739" s="1"/>
      <c r="H739" s="1"/>
    </row>
    <row r="740" spans="1:8" ht="13.2" x14ac:dyDescent="0.25">
      <c r="A740" s="1"/>
      <c r="B740" s="1"/>
      <c r="C740" s="1"/>
      <c r="D740" s="1"/>
      <c r="E740" s="1"/>
      <c r="F740" s="1"/>
      <c r="G740" s="3"/>
      <c r="H740" s="1"/>
    </row>
    <row r="741" spans="1:8" ht="13.2" x14ac:dyDescent="0.25">
      <c r="A741" s="2"/>
      <c r="B741" s="1"/>
      <c r="C741" s="1"/>
      <c r="D741" s="1"/>
      <c r="E741" s="1"/>
      <c r="F741" s="1"/>
      <c r="G741" s="3"/>
      <c r="H741" s="1"/>
    </row>
    <row r="742" spans="1:8" ht="13.2" x14ac:dyDescent="0.25">
      <c r="A742" s="1"/>
      <c r="B742" s="1"/>
      <c r="C742" s="1"/>
      <c r="D742" s="1"/>
      <c r="E742" s="1"/>
      <c r="F742" s="1"/>
      <c r="G742" s="1"/>
      <c r="H742" s="1"/>
    </row>
    <row r="743" spans="1:8" ht="13.2" x14ac:dyDescent="0.25">
      <c r="A743" s="1"/>
      <c r="B743" s="1"/>
      <c r="C743" s="1"/>
      <c r="D743" s="1"/>
      <c r="E743" s="1"/>
      <c r="F743" s="1"/>
      <c r="G743" s="3"/>
      <c r="H743" s="1"/>
    </row>
    <row r="744" spans="1:8" ht="13.2" x14ac:dyDescent="0.25">
      <c r="A744" s="1"/>
      <c r="B744" s="1"/>
      <c r="C744" s="1"/>
      <c r="D744" s="1"/>
      <c r="E744" s="1"/>
      <c r="F744" s="1"/>
      <c r="G744" s="3"/>
      <c r="H744" s="1"/>
    </row>
    <row r="745" spans="1:8" ht="13.2" x14ac:dyDescent="0.25">
      <c r="A745" s="1"/>
      <c r="B745" s="1"/>
      <c r="C745" s="1"/>
      <c r="D745" s="1"/>
      <c r="E745" s="1"/>
      <c r="F745" s="1"/>
      <c r="G745" s="3"/>
      <c r="H745" s="1"/>
    </row>
    <row r="746" spans="1:8" ht="13.2" x14ac:dyDescent="0.25">
      <c r="A746" s="2"/>
      <c r="B746" s="1"/>
      <c r="C746" s="1"/>
      <c r="D746" s="1"/>
      <c r="E746" s="1"/>
      <c r="F746" s="1"/>
      <c r="G746" s="3"/>
      <c r="H746" s="1"/>
    </row>
    <row r="747" spans="1:8" ht="13.2" x14ac:dyDescent="0.25">
      <c r="A747" s="2"/>
      <c r="B747" s="1"/>
      <c r="C747" s="1"/>
      <c r="D747" s="1"/>
      <c r="E747" s="1"/>
      <c r="F747" s="1"/>
      <c r="G747" s="3"/>
      <c r="H747" s="1"/>
    </row>
    <row r="748" spans="1:8" ht="13.2" x14ac:dyDescent="0.25">
      <c r="A748" s="1"/>
      <c r="B748" s="1"/>
      <c r="C748" s="1"/>
      <c r="D748" s="1"/>
      <c r="E748" s="1"/>
      <c r="F748" s="1"/>
      <c r="G748" s="1"/>
      <c r="H748" s="1"/>
    </row>
    <row r="749" spans="1:8" ht="13.2" x14ac:dyDescent="0.25">
      <c r="A749" s="1"/>
      <c r="B749" s="1"/>
      <c r="C749" s="1"/>
      <c r="D749" s="1"/>
      <c r="E749" s="1"/>
      <c r="F749" s="1"/>
      <c r="G749" s="1"/>
      <c r="H749" s="1"/>
    </row>
    <row r="750" spans="1:8" ht="13.2" x14ac:dyDescent="0.25">
      <c r="A750" s="2"/>
      <c r="B750" s="1"/>
      <c r="C750" s="1"/>
      <c r="D750" s="1"/>
      <c r="E750" s="1"/>
      <c r="F750" s="1"/>
      <c r="G750" s="3"/>
      <c r="H750" s="1"/>
    </row>
    <row r="751" spans="1:8" ht="13.2" x14ac:dyDescent="0.25">
      <c r="A751" s="2"/>
      <c r="B751" s="1"/>
      <c r="C751" s="1"/>
      <c r="D751" s="1"/>
      <c r="E751" s="1"/>
      <c r="F751" s="1"/>
      <c r="G751" s="3"/>
      <c r="H751" s="1"/>
    </row>
    <row r="752" spans="1:8" ht="13.2" x14ac:dyDescent="0.25">
      <c r="A752" s="1"/>
      <c r="B752" s="1"/>
      <c r="C752" s="1"/>
      <c r="D752" s="1"/>
      <c r="E752" s="1"/>
      <c r="F752" s="1"/>
      <c r="G752" s="1"/>
      <c r="H752" s="1"/>
    </row>
    <row r="753" spans="1:8" ht="13.2" x14ac:dyDescent="0.25">
      <c r="A753" s="2"/>
      <c r="B753" s="1"/>
      <c r="C753" s="1"/>
      <c r="D753" s="1"/>
      <c r="E753" s="1"/>
      <c r="F753" s="1"/>
      <c r="G753" s="3"/>
      <c r="H753" s="1"/>
    </row>
    <row r="754" spans="1:8" ht="13.2" x14ac:dyDescent="0.25">
      <c r="A754" s="2"/>
      <c r="B754" s="1"/>
      <c r="C754" s="1"/>
      <c r="D754" s="1"/>
      <c r="E754" s="1"/>
      <c r="F754" s="1"/>
      <c r="G754" s="3"/>
      <c r="H754" s="1"/>
    </row>
    <row r="755" spans="1:8" ht="13.2" x14ac:dyDescent="0.25">
      <c r="A755" s="1"/>
      <c r="B755" s="1"/>
      <c r="C755" s="1"/>
      <c r="D755" s="1"/>
      <c r="E755" s="1"/>
      <c r="F755" s="1"/>
      <c r="G755" s="3"/>
      <c r="H755" s="1"/>
    </row>
    <row r="756" spans="1:8" ht="13.2" x14ac:dyDescent="0.25">
      <c r="A756" s="1"/>
      <c r="B756" s="1"/>
      <c r="C756" s="1"/>
      <c r="D756" s="1"/>
      <c r="E756" s="1"/>
      <c r="F756" s="1"/>
      <c r="G756" s="3"/>
      <c r="H756" s="1"/>
    </row>
    <row r="757" spans="1:8" ht="13.2" x14ac:dyDescent="0.25">
      <c r="A757" s="1"/>
      <c r="B757" s="1"/>
      <c r="C757" s="1"/>
      <c r="D757" s="1"/>
      <c r="E757" s="1"/>
      <c r="F757" s="1"/>
      <c r="G757" s="3"/>
      <c r="H757" s="1"/>
    </row>
    <row r="758" spans="1:8" ht="13.2" x14ac:dyDescent="0.25">
      <c r="A758" s="1"/>
      <c r="B758" s="1"/>
      <c r="C758" s="1"/>
      <c r="D758" s="1"/>
      <c r="E758" s="1"/>
      <c r="F758" s="1"/>
      <c r="G758" s="3"/>
      <c r="H758" s="1"/>
    </row>
    <row r="759" spans="1:8" ht="13.2" x14ac:dyDescent="0.25">
      <c r="A759" s="1"/>
      <c r="B759" s="1"/>
      <c r="C759" s="1"/>
      <c r="D759" s="1"/>
      <c r="E759" s="1"/>
      <c r="F759" s="1"/>
      <c r="G759" s="3"/>
      <c r="H759" s="1"/>
    </row>
    <row r="760" spans="1:8" ht="13.2" x14ac:dyDescent="0.25">
      <c r="A760" s="1"/>
      <c r="B760" s="1"/>
      <c r="C760" s="1"/>
      <c r="D760" s="1"/>
      <c r="E760" s="1"/>
      <c r="F760" s="1"/>
      <c r="G760" s="1"/>
      <c r="H760" s="1"/>
    </row>
    <row r="761" spans="1:8" ht="13.2" x14ac:dyDescent="0.25">
      <c r="A761" s="1"/>
      <c r="B761" s="1"/>
      <c r="C761" s="1"/>
      <c r="D761" s="1"/>
      <c r="E761" s="1"/>
      <c r="F761" s="1"/>
      <c r="G761" s="1"/>
      <c r="H761" s="1"/>
    </row>
    <row r="762" spans="1:8" ht="13.2" x14ac:dyDescent="0.25">
      <c r="A762" s="1"/>
      <c r="B762" s="1"/>
      <c r="C762" s="1"/>
      <c r="D762" s="1"/>
      <c r="E762" s="1"/>
      <c r="F762" s="1"/>
      <c r="G762" s="3"/>
      <c r="H762" s="1"/>
    </row>
    <row r="763" spans="1:8" ht="13.2" x14ac:dyDescent="0.25">
      <c r="A763" s="2"/>
      <c r="B763" s="1"/>
      <c r="C763" s="1"/>
      <c r="D763" s="1"/>
      <c r="E763" s="1"/>
      <c r="F763" s="1"/>
      <c r="G763" s="3"/>
      <c r="H763" s="1"/>
    </row>
    <row r="764" spans="1:8" ht="13.2" x14ac:dyDescent="0.25">
      <c r="A764" s="1"/>
      <c r="B764" s="1"/>
      <c r="C764" s="1"/>
      <c r="D764" s="1"/>
      <c r="E764" s="1"/>
      <c r="F764" s="1"/>
      <c r="G764" s="3"/>
      <c r="H764" s="1"/>
    </row>
    <row r="765" spans="1:8" ht="13.2" x14ac:dyDescent="0.25">
      <c r="A765" s="1"/>
      <c r="B765" s="1"/>
      <c r="C765" s="1"/>
      <c r="D765" s="1"/>
      <c r="E765" s="1"/>
      <c r="F765" s="1"/>
      <c r="G765" s="3"/>
      <c r="H765" s="1"/>
    </row>
    <row r="766" spans="1:8" ht="13.2" x14ac:dyDescent="0.25">
      <c r="A766" s="1"/>
      <c r="B766" s="1"/>
      <c r="C766" s="1"/>
      <c r="D766" s="1"/>
      <c r="E766" s="1"/>
      <c r="F766" s="1"/>
      <c r="G766" s="3"/>
      <c r="H766" s="1"/>
    </row>
    <row r="767" spans="1:8" ht="13.2" x14ac:dyDescent="0.25">
      <c r="A767" s="2"/>
      <c r="B767" s="1"/>
      <c r="C767" s="1"/>
      <c r="D767" s="1"/>
      <c r="E767" s="1"/>
      <c r="F767" s="1"/>
      <c r="G767" s="3"/>
      <c r="H767" s="1"/>
    </row>
    <row r="768" spans="1:8" ht="13.2" x14ac:dyDescent="0.25">
      <c r="A768" s="1"/>
      <c r="B768" s="1"/>
      <c r="C768" s="1"/>
      <c r="D768" s="1"/>
      <c r="E768" s="1"/>
      <c r="F768" s="1"/>
      <c r="G768" s="3"/>
      <c r="H768" s="1"/>
    </row>
    <row r="769" spans="1:8" ht="13.2" x14ac:dyDescent="0.25">
      <c r="A769" s="2"/>
      <c r="B769" s="1"/>
      <c r="C769" s="1"/>
      <c r="D769" s="1"/>
      <c r="E769" s="1"/>
      <c r="F769" s="1"/>
      <c r="G769" s="3"/>
      <c r="H769" s="1"/>
    </row>
    <row r="770" spans="1:8" ht="13.2" x14ac:dyDescent="0.25">
      <c r="A770" s="1"/>
      <c r="B770" s="1"/>
      <c r="C770" s="1"/>
      <c r="D770" s="1"/>
      <c r="E770" s="1"/>
      <c r="F770" s="1"/>
      <c r="G770" s="3"/>
      <c r="H770" s="1"/>
    </row>
    <row r="771" spans="1:8" ht="13.2" x14ac:dyDescent="0.25">
      <c r="A771" s="1"/>
      <c r="B771" s="1"/>
      <c r="C771" s="1"/>
      <c r="D771" s="1"/>
      <c r="E771" s="1"/>
      <c r="F771" s="1"/>
      <c r="G771" s="3"/>
      <c r="H771" s="1"/>
    </row>
    <row r="772" spans="1:8" ht="13.2" x14ac:dyDescent="0.25">
      <c r="A772" s="1"/>
      <c r="B772" s="1"/>
      <c r="C772" s="1"/>
      <c r="D772" s="1"/>
      <c r="E772" s="1"/>
      <c r="F772" s="1"/>
      <c r="G772" s="3"/>
      <c r="H772" s="1"/>
    </row>
    <row r="773" spans="1:8" ht="13.2" x14ac:dyDescent="0.25">
      <c r="A773" s="1"/>
      <c r="B773" s="1"/>
      <c r="C773" s="1"/>
      <c r="D773" s="1"/>
      <c r="E773" s="1"/>
      <c r="F773" s="1"/>
      <c r="G773" s="3"/>
      <c r="H773" s="1"/>
    </row>
    <row r="774" spans="1:8" ht="13.2" x14ac:dyDescent="0.25">
      <c r="A774" s="1"/>
      <c r="B774" s="1"/>
      <c r="C774" s="1"/>
      <c r="D774" s="1"/>
      <c r="E774" s="1"/>
      <c r="F774" s="1"/>
      <c r="G774" s="3"/>
      <c r="H774" s="1"/>
    </row>
    <row r="775" spans="1:8" ht="13.2" x14ac:dyDescent="0.25">
      <c r="A775" s="2"/>
      <c r="B775" s="1"/>
      <c r="C775" s="1"/>
      <c r="D775" s="1"/>
      <c r="E775" s="1"/>
      <c r="F775" s="1"/>
      <c r="G775" s="3"/>
      <c r="H775" s="1"/>
    </row>
    <row r="776" spans="1:8" ht="13.2" x14ac:dyDescent="0.25">
      <c r="A776" s="2"/>
      <c r="B776" s="1"/>
      <c r="C776" s="1"/>
      <c r="D776" s="1"/>
      <c r="E776" s="1"/>
      <c r="F776" s="1"/>
      <c r="G776" s="3"/>
      <c r="H776" s="1"/>
    </row>
    <row r="777" spans="1:8" ht="13.2" x14ac:dyDescent="0.25">
      <c r="A777" s="2"/>
      <c r="B777" s="1"/>
      <c r="C777" s="1"/>
      <c r="D777" s="1"/>
      <c r="E777" s="1"/>
      <c r="F777" s="1"/>
      <c r="G777" s="3"/>
      <c r="H777" s="1"/>
    </row>
    <row r="778" spans="1:8" ht="13.2" x14ac:dyDescent="0.25">
      <c r="A778" s="1"/>
      <c r="B778" s="1"/>
      <c r="C778" s="1"/>
      <c r="D778" s="1"/>
      <c r="E778" s="1"/>
      <c r="F778" s="1"/>
      <c r="G778" s="1"/>
      <c r="H778" s="1"/>
    </row>
    <row r="779" spans="1:8" ht="13.2" x14ac:dyDescent="0.25">
      <c r="A779" s="1"/>
      <c r="B779" s="1"/>
      <c r="C779" s="1"/>
      <c r="D779" s="1"/>
      <c r="E779" s="1"/>
      <c r="F779" s="1"/>
      <c r="G779" s="1"/>
      <c r="H779" s="1"/>
    </row>
    <row r="780" spans="1:8" ht="13.2" x14ac:dyDescent="0.25">
      <c r="A780" s="1"/>
      <c r="B780" s="1"/>
      <c r="C780" s="1"/>
      <c r="D780" s="1"/>
      <c r="E780" s="1"/>
      <c r="F780" s="1"/>
      <c r="G780" s="1"/>
      <c r="H780" s="1"/>
    </row>
    <row r="781" spans="1:8" ht="13.2" x14ac:dyDescent="0.25">
      <c r="A781" s="1"/>
      <c r="B781" s="1"/>
      <c r="C781" s="1"/>
      <c r="D781" s="1"/>
      <c r="E781" s="1"/>
      <c r="F781" s="1"/>
      <c r="G781" s="3"/>
      <c r="H781" s="1"/>
    </row>
    <row r="782" spans="1:8" ht="13.2" x14ac:dyDescent="0.25">
      <c r="A782" s="2"/>
      <c r="B782" s="1"/>
      <c r="C782" s="1"/>
      <c r="D782" s="1"/>
      <c r="E782" s="1"/>
      <c r="F782" s="1"/>
      <c r="G782" s="3"/>
      <c r="H782" s="1"/>
    </row>
    <row r="783" spans="1:8" ht="13.2" x14ac:dyDescent="0.25">
      <c r="A783" s="2"/>
      <c r="B783" s="1"/>
      <c r="C783" s="1"/>
      <c r="D783" s="1"/>
      <c r="E783" s="1"/>
      <c r="F783" s="1"/>
      <c r="G783" s="3"/>
      <c r="H783" s="1"/>
    </row>
    <row r="784" spans="1:8" ht="13.2" x14ac:dyDescent="0.25">
      <c r="A784" s="1"/>
      <c r="B784" s="1"/>
      <c r="C784" s="1"/>
      <c r="D784" s="1"/>
      <c r="E784" s="1"/>
      <c r="F784" s="1"/>
      <c r="G784" s="3"/>
      <c r="H784" s="1"/>
    </row>
    <row r="785" spans="1:8" ht="13.2" x14ac:dyDescent="0.25">
      <c r="A785" s="2"/>
      <c r="B785" s="1"/>
      <c r="C785" s="1"/>
      <c r="D785" s="1"/>
      <c r="E785" s="1"/>
      <c r="F785" s="1"/>
      <c r="G785" s="3"/>
      <c r="H785" s="1"/>
    </row>
    <row r="786" spans="1:8" ht="13.2" x14ac:dyDescent="0.25">
      <c r="A786" s="1"/>
      <c r="B786" s="1"/>
      <c r="C786" s="1"/>
      <c r="D786" s="1"/>
      <c r="E786" s="1"/>
      <c r="F786" s="1"/>
      <c r="G786" s="3"/>
      <c r="H786" s="1"/>
    </row>
    <row r="787" spans="1:8" ht="13.2" x14ac:dyDescent="0.25">
      <c r="A787" s="2"/>
      <c r="B787" s="1"/>
      <c r="C787" s="1"/>
      <c r="D787" s="1"/>
      <c r="E787" s="1"/>
      <c r="F787" s="1"/>
      <c r="G787" s="3"/>
      <c r="H787" s="1"/>
    </row>
    <row r="788" spans="1:8" ht="13.2" x14ac:dyDescent="0.25">
      <c r="A788" s="1"/>
      <c r="B788" s="1"/>
      <c r="C788" s="1"/>
      <c r="D788" s="1"/>
      <c r="E788" s="1"/>
      <c r="F788" s="1"/>
      <c r="G788" s="3"/>
      <c r="H788" s="1"/>
    </row>
    <row r="789" spans="1:8" ht="13.2" x14ac:dyDescent="0.25">
      <c r="A789" s="1"/>
      <c r="B789" s="1"/>
      <c r="C789" s="1"/>
      <c r="D789" s="1"/>
      <c r="E789" s="1"/>
      <c r="F789" s="1"/>
      <c r="G789" s="3"/>
      <c r="H789" s="1"/>
    </row>
    <row r="790" spans="1:8" ht="13.2" x14ac:dyDescent="0.25">
      <c r="A790" s="1"/>
      <c r="B790" s="1"/>
      <c r="C790" s="1"/>
      <c r="D790" s="1"/>
      <c r="E790" s="1"/>
      <c r="F790" s="1"/>
      <c r="G790" s="3"/>
      <c r="H790" s="1"/>
    </row>
    <row r="791" spans="1:8" ht="13.2" x14ac:dyDescent="0.25">
      <c r="A791" s="2"/>
      <c r="B791" s="1"/>
      <c r="C791" s="1"/>
      <c r="D791" s="1"/>
      <c r="E791" s="1"/>
      <c r="F791" s="1"/>
      <c r="G791" s="3"/>
      <c r="H791" s="1"/>
    </row>
    <row r="792" spans="1:8" ht="13.2" x14ac:dyDescent="0.25">
      <c r="A792" s="1"/>
      <c r="B792" s="1"/>
      <c r="C792" s="1"/>
      <c r="D792" s="1"/>
      <c r="E792" s="1"/>
      <c r="F792" s="1"/>
      <c r="G792" s="3"/>
      <c r="H792" s="1"/>
    </row>
    <row r="793" spans="1:8" ht="13.2" x14ac:dyDescent="0.25">
      <c r="A793" s="1"/>
      <c r="B793" s="1"/>
      <c r="C793" s="1"/>
      <c r="D793" s="1"/>
      <c r="E793" s="1"/>
      <c r="F793" s="1"/>
      <c r="G793" s="3"/>
      <c r="H793" s="1"/>
    </row>
    <row r="794" spans="1:8" ht="13.2" x14ac:dyDescent="0.25">
      <c r="A794" s="1"/>
      <c r="B794" s="1"/>
      <c r="C794" s="1"/>
      <c r="D794" s="1"/>
      <c r="E794" s="1"/>
      <c r="F794" s="1"/>
      <c r="G794" s="3"/>
      <c r="H794" s="1"/>
    </row>
    <row r="795" spans="1:8" ht="13.2" x14ac:dyDescent="0.25">
      <c r="A795" s="1"/>
      <c r="B795" s="1"/>
      <c r="C795" s="1"/>
      <c r="D795" s="1"/>
      <c r="E795" s="1"/>
      <c r="F795" s="1"/>
      <c r="G795" s="3"/>
      <c r="H795" s="1"/>
    </row>
    <row r="796" spans="1:8" ht="13.2" x14ac:dyDescent="0.25">
      <c r="A796" s="2"/>
      <c r="B796" s="1"/>
      <c r="C796" s="1"/>
      <c r="D796" s="1"/>
      <c r="E796" s="1"/>
      <c r="F796" s="1"/>
      <c r="G796" s="3"/>
      <c r="H796" s="1"/>
    </row>
    <row r="797" spans="1:8" ht="13.2" x14ac:dyDescent="0.25">
      <c r="A797" s="2"/>
      <c r="B797" s="1"/>
      <c r="C797" s="1"/>
      <c r="D797" s="1"/>
      <c r="E797" s="1"/>
      <c r="F797" s="1"/>
      <c r="G797" s="3"/>
      <c r="H797" s="1"/>
    </row>
    <row r="798" spans="1:8" ht="13.2" x14ac:dyDescent="0.25">
      <c r="A798" s="2"/>
      <c r="B798" s="1"/>
      <c r="C798" s="1"/>
      <c r="D798" s="1"/>
      <c r="E798" s="1"/>
      <c r="F798" s="1"/>
      <c r="G798" s="3"/>
      <c r="H798" s="1"/>
    </row>
    <row r="799" spans="1:8" ht="13.2" x14ac:dyDescent="0.25">
      <c r="A799" s="1"/>
      <c r="B799" s="1"/>
      <c r="C799" s="1"/>
      <c r="D799" s="1"/>
      <c r="E799" s="1"/>
      <c r="F799" s="1"/>
      <c r="G799" s="3"/>
      <c r="H799" s="1"/>
    </row>
    <row r="800" spans="1:8" ht="13.2" x14ac:dyDescent="0.25">
      <c r="A800" s="1"/>
      <c r="B800" s="1"/>
      <c r="C800" s="1"/>
      <c r="D800" s="1"/>
      <c r="E800" s="1"/>
      <c r="F800" s="1"/>
      <c r="G800" s="3"/>
      <c r="H800" s="1"/>
    </row>
    <row r="801" spans="1:8" ht="13.2" x14ac:dyDescent="0.25">
      <c r="A801" s="1"/>
      <c r="B801" s="1"/>
      <c r="C801" s="1"/>
      <c r="D801" s="1"/>
      <c r="E801" s="1"/>
      <c r="F801" s="1"/>
      <c r="G801" s="3"/>
      <c r="H801" s="1"/>
    </row>
    <row r="802" spans="1:8" ht="13.2" x14ac:dyDescent="0.25">
      <c r="A802" s="2"/>
      <c r="B802" s="1"/>
      <c r="C802" s="1"/>
      <c r="D802" s="1"/>
      <c r="E802" s="1"/>
      <c r="F802" s="1"/>
      <c r="G802" s="3"/>
      <c r="H802" s="1"/>
    </row>
    <row r="803" spans="1:8" ht="13.2" x14ac:dyDescent="0.25">
      <c r="A803" s="1"/>
      <c r="B803" s="1"/>
      <c r="C803" s="1"/>
      <c r="D803" s="1"/>
      <c r="E803" s="1"/>
      <c r="F803" s="1"/>
      <c r="G803" s="3"/>
      <c r="H803" s="1"/>
    </row>
    <row r="804" spans="1:8" ht="13.2" x14ac:dyDescent="0.25">
      <c r="A804" s="2"/>
      <c r="B804" s="1"/>
      <c r="C804" s="1"/>
      <c r="D804" s="1"/>
      <c r="E804" s="1"/>
      <c r="F804" s="1"/>
      <c r="G804" s="3"/>
      <c r="H804" s="1"/>
    </row>
    <row r="805" spans="1:8" ht="13.2" x14ac:dyDescent="0.25">
      <c r="A805" s="2"/>
      <c r="B805" s="1"/>
      <c r="C805" s="1"/>
      <c r="D805" s="1"/>
      <c r="E805" s="1"/>
      <c r="F805" s="1"/>
      <c r="G805" s="3"/>
      <c r="H805" s="1"/>
    </row>
    <row r="806" spans="1:8" ht="13.2" x14ac:dyDescent="0.25">
      <c r="A806" s="2"/>
      <c r="B806" s="1"/>
      <c r="C806" s="1"/>
      <c r="D806" s="1"/>
      <c r="E806" s="1"/>
      <c r="F806" s="1"/>
      <c r="G806" s="3"/>
      <c r="H806" s="1"/>
    </row>
    <row r="807" spans="1:8" ht="13.2" x14ac:dyDescent="0.25">
      <c r="A807" s="2"/>
      <c r="B807" s="1"/>
      <c r="C807" s="1"/>
      <c r="D807" s="1"/>
      <c r="E807" s="1"/>
      <c r="F807" s="1"/>
      <c r="G807" s="3"/>
      <c r="H807" s="1"/>
    </row>
    <row r="808" spans="1:8" ht="13.2" x14ac:dyDescent="0.25">
      <c r="A808" s="1"/>
      <c r="B808" s="1"/>
      <c r="C808" s="1"/>
      <c r="D808" s="1"/>
      <c r="E808" s="1"/>
      <c r="F808" s="1"/>
      <c r="G808" s="3"/>
      <c r="H808" s="1"/>
    </row>
    <row r="809" spans="1:8" ht="13.2" x14ac:dyDescent="0.25">
      <c r="A809" s="1"/>
      <c r="B809" s="1"/>
      <c r="C809" s="1"/>
      <c r="D809" s="1"/>
      <c r="E809" s="1"/>
      <c r="F809" s="1"/>
      <c r="G809" s="3"/>
      <c r="H809" s="1"/>
    </row>
    <row r="810" spans="1:8" ht="13.2" x14ac:dyDescent="0.25">
      <c r="A810" s="1"/>
      <c r="B810" s="1"/>
      <c r="C810" s="1"/>
      <c r="D810" s="1"/>
      <c r="E810" s="1"/>
      <c r="F810" s="1"/>
      <c r="G810" s="1"/>
      <c r="H810" s="1"/>
    </row>
    <row r="811" spans="1:8" ht="13.2" x14ac:dyDescent="0.25">
      <c r="A811" s="1"/>
      <c r="B811" s="1"/>
      <c r="C811" s="1"/>
      <c r="D811" s="1"/>
      <c r="E811" s="1"/>
      <c r="F811" s="1"/>
      <c r="G811" s="1"/>
      <c r="H811" s="1"/>
    </row>
    <row r="812" spans="1:8" ht="13.2" x14ac:dyDescent="0.25">
      <c r="A812" s="1"/>
      <c r="B812" s="1"/>
      <c r="C812" s="1"/>
      <c r="D812" s="1"/>
      <c r="E812" s="1"/>
      <c r="F812" s="1"/>
      <c r="G812" s="3"/>
      <c r="H812" s="1"/>
    </row>
    <row r="813" spans="1:8" ht="13.2" x14ac:dyDescent="0.25">
      <c r="A813" s="1"/>
      <c r="B813" s="1"/>
      <c r="C813" s="1"/>
      <c r="D813" s="1"/>
      <c r="E813" s="1"/>
      <c r="F813" s="1"/>
      <c r="G813" s="3"/>
      <c r="H813" s="1"/>
    </row>
    <row r="814" spans="1:8" ht="13.2" x14ac:dyDescent="0.25">
      <c r="A814" s="1"/>
      <c r="B814" s="1"/>
      <c r="C814" s="1"/>
      <c r="D814" s="1"/>
      <c r="E814" s="1"/>
      <c r="F814" s="1"/>
      <c r="G814" s="3"/>
      <c r="H814" s="1"/>
    </row>
    <row r="815" spans="1:8" ht="13.2" x14ac:dyDescent="0.25">
      <c r="A815" s="1"/>
      <c r="B815" s="1"/>
      <c r="C815" s="1"/>
      <c r="D815" s="1"/>
      <c r="E815" s="1"/>
      <c r="F815" s="1"/>
      <c r="G815" s="3"/>
      <c r="H815" s="1"/>
    </row>
    <row r="816" spans="1:8" ht="13.2" x14ac:dyDescent="0.25">
      <c r="A816" s="1"/>
      <c r="B816" s="1"/>
      <c r="C816" s="1"/>
      <c r="D816" s="1"/>
      <c r="E816" s="1"/>
      <c r="F816" s="1"/>
      <c r="G816" s="3"/>
      <c r="H816" s="1"/>
    </row>
    <row r="817" spans="1:8" ht="13.2" x14ac:dyDescent="0.25">
      <c r="A817" s="1"/>
      <c r="B817" s="1"/>
      <c r="C817" s="1"/>
      <c r="D817" s="1"/>
      <c r="E817" s="1"/>
      <c r="F817" s="1"/>
      <c r="G817" s="3"/>
      <c r="H817" s="1"/>
    </row>
    <row r="818" spans="1:8" ht="13.2" x14ac:dyDescent="0.25">
      <c r="A818" s="1"/>
      <c r="B818" s="1"/>
      <c r="C818" s="1"/>
      <c r="D818" s="1"/>
      <c r="E818" s="1"/>
      <c r="F818" s="1"/>
      <c r="G818" s="1"/>
      <c r="H818" s="1"/>
    </row>
    <row r="819" spans="1:8" ht="13.2" x14ac:dyDescent="0.25">
      <c r="A819" s="2"/>
      <c r="B819" s="1"/>
      <c r="C819" s="1"/>
      <c r="D819" s="1"/>
      <c r="E819" s="1"/>
      <c r="F819" s="1"/>
      <c r="G819" s="3"/>
      <c r="H819" s="1"/>
    </row>
    <row r="820" spans="1:8" ht="13.2" x14ac:dyDescent="0.25">
      <c r="A820" s="1"/>
      <c r="B820" s="1"/>
      <c r="C820" s="1"/>
      <c r="D820" s="1"/>
      <c r="E820" s="1"/>
      <c r="F820" s="1"/>
      <c r="G820" s="3"/>
      <c r="H820" s="1"/>
    </row>
    <row r="821" spans="1:8" ht="13.2" x14ac:dyDescent="0.25">
      <c r="A821" s="1"/>
      <c r="B821" s="1"/>
      <c r="C821" s="1"/>
      <c r="D821" s="1"/>
      <c r="E821" s="1"/>
      <c r="F821" s="1"/>
      <c r="G821" s="3"/>
      <c r="H821" s="1"/>
    </row>
    <row r="822" spans="1:8" ht="13.2" x14ac:dyDescent="0.25">
      <c r="A822" s="1"/>
      <c r="B822" s="1"/>
      <c r="C822" s="1"/>
      <c r="D822" s="1"/>
      <c r="E822" s="1"/>
      <c r="F822" s="1"/>
      <c r="G822" s="3"/>
      <c r="H822" s="1"/>
    </row>
    <row r="823" spans="1:8" ht="13.2" x14ac:dyDescent="0.25">
      <c r="A823" s="2"/>
      <c r="B823" s="1"/>
      <c r="C823" s="1"/>
      <c r="D823" s="1"/>
      <c r="E823" s="1"/>
      <c r="F823" s="1"/>
      <c r="G823" s="1"/>
      <c r="H823" s="1"/>
    </row>
    <row r="824" spans="1:8" ht="13.2" x14ac:dyDescent="0.25">
      <c r="A824" s="1"/>
      <c r="B824" s="1"/>
      <c r="C824" s="1"/>
      <c r="D824" s="1"/>
      <c r="E824" s="1"/>
      <c r="F824" s="1"/>
      <c r="G824" s="3"/>
      <c r="H824" s="1"/>
    </row>
    <row r="825" spans="1:8" ht="13.2" x14ac:dyDescent="0.25">
      <c r="A825" s="1"/>
      <c r="B825" s="1"/>
      <c r="C825" s="1"/>
      <c r="D825" s="1"/>
      <c r="E825" s="1"/>
      <c r="F825" s="1"/>
      <c r="G825" s="3"/>
      <c r="H825" s="1"/>
    </row>
    <row r="826" spans="1:8" ht="13.2" x14ac:dyDescent="0.25">
      <c r="A826" s="1"/>
      <c r="B826" s="1"/>
      <c r="C826" s="1"/>
      <c r="D826" s="1"/>
      <c r="E826" s="1"/>
      <c r="F826" s="1"/>
      <c r="G826" s="3"/>
      <c r="H826" s="1"/>
    </row>
    <row r="827" spans="1:8" ht="13.2" x14ac:dyDescent="0.25">
      <c r="A827" s="2"/>
      <c r="B827" s="1"/>
      <c r="C827" s="1"/>
      <c r="D827" s="1"/>
      <c r="E827" s="1"/>
      <c r="F827" s="1"/>
      <c r="G827" s="3"/>
      <c r="H827" s="1"/>
    </row>
    <row r="828" spans="1:8" ht="13.2" x14ac:dyDescent="0.25">
      <c r="A828" s="2"/>
      <c r="B828" s="1"/>
      <c r="C828" s="1"/>
      <c r="D828" s="1"/>
      <c r="E828" s="1"/>
      <c r="F828" s="1"/>
      <c r="G828" s="3"/>
      <c r="H828" s="1"/>
    </row>
    <row r="829" spans="1:8" ht="13.2" x14ac:dyDescent="0.25">
      <c r="A829" s="2"/>
      <c r="B829" s="1"/>
      <c r="C829" s="1"/>
      <c r="D829" s="1"/>
      <c r="E829" s="1"/>
      <c r="F829" s="1"/>
      <c r="G829" s="3"/>
      <c r="H829" s="1"/>
    </row>
    <row r="830" spans="1:8" ht="13.2" x14ac:dyDescent="0.25">
      <c r="A830" s="1"/>
      <c r="B830" s="1"/>
      <c r="C830" s="1"/>
      <c r="D830" s="1"/>
      <c r="E830" s="1"/>
      <c r="F830" s="1"/>
      <c r="G830" s="3"/>
      <c r="H830" s="1"/>
    </row>
    <row r="831" spans="1:8" ht="13.2" x14ac:dyDescent="0.25">
      <c r="A831" s="2"/>
      <c r="B831" s="1"/>
      <c r="C831" s="1"/>
      <c r="D831" s="1"/>
      <c r="E831" s="1"/>
      <c r="F831" s="1"/>
      <c r="G831" s="3"/>
      <c r="H831" s="1"/>
    </row>
    <row r="832" spans="1:8" ht="13.2" x14ac:dyDescent="0.25">
      <c r="A832" s="2"/>
      <c r="B832" s="1"/>
      <c r="C832" s="1"/>
      <c r="D832" s="1"/>
      <c r="E832" s="1"/>
      <c r="F832" s="1"/>
      <c r="G832" s="3"/>
      <c r="H832" s="1"/>
    </row>
    <row r="833" spans="1:8" ht="13.2" x14ac:dyDescent="0.25">
      <c r="A833" s="2"/>
      <c r="B833" s="1"/>
      <c r="C833" s="1"/>
      <c r="D833" s="1"/>
      <c r="E833" s="1"/>
      <c r="F833" s="1"/>
      <c r="G833" s="3"/>
      <c r="H833" s="1"/>
    </row>
    <row r="834" spans="1:8" ht="13.2" x14ac:dyDescent="0.25">
      <c r="A834" s="1"/>
      <c r="B834" s="1"/>
      <c r="C834" s="1"/>
      <c r="D834" s="1"/>
      <c r="E834" s="1"/>
      <c r="F834" s="1"/>
      <c r="G834" s="3"/>
      <c r="H834" s="1"/>
    </row>
    <row r="835" spans="1:8" ht="13.2" x14ac:dyDescent="0.25">
      <c r="A835" s="1"/>
      <c r="B835" s="1"/>
      <c r="C835" s="1"/>
      <c r="D835" s="1"/>
      <c r="E835" s="1"/>
      <c r="F835" s="1"/>
      <c r="G835" s="3"/>
      <c r="H835" s="1"/>
    </row>
    <row r="836" spans="1:8" ht="13.2" x14ac:dyDescent="0.25">
      <c r="A836" s="1"/>
      <c r="B836" s="1"/>
      <c r="C836" s="1"/>
      <c r="D836" s="1"/>
      <c r="E836" s="1"/>
      <c r="F836" s="1"/>
      <c r="G836" s="3"/>
      <c r="H836" s="1"/>
    </row>
    <row r="837" spans="1:8" ht="13.2" x14ac:dyDescent="0.25">
      <c r="A837" s="1"/>
      <c r="B837" s="1"/>
      <c r="C837" s="1"/>
      <c r="D837" s="1"/>
      <c r="E837" s="1"/>
      <c r="F837" s="1"/>
      <c r="G837" s="3"/>
      <c r="H837" s="1"/>
    </row>
    <row r="838" spans="1:8" ht="13.2" x14ac:dyDescent="0.25">
      <c r="A838" s="2"/>
      <c r="B838" s="1"/>
      <c r="C838" s="1"/>
      <c r="D838" s="1"/>
      <c r="E838" s="1"/>
      <c r="F838" s="1"/>
      <c r="G838" s="3"/>
      <c r="H838" s="1"/>
    </row>
    <row r="839" spans="1:8" ht="13.2" x14ac:dyDescent="0.25">
      <c r="A839" s="2"/>
      <c r="B839" s="1"/>
      <c r="C839" s="1"/>
      <c r="D839" s="1"/>
      <c r="E839" s="1"/>
      <c r="F839" s="1"/>
      <c r="G839" s="3"/>
      <c r="H839" s="1"/>
    </row>
    <row r="840" spans="1:8" ht="13.2" x14ac:dyDescent="0.25">
      <c r="A840" s="2"/>
      <c r="B840" s="1"/>
      <c r="C840" s="1"/>
      <c r="D840" s="1"/>
      <c r="E840" s="1"/>
      <c r="F840" s="1"/>
      <c r="G840" s="3"/>
      <c r="H840" s="1"/>
    </row>
    <row r="841" spans="1:8" ht="13.2" x14ac:dyDescent="0.25">
      <c r="A841" s="2"/>
      <c r="B841" s="1"/>
      <c r="C841" s="1"/>
      <c r="D841" s="1"/>
      <c r="E841" s="1"/>
      <c r="F841" s="1"/>
      <c r="G841" s="3"/>
      <c r="H841" s="1"/>
    </row>
    <row r="842" spans="1:8" ht="13.2" x14ac:dyDescent="0.25">
      <c r="A842" s="2"/>
      <c r="B842" s="1"/>
      <c r="C842" s="1"/>
      <c r="D842" s="1"/>
      <c r="E842" s="1"/>
      <c r="F842" s="1"/>
      <c r="G842" s="3"/>
      <c r="H842" s="1"/>
    </row>
    <row r="843" spans="1:8" ht="13.2" x14ac:dyDescent="0.25">
      <c r="A843" s="2"/>
      <c r="B843" s="1"/>
      <c r="C843" s="1"/>
      <c r="D843" s="1"/>
      <c r="E843" s="1"/>
      <c r="F843" s="1"/>
      <c r="G843" s="3"/>
      <c r="H843" s="1"/>
    </row>
    <row r="844" spans="1:8" ht="13.2" x14ac:dyDescent="0.25">
      <c r="A844" s="2"/>
      <c r="B844" s="1"/>
      <c r="C844" s="1"/>
      <c r="D844" s="1"/>
      <c r="E844" s="1"/>
      <c r="F844" s="1"/>
      <c r="G844" s="3"/>
      <c r="H844" s="1"/>
    </row>
    <row r="845" spans="1:8" ht="13.2" x14ac:dyDescent="0.25">
      <c r="A845" s="1"/>
      <c r="B845" s="1"/>
      <c r="C845" s="1"/>
      <c r="D845" s="1"/>
      <c r="E845" s="1"/>
      <c r="F845" s="1"/>
      <c r="G845" s="3"/>
      <c r="H845" s="1"/>
    </row>
    <row r="846" spans="1:8" ht="13.2" x14ac:dyDescent="0.25">
      <c r="A846" s="1"/>
      <c r="B846" s="1"/>
      <c r="C846" s="1"/>
      <c r="D846" s="1"/>
      <c r="E846" s="1"/>
      <c r="F846" s="1"/>
      <c r="G846" s="3"/>
      <c r="H846" s="1"/>
    </row>
    <row r="847" spans="1:8" ht="13.2" x14ac:dyDescent="0.25">
      <c r="A847" s="2"/>
      <c r="B847" s="1"/>
      <c r="C847" s="1"/>
      <c r="D847" s="1"/>
      <c r="E847" s="1"/>
      <c r="F847" s="1"/>
      <c r="G847" s="3"/>
      <c r="H847" s="1"/>
    </row>
    <row r="848" spans="1:8" ht="13.2" x14ac:dyDescent="0.25">
      <c r="A848" s="1"/>
      <c r="B848" s="1"/>
      <c r="C848" s="1"/>
      <c r="D848" s="1"/>
      <c r="E848" s="1"/>
      <c r="F848" s="1"/>
      <c r="G848" s="3"/>
      <c r="H848" s="1"/>
    </row>
    <row r="849" spans="1:8" ht="13.2" x14ac:dyDescent="0.25">
      <c r="A849" s="1"/>
      <c r="B849" s="1"/>
      <c r="C849" s="1"/>
      <c r="D849" s="1"/>
      <c r="E849" s="1"/>
      <c r="F849" s="1"/>
      <c r="G849" s="3"/>
      <c r="H849" s="1"/>
    </row>
    <row r="850" spans="1:8" ht="13.2" x14ac:dyDescent="0.25">
      <c r="A850" s="1"/>
      <c r="B850" s="1"/>
      <c r="C850" s="1"/>
      <c r="D850" s="1"/>
      <c r="E850" s="1"/>
      <c r="F850" s="1"/>
      <c r="G850" s="3"/>
      <c r="H850" s="1"/>
    </row>
    <row r="851" spans="1:8" ht="13.2" x14ac:dyDescent="0.25">
      <c r="A851" s="1"/>
      <c r="B851" s="1"/>
      <c r="C851" s="1"/>
      <c r="D851" s="1"/>
      <c r="E851" s="1"/>
      <c r="F851" s="1"/>
      <c r="G851" s="3"/>
      <c r="H851" s="1"/>
    </row>
    <row r="852" spans="1:8" ht="13.2" x14ac:dyDescent="0.25">
      <c r="A852" s="2"/>
      <c r="B852" s="1"/>
      <c r="C852" s="1"/>
      <c r="D852" s="1"/>
      <c r="E852" s="1"/>
      <c r="F852" s="1"/>
      <c r="G852" s="3"/>
      <c r="H852" s="1"/>
    </row>
    <row r="853" spans="1:8" ht="13.2" x14ac:dyDescent="0.25">
      <c r="A853" s="1"/>
      <c r="B853" s="1"/>
      <c r="C853" s="1"/>
      <c r="D853" s="1"/>
      <c r="E853" s="1"/>
      <c r="F853" s="1"/>
      <c r="G853" s="3"/>
      <c r="H853" s="1"/>
    </row>
    <row r="854" spans="1:8" ht="13.2" x14ac:dyDescent="0.25">
      <c r="A854" s="1"/>
      <c r="B854" s="1"/>
      <c r="C854" s="1"/>
      <c r="D854" s="1"/>
      <c r="E854" s="1"/>
      <c r="F854" s="1"/>
      <c r="G854" s="3"/>
      <c r="H854" s="1"/>
    </row>
    <row r="855" spans="1:8" ht="13.2" x14ac:dyDescent="0.25">
      <c r="A855" s="1"/>
      <c r="B855" s="1"/>
      <c r="C855" s="1"/>
      <c r="D855" s="1"/>
      <c r="E855" s="1"/>
      <c r="F855" s="1"/>
      <c r="G855" s="3"/>
      <c r="H855" s="1"/>
    </row>
    <row r="856" spans="1:8" ht="13.2" x14ac:dyDescent="0.25">
      <c r="A856" s="1"/>
      <c r="B856" s="1"/>
      <c r="C856" s="1"/>
      <c r="D856" s="1"/>
      <c r="E856" s="1"/>
      <c r="F856" s="1"/>
      <c r="G856" s="3"/>
      <c r="H856" s="1"/>
    </row>
    <row r="857" spans="1:8" ht="13.2" x14ac:dyDescent="0.25">
      <c r="A857" s="2"/>
      <c r="B857" s="1"/>
      <c r="C857" s="1"/>
      <c r="D857" s="1"/>
      <c r="E857" s="1"/>
      <c r="F857" s="1"/>
      <c r="G857" s="3"/>
      <c r="H857" s="1"/>
    </row>
    <row r="858" spans="1:8" ht="13.2" x14ac:dyDescent="0.25">
      <c r="A858" s="2"/>
      <c r="B858" s="1"/>
      <c r="C858" s="1"/>
      <c r="D858" s="1"/>
      <c r="E858" s="1"/>
      <c r="F858" s="1"/>
      <c r="G858" s="3"/>
      <c r="H858" s="1"/>
    </row>
    <row r="859" spans="1:8" ht="13.2" x14ac:dyDescent="0.25">
      <c r="A859" s="2"/>
      <c r="B859" s="1"/>
      <c r="C859" s="1"/>
      <c r="D859" s="1"/>
      <c r="E859" s="1"/>
      <c r="F859" s="1"/>
      <c r="G859" s="1"/>
      <c r="H859" s="1"/>
    </row>
    <row r="860" spans="1:8" ht="13.2" x14ac:dyDescent="0.25">
      <c r="A860" s="2"/>
      <c r="B860" s="1"/>
      <c r="C860" s="1"/>
      <c r="D860" s="1"/>
      <c r="E860" s="1"/>
      <c r="F860" s="1"/>
      <c r="G860" s="3"/>
      <c r="H860" s="1"/>
    </row>
    <row r="861" spans="1:8" ht="13.2" x14ac:dyDescent="0.25">
      <c r="A861" s="2"/>
      <c r="B861" s="1"/>
      <c r="C861" s="1"/>
      <c r="D861" s="1"/>
      <c r="E861" s="1"/>
      <c r="F861" s="1"/>
      <c r="G861" s="3"/>
      <c r="H861" s="1"/>
    </row>
    <row r="862" spans="1:8" ht="13.2" x14ac:dyDescent="0.25">
      <c r="A862" s="2"/>
      <c r="B862" s="1"/>
      <c r="C862" s="1"/>
      <c r="D862" s="1"/>
      <c r="E862" s="1"/>
      <c r="F862" s="1"/>
      <c r="G862" s="3"/>
      <c r="H862" s="1"/>
    </row>
    <row r="863" spans="1:8" ht="13.2" x14ac:dyDescent="0.25">
      <c r="A863" s="1"/>
      <c r="B863" s="1"/>
      <c r="C863" s="1"/>
      <c r="D863" s="1"/>
      <c r="E863" s="1"/>
      <c r="F863" s="1"/>
      <c r="G863" s="3"/>
      <c r="H863" s="1"/>
    </row>
    <row r="864" spans="1:8" ht="13.2" x14ac:dyDescent="0.25">
      <c r="A864" s="2"/>
      <c r="B864" s="1"/>
      <c r="C864" s="1"/>
      <c r="D864" s="1"/>
      <c r="E864" s="1"/>
      <c r="F864" s="1"/>
      <c r="G864" s="3"/>
      <c r="H864" s="1"/>
    </row>
    <row r="865" spans="1:8" ht="13.2" x14ac:dyDescent="0.25">
      <c r="A865" s="1"/>
      <c r="B865" s="1"/>
      <c r="C865" s="1"/>
      <c r="D865" s="1"/>
      <c r="E865" s="1"/>
      <c r="F865" s="1"/>
      <c r="G865" s="3"/>
      <c r="H865" s="1"/>
    </row>
    <row r="866" spans="1:8" ht="13.2" x14ac:dyDescent="0.25">
      <c r="A866" s="1"/>
      <c r="B866" s="1"/>
      <c r="C866" s="1"/>
      <c r="D866" s="1"/>
      <c r="E866" s="1"/>
      <c r="F866" s="1"/>
      <c r="G866" s="3"/>
      <c r="H866" s="1"/>
    </row>
    <row r="867" spans="1:8" ht="13.2" x14ac:dyDescent="0.25">
      <c r="A867" s="1"/>
      <c r="B867" s="1"/>
      <c r="C867" s="1"/>
      <c r="D867" s="1"/>
      <c r="E867" s="1"/>
      <c r="F867" s="1"/>
      <c r="G867" s="3"/>
      <c r="H867" s="1"/>
    </row>
    <row r="868" spans="1:8" ht="13.2" x14ac:dyDescent="0.25">
      <c r="A868" s="1"/>
      <c r="B868" s="1"/>
      <c r="C868" s="1"/>
      <c r="D868" s="1"/>
      <c r="E868" s="1"/>
      <c r="F868" s="1"/>
      <c r="G868" s="3"/>
      <c r="H868" s="1"/>
    </row>
    <row r="869" spans="1:8" ht="13.2" x14ac:dyDescent="0.25">
      <c r="A869" s="1"/>
      <c r="B869" s="1"/>
      <c r="C869" s="1"/>
      <c r="D869" s="1"/>
      <c r="E869" s="1"/>
      <c r="F869" s="1"/>
      <c r="G869" s="3"/>
      <c r="H869" s="1"/>
    </row>
    <row r="870" spans="1:8" ht="13.2" x14ac:dyDescent="0.25">
      <c r="A870" s="2"/>
      <c r="B870" s="1"/>
      <c r="C870" s="1"/>
      <c r="D870" s="1"/>
      <c r="E870" s="1"/>
      <c r="F870" s="1"/>
      <c r="G870" s="3"/>
      <c r="H870" s="1"/>
    </row>
    <row r="871" spans="1:8" ht="13.2" x14ac:dyDescent="0.25">
      <c r="A871" s="1"/>
      <c r="B871" s="1"/>
      <c r="C871" s="1"/>
      <c r="D871" s="1"/>
      <c r="E871" s="1"/>
      <c r="F871" s="1"/>
      <c r="G871" s="3"/>
      <c r="H871" s="1"/>
    </row>
    <row r="872" spans="1:8" ht="13.2" x14ac:dyDescent="0.25">
      <c r="A872" s="1"/>
      <c r="B872" s="1"/>
      <c r="C872" s="1"/>
      <c r="D872" s="1"/>
      <c r="E872" s="1"/>
      <c r="F872" s="1"/>
      <c r="G872" s="3"/>
      <c r="H872" s="1"/>
    </row>
    <row r="873" spans="1:8" ht="13.2" x14ac:dyDescent="0.25">
      <c r="A873" s="1"/>
      <c r="B873" s="1"/>
      <c r="C873" s="1"/>
      <c r="D873" s="1"/>
      <c r="E873" s="1"/>
      <c r="F873" s="1"/>
      <c r="G873" s="3"/>
      <c r="H873" s="1"/>
    </row>
    <row r="874" spans="1:8" ht="13.2" x14ac:dyDescent="0.25">
      <c r="A874" s="2"/>
      <c r="B874" s="1"/>
      <c r="C874" s="1"/>
      <c r="D874" s="1"/>
      <c r="E874" s="1"/>
      <c r="F874" s="1"/>
      <c r="G874" s="3"/>
      <c r="H874" s="1"/>
    </row>
    <row r="875" spans="1:8" ht="13.2" x14ac:dyDescent="0.25">
      <c r="A875" s="2"/>
      <c r="B875" s="1"/>
      <c r="C875" s="1"/>
      <c r="D875" s="1"/>
      <c r="E875" s="1"/>
      <c r="F875" s="1"/>
      <c r="G875" s="3"/>
      <c r="H875" s="1"/>
    </row>
    <row r="876" spans="1:8" ht="13.2" x14ac:dyDescent="0.25">
      <c r="A876" s="2"/>
      <c r="B876" s="1"/>
      <c r="C876" s="1"/>
      <c r="D876" s="1"/>
      <c r="E876" s="1"/>
      <c r="F876" s="1"/>
      <c r="G876" s="3"/>
      <c r="H876" s="1"/>
    </row>
    <row r="877" spans="1:8" ht="13.2" x14ac:dyDescent="0.25">
      <c r="A877" s="2"/>
      <c r="B877" s="1"/>
      <c r="C877" s="1"/>
      <c r="D877" s="1"/>
      <c r="E877" s="1"/>
      <c r="F877" s="1"/>
      <c r="G877" s="3"/>
      <c r="H877" s="1"/>
    </row>
    <row r="878" spans="1:8" ht="13.2" x14ac:dyDescent="0.25">
      <c r="A878" s="1"/>
      <c r="B878" s="1"/>
      <c r="C878" s="1"/>
      <c r="D878" s="1"/>
      <c r="E878" s="1"/>
      <c r="F878" s="1"/>
      <c r="G878" s="3"/>
      <c r="H878" s="1"/>
    </row>
    <row r="879" spans="1:8" ht="13.2" x14ac:dyDescent="0.25">
      <c r="A879" s="2"/>
      <c r="B879" s="1"/>
      <c r="C879" s="1"/>
      <c r="D879" s="1"/>
      <c r="E879" s="1"/>
      <c r="F879" s="1"/>
      <c r="G879" s="3"/>
      <c r="H879" s="1"/>
    </row>
    <row r="880" spans="1:8" ht="13.2" x14ac:dyDescent="0.25">
      <c r="A880" s="1"/>
      <c r="B880" s="1"/>
      <c r="C880" s="1"/>
      <c r="D880" s="1"/>
      <c r="E880" s="1"/>
      <c r="F880" s="1"/>
      <c r="G880" s="3"/>
      <c r="H880" s="1"/>
    </row>
    <row r="881" spans="1:8" ht="13.2" x14ac:dyDescent="0.25">
      <c r="A881" s="1"/>
      <c r="B881" s="1"/>
      <c r="C881" s="1"/>
      <c r="D881" s="1"/>
      <c r="E881" s="1"/>
      <c r="F881" s="1"/>
      <c r="G881" s="3"/>
      <c r="H881" s="1"/>
    </row>
    <row r="882" spans="1:8" ht="13.2" x14ac:dyDescent="0.25">
      <c r="A882" s="2"/>
      <c r="B882" s="1"/>
      <c r="C882" s="1"/>
      <c r="D882" s="1"/>
      <c r="E882" s="1"/>
      <c r="F882" s="1"/>
      <c r="G882" s="1"/>
      <c r="H882" s="1"/>
    </row>
    <row r="883" spans="1:8" ht="13.2" x14ac:dyDescent="0.25">
      <c r="A883" s="2"/>
      <c r="B883" s="1"/>
      <c r="C883" s="1"/>
      <c r="D883" s="1"/>
      <c r="E883" s="1"/>
      <c r="F883" s="1"/>
      <c r="G883" s="3"/>
      <c r="H883" s="1"/>
    </row>
    <row r="884" spans="1:8" ht="13.2" x14ac:dyDescent="0.25">
      <c r="A884" s="1"/>
      <c r="B884" s="1"/>
      <c r="C884" s="1"/>
      <c r="D884" s="1"/>
      <c r="E884" s="1"/>
      <c r="F884" s="1"/>
      <c r="G884" s="3"/>
      <c r="H884" s="1"/>
    </row>
    <row r="885" spans="1:8" ht="13.2" x14ac:dyDescent="0.25">
      <c r="A885" s="1"/>
      <c r="B885" s="1"/>
      <c r="C885" s="1"/>
      <c r="D885" s="1"/>
      <c r="E885" s="1"/>
      <c r="F885" s="1"/>
      <c r="G885" s="3"/>
      <c r="H885" s="1"/>
    </row>
    <row r="886" spans="1:8" ht="13.2" x14ac:dyDescent="0.25">
      <c r="A886" s="1"/>
      <c r="B886" s="1"/>
      <c r="C886" s="1"/>
      <c r="D886" s="1"/>
      <c r="E886" s="1"/>
      <c r="F886" s="1"/>
      <c r="G886" s="3"/>
      <c r="H886" s="1"/>
    </row>
    <row r="887" spans="1:8" ht="13.2" x14ac:dyDescent="0.25">
      <c r="A887" s="1"/>
      <c r="B887" s="1"/>
      <c r="C887" s="1"/>
      <c r="D887" s="1"/>
      <c r="E887" s="1"/>
      <c r="F887" s="1"/>
      <c r="G887" s="3"/>
      <c r="H887" s="1"/>
    </row>
    <row r="888" spans="1:8" ht="13.2" x14ac:dyDescent="0.25">
      <c r="A888" s="2"/>
      <c r="B888" s="1"/>
      <c r="C888" s="1"/>
      <c r="D888" s="1"/>
      <c r="E888" s="1"/>
      <c r="F888" s="1"/>
      <c r="G888" s="3"/>
      <c r="H888" s="1"/>
    </row>
    <row r="889" spans="1:8" ht="13.2" x14ac:dyDescent="0.25">
      <c r="A889" s="1"/>
      <c r="B889" s="1"/>
      <c r="C889" s="1"/>
      <c r="D889" s="1"/>
      <c r="E889" s="1"/>
      <c r="F889" s="1"/>
      <c r="G889" s="3"/>
      <c r="H889" s="1"/>
    </row>
    <row r="890" spans="1:8" ht="13.2" x14ac:dyDescent="0.25">
      <c r="A890" s="1"/>
      <c r="B890" s="1"/>
      <c r="C890" s="1"/>
      <c r="D890" s="1"/>
      <c r="E890" s="1"/>
      <c r="F890" s="1"/>
      <c r="G890" s="3"/>
      <c r="H890" s="1"/>
    </row>
    <row r="891" spans="1:8" ht="13.2" x14ac:dyDescent="0.25">
      <c r="A891" s="1"/>
      <c r="B891" s="1"/>
      <c r="C891" s="1"/>
      <c r="D891" s="1"/>
      <c r="E891" s="1"/>
      <c r="F891" s="1"/>
      <c r="G891" s="1"/>
      <c r="H891" s="1"/>
    </row>
    <row r="892" spans="1:8" ht="13.2" x14ac:dyDescent="0.25">
      <c r="A892" s="1"/>
      <c r="B892" s="1"/>
      <c r="C892" s="1"/>
      <c r="D892" s="1"/>
      <c r="E892" s="1"/>
      <c r="F892" s="1"/>
      <c r="G892" s="1"/>
      <c r="H892" s="1"/>
    </row>
    <row r="893" spans="1:8" ht="13.2" x14ac:dyDescent="0.25">
      <c r="A893" s="1"/>
      <c r="B893" s="1"/>
      <c r="C893" s="1"/>
      <c r="D893" s="1"/>
      <c r="E893" s="1"/>
      <c r="F893" s="1"/>
      <c r="G893" s="1"/>
      <c r="H893" s="1"/>
    </row>
    <row r="894" spans="1:8" ht="13.2" x14ac:dyDescent="0.25">
      <c r="A894" s="1"/>
      <c r="B894" s="1"/>
      <c r="C894" s="1"/>
      <c r="D894" s="1"/>
      <c r="E894" s="1"/>
      <c r="F894" s="1"/>
      <c r="G894" s="1"/>
      <c r="H894" s="1"/>
    </row>
    <row r="895" spans="1:8" ht="13.2" x14ac:dyDescent="0.25">
      <c r="A895" s="1"/>
      <c r="B895" s="1"/>
      <c r="C895" s="1"/>
      <c r="D895" s="1"/>
      <c r="E895" s="1"/>
      <c r="F895" s="1"/>
      <c r="G895" s="1"/>
      <c r="H895" s="1"/>
    </row>
    <row r="896" spans="1:8" ht="13.2" x14ac:dyDescent="0.25">
      <c r="A896" s="1"/>
      <c r="B896" s="1"/>
      <c r="C896" s="1"/>
      <c r="D896" s="1"/>
      <c r="E896" s="1"/>
      <c r="F896" s="1"/>
      <c r="G896" s="1"/>
      <c r="H896" s="1"/>
    </row>
    <row r="897" spans="1:8" ht="13.2" x14ac:dyDescent="0.25">
      <c r="A897" s="2"/>
      <c r="B897" s="1"/>
      <c r="C897" s="1"/>
      <c r="D897" s="1"/>
      <c r="E897" s="1"/>
      <c r="F897" s="1"/>
      <c r="G897" s="1"/>
      <c r="H897" s="1"/>
    </row>
    <row r="898" spans="1:8" ht="13.2" x14ac:dyDescent="0.25">
      <c r="A898" s="1"/>
      <c r="B898" s="1"/>
      <c r="C898" s="1"/>
      <c r="D898" s="1"/>
      <c r="E898" s="1"/>
      <c r="F898" s="1"/>
      <c r="G898" s="1"/>
      <c r="H898" s="1"/>
    </row>
    <row r="899" spans="1:8" ht="13.2" x14ac:dyDescent="0.25">
      <c r="A899" s="1"/>
      <c r="B899" s="1"/>
      <c r="C899" s="1"/>
      <c r="D899" s="1"/>
      <c r="E899" s="1"/>
      <c r="F899" s="1"/>
      <c r="G899" s="1"/>
      <c r="H899" s="1"/>
    </row>
    <row r="900" spans="1:8" ht="13.2" x14ac:dyDescent="0.25">
      <c r="A900" s="2"/>
      <c r="B900" s="1"/>
      <c r="C900" s="1"/>
      <c r="D900" s="1"/>
      <c r="E900" s="1"/>
      <c r="F900" s="1"/>
      <c r="G900" s="1"/>
      <c r="H900" s="1"/>
    </row>
    <row r="901" spans="1:8" ht="13.2" x14ac:dyDescent="0.25">
      <c r="A901" s="2"/>
      <c r="B901" s="1"/>
      <c r="C901" s="1"/>
      <c r="D901" s="1"/>
      <c r="E901" s="1"/>
      <c r="F901" s="1"/>
      <c r="G901" s="1"/>
      <c r="H901" s="1"/>
    </row>
    <row r="902" spans="1:8" ht="13.2" x14ac:dyDescent="0.25">
      <c r="A902" s="1"/>
      <c r="B902" s="1"/>
      <c r="C902" s="1"/>
      <c r="D902" s="1"/>
      <c r="E902" s="1"/>
      <c r="F902" s="1"/>
      <c r="G902" s="3"/>
      <c r="H902" s="1"/>
    </row>
    <row r="903" spans="1:8" ht="13.2" x14ac:dyDescent="0.25">
      <c r="A903" s="1"/>
      <c r="B903" s="1"/>
      <c r="C903" s="1"/>
      <c r="D903" s="1"/>
      <c r="E903" s="1"/>
      <c r="F903" s="1"/>
      <c r="G903" s="1"/>
      <c r="H903" s="1"/>
    </row>
    <row r="904" spans="1:8" ht="13.2" x14ac:dyDescent="0.25">
      <c r="A904" s="1"/>
      <c r="B904" s="1"/>
      <c r="C904" s="1"/>
      <c r="D904" s="1"/>
      <c r="E904" s="1"/>
      <c r="F904" s="1"/>
      <c r="G904" s="1"/>
      <c r="H904" s="1"/>
    </row>
    <row r="905" spans="1:8" ht="13.2" x14ac:dyDescent="0.25">
      <c r="A905" s="2"/>
      <c r="B905" s="1"/>
      <c r="C905" s="1"/>
      <c r="D905" s="1"/>
      <c r="E905" s="1"/>
      <c r="F905" s="1"/>
      <c r="G905" s="1"/>
      <c r="H905" s="1"/>
    </row>
    <row r="906" spans="1:8" ht="13.2" x14ac:dyDescent="0.25">
      <c r="A906" s="1"/>
      <c r="B906" s="1"/>
      <c r="C906" s="1"/>
      <c r="D906" s="1"/>
      <c r="E906" s="1"/>
      <c r="F906" s="1"/>
      <c r="G906" s="1"/>
      <c r="H906" s="1"/>
    </row>
    <row r="907" spans="1:8" ht="13.2" x14ac:dyDescent="0.25">
      <c r="A907" s="1"/>
      <c r="B907" s="1"/>
      <c r="C907" s="1"/>
      <c r="D907" s="1"/>
      <c r="E907" s="1"/>
      <c r="F907" s="1"/>
      <c r="G907" s="1"/>
      <c r="H907" s="1"/>
    </row>
    <row r="908" spans="1:8" ht="13.2" x14ac:dyDescent="0.25">
      <c r="A908" s="1"/>
      <c r="B908" s="1"/>
      <c r="C908" s="1"/>
      <c r="D908" s="1"/>
      <c r="E908" s="1"/>
      <c r="F908" s="1"/>
      <c r="G908" s="1"/>
      <c r="H908" s="1"/>
    </row>
    <row r="909" spans="1:8" ht="13.2" x14ac:dyDescent="0.25">
      <c r="A909" s="1"/>
      <c r="B909" s="1"/>
      <c r="C909" s="1"/>
      <c r="D909" s="1"/>
      <c r="E909" s="1"/>
      <c r="F909" s="1"/>
      <c r="G909" s="1"/>
      <c r="H909" s="1"/>
    </row>
    <row r="910" spans="1:8" ht="13.2" x14ac:dyDescent="0.25">
      <c r="A910" s="1"/>
      <c r="B910" s="1"/>
      <c r="C910" s="1"/>
      <c r="D910" s="1"/>
      <c r="E910" s="1"/>
      <c r="F910" s="1"/>
      <c r="G910" s="1"/>
      <c r="H910" s="1"/>
    </row>
    <row r="911" spans="1:8" ht="13.2" x14ac:dyDescent="0.25">
      <c r="A911" s="2"/>
      <c r="B911" s="1"/>
      <c r="C911" s="1"/>
      <c r="D911" s="1"/>
      <c r="E911" s="1"/>
      <c r="F911" s="1"/>
      <c r="G911" s="1"/>
      <c r="H911" s="1"/>
    </row>
    <row r="912" spans="1:8" ht="13.2" x14ac:dyDescent="0.25">
      <c r="A912" s="2"/>
      <c r="B912" s="1"/>
      <c r="C912" s="1"/>
      <c r="D912" s="1"/>
      <c r="E912" s="1"/>
      <c r="F912" s="1"/>
      <c r="G912" s="1"/>
      <c r="H912" s="1"/>
    </row>
    <row r="913" spans="1:8" ht="13.2" x14ac:dyDescent="0.25">
      <c r="A913" s="2"/>
      <c r="B913" s="1"/>
      <c r="C913" s="1"/>
      <c r="D913" s="1"/>
      <c r="E913" s="1"/>
      <c r="F913" s="1"/>
      <c r="G913" s="3"/>
      <c r="H913" s="1"/>
    </row>
    <row r="914" spans="1:8" ht="13.2" x14ac:dyDescent="0.25">
      <c r="A914" s="1"/>
      <c r="B914" s="1"/>
      <c r="C914" s="1"/>
      <c r="D914" s="1"/>
      <c r="E914" s="1"/>
      <c r="F914" s="1"/>
      <c r="G914" s="3"/>
      <c r="H914" s="1"/>
    </row>
    <row r="915" spans="1:8" ht="13.2" x14ac:dyDescent="0.25">
      <c r="A915" s="1"/>
      <c r="B915" s="1"/>
      <c r="C915" s="1"/>
      <c r="D915" s="1"/>
      <c r="E915" s="1"/>
      <c r="F915" s="1"/>
      <c r="G915" s="3"/>
      <c r="H915" s="1"/>
    </row>
    <row r="916" spans="1:8" ht="13.2" x14ac:dyDescent="0.25">
      <c r="A916" s="1"/>
      <c r="B916" s="1"/>
      <c r="C916" s="1"/>
      <c r="D916" s="1"/>
      <c r="E916" s="1"/>
      <c r="F916" s="1"/>
      <c r="G916" s="3"/>
      <c r="H916" s="1"/>
    </row>
    <row r="917" spans="1:8" ht="13.2" x14ac:dyDescent="0.25">
      <c r="A917" s="1"/>
      <c r="B917" s="1"/>
      <c r="C917" s="1"/>
      <c r="D917" s="1"/>
      <c r="E917" s="1"/>
      <c r="F917" s="1"/>
      <c r="G917" s="1"/>
      <c r="H917" s="1"/>
    </row>
    <row r="918" spans="1:8" ht="13.2" x14ac:dyDescent="0.25">
      <c r="A918" s="1"/>
      <c r="B918" s="1"/>
      <c r="C918" s="1"/>
      <c r="D918" s="1"/>
      <c r="E918" s="1"/>
      <c r="F918" s="1"/>
      <c r="G918" s="3"/>
      <c r="H918" s="1"/>
    </row>
    <row r="919" spans="1:8" ht="13.2" x14ac:dyDescent="0.25">
      <c r="A919" s="1"/>
      <c r="B919" s="1"/>
      <c r="C919" s="1"/>
      <c r="D919" s="1"/>
      <c r="E919" s="1"/>
      <c r="F919" s="1"/>
      <c r="G919" s="1"/>
      <c r="H919" s="1"/>
    </row>
    <row r="920" spans="1:8" ht="13.2" x14ac:dyDescent="0.25">
      <c r="A920" s="1"/>
      <c r="B920" s="1"/>
      <c r="C920" s="1"/>
      <c r="D920" s="1"/>
      <c r="E920" s="1"/>
      <c r="F920" s="1"/>
      <c r="G920" s="1"/>
      <c r="H920" s="1"/>
    </row>
    <row r="921" spans="1:8" ht="13.2" x14ac:dyDescent="0.25">
      <c r="A921" s="1"/>
      <c r="B921" s="1"/>
      <c r="C921" s="1"/>
      <c r="D921" s="1"/>
      <c r="E921" s="1"/>
      <c r="F921" s="1"/>
      <c r="G921" s="3"/>
      <c r="H921" s="1"/>
    </row>
    <row r="922" spans="1:8" ht="13.2" x14ac:dyDescent="0.25">
      <c r="A922" s="1"/>
      <c r="B922" s="1"/>
      <c r="C922" s="1"/>
      <c r="D922" s="1"/>
      <c r="E922" s="1"/>
      <c r="F922" s="1"/>
      <c r="G922" s="1"/>
      <c r="H922" s="1"/>
    </row>
    <row r="923" spans="1:8" ht="13.2" x14ac:dyDescent="0.25">
      <c r="A923" s="1"/>
      <c r="B923" s="1"/>
      <c r="C923" s="1"/>
      <c r="D923" s="1"/>
      <c r="E923" s="1"/>
      <c r="F923" s="1"/>
      <c r="G923" s="1"/>
      <c r="H923" s="1"/>
    </row>
    <row r="924" spans="1:8" ht="13.2" x14ac:dyDescent="0.25">
      <c r="A924" s="2"/>
      <c r="B924" s="1"/>
      <c r="C924" s="1"/>
      <c r="D924" s="1"/>
      <c r="E924" s="1"/>
      <c r="F924" s="1"/>
      <c r="G924" s="1"/>
      <c r="H924" s="1"/>
    </row>
    <row r="925" spans="1:8" ht="13.2" x14ac:dyDescent="0.25">
      <c r="A925" s="1"/>
      <c r="B925" s="1"/>
      <c r="C925" s="1"/>
      <c r="D925" s="1"/>
      <c r="E925" s="1"/>
      <c r="F925" s="1"/>
      <c r="G925" s="1"/>
      <c r="H925" s="1"/>
    </row>
    <row r="926" spans="1:8" ht="13.2" x14ac:dyDescent="0.25">
      <c r="A926" s="2"/>
      <c r="B926" s="1"/>
      <c r="C926" s="1"/>
      <c r="D926" s="1"/>
      <c r="E926" s="1"/>
      <c r="F926" s="1"/>
      <c r="G926" s="1"/>
      <c r="H926" s="1"/>
    </row>
    <row r="927" spans="1:8" ht="13.2" x14ac:dyDescent="0.25">
      <c r="A927" s="1"/>
      <c r="B927" s="1"/>
      <c r="C927" s="1"/>
      <c r="D927" s="1"/>
      <c r="E927" s="1"/>
      <c r="F927" s="1"/>
      <c r="G927" s="3"/>
      <c r="H927" s="1"/>
    </row>
    <row r="928" spans="1:8" ht="13.2" x14ac:dyDescent="0.25">
      <c r="A928" s="1"/>
      <c r="B928" s="1"/>
      <c r="C928" s="1"/>
      <c r="D928" s="1"/>
      <c r="E928" s="1"/>
      <c r="F928" s="1"/>
      <c r="G928" s="3"/>
      <c r="H928" s="1"/>
    </row>
    <row r="929" spans="1:8" ht="13.2" x14ac:dyDescent="0.25">
      <c r="A929" s="1"/>
      <c r="B929" s="1"/>
      <c r="C929" s="1"/>
      <c r="D929" s="1"/>
      <c r="E929" s="1"/>
      <c r="F929" s="1"/>
      <c r="G929" s="1"/>
      <c r="H929" s="1"/>
    </row>
    <row r="930" spans="1:8" ht="13.2" x14ac:dyDescent="0.25">
      <c r="A930" s="2"/>
      <c r="B930" s="1"/>
      <c r="C930" s="1"/>
      <c r="D930" s="1"/>
      <c r="E930" s="1"/>
      <c r="F930" s="1"/>
      <c r="G930" s="1"/>
      <c r="H930" s="1"/>
    </row>
    <row r="931" spans="1:8" ht="13.2" x14ac:dyDescent="0.25">
      <c r="A931" s="1"/>
      <c r="B931" s="1"/>
      <c r="C931" s="1"/>
      <c r="D931" s="1"/>
      <c r="E931" s="1"/>
      <c r="F931" s="1"/>
      <c r="G931" s="3"/>
      <c r="H931" s="1"/>
    </row>
    <row r="932" spans="1:8" ht="13.2" x14ac:dyDescent="0.25">
      <c r="A932" s="1"/>
      <c r="B932" s="1"/>
      <c r="C932" s="1"/>
      <c r="D932" s="1"/>
      <c r="E932" s="1"/>
      <c r="F932" s="1"/>
      <c r="G932" s="1"/>
      <c r="H932" s="1"/>
    </row>
    <row r="933" spans="1:8" ht="13.2" x14ac:dyDescent="0.25">
      <c r="A933" s="2"/>
      <c r="B933" s="1"/>
      <c r="C933" s="1"/>
      <c r="D933" s="1"/>
      <c r="E933" s="1"/>
      <c r="F933" s="1"/>
      <c r="G933" s="1"/>
      <c r="H933" s="1"/>
    </row>
    <row r="934" spans="1:8" ht="13.2" x14ac:dyDescent="0.25">
      <c r="A934" s="2"/>
      <c r="B934" s="1"/>
      <c r="C934" s="1"/>
      <c r="D934" s="1"/>
      <c r="E934" s="1"/>
      <c r="F934" s="1"/>
      <c r="G934" s="1"/>
      <c r="H934" s="1"/>
    </row>
    <row r="935" spans="1:8" ht="13.2" x14ac:dyDescent="0.25">
      <c r="A935" s="1"/>
      <c r="B935" s="1"/>
      <c r="C935" s="1"/>
      <c r="D935" s="1"/>
      <c r="E935" s="1"/>
      <c r="F935" s="1"/>
      <c r="G935" s="1"/>
      <c r="H935" s="1"/>
    </row>
    <row r="936" spans="1:8" ht="13.2" x14ac:dyDescent="0.25">
      <c r="A936" s="2"/>
      <c r="B936" s="1"/>
      <c r="C936" s="1"/>
      <c r="D936" s="1"/>
      <c r="E936" s="1"/>
      <c r="F936" s="1"/>
      <c r="G936" s="1"/>
      <c r="H936" s="1"/>
    </row>
    <row r="937" spans="1:8" ht="13.2" x14ac:dyDescent="0.25">
      <c r="A937" s="2"/>
      <c r="B937" s="1"/>
      <c r="C937" s="1"/>
      <c r="D937" s="1"/>
      <c r="E937" s="1"/>
      <c r="F937" s="1"/>
      <c r="G937" s="1"/>
      <c r="H937" s="1"/>
    </row>
    <row r="938" spans="1:8" ht="13.2" x14ac:dyDescent="0.25">
      <c r="A938" s="2"/>
      <c r="B938" s="1"/>
      <c r="C938" s="1"/>
      <c r="D938" s="1"/>
      <c r="E938" s="1"/>
      <c r="F938" s="1"/>
      <c r="G938" s="3"/>
      <c r="H938" s="1"/>
    </row>
    <row r="939" spans="1:8" ht="13.2" x14ac:dyDescent="0.25">
      <c r="A939" s="2"/>
      <c r="B939" s="1"/>
      <c r="C939" s="1"/>
      <c r="D939" s="1"/>
      <c r="E939" s="1"/>
      <c r="F939" s="1"/>
      <c r="G939" s="1"/>
      <c r="H939" s="1"/>
    </row>
    <row r="940" spans="1:8" ht="13.2" x14ac:dyDescent="0.25">
      <c r="A940" s="2"/>
      <c r="B940" s="1"/>
      <c r="C940" s="1"/>
      <c r="D940" s="1"/>
      <c r="E940" s="1"/>
      <c r="F940" s="1"/>
      <c r="G940" s="1"/>
      <c r="H940" s="1"/>
    </row>
    <row r="941" spans="1:8" ht="13.2" x14ac:dyDescent="0.25">
      <c r="A941" s="1"/>
      <c r="B941" s="1"/>
      <c r="C941" s="1"/>
      <c r="D941" s="1"/>
      <c r="E941" s="1"/>
      <c r="F941" s="1"/>
      <c r="G941" s="1"/>
      <c r="H941" s="1"/>
    </row>
    <row r="942" spans="1:8" ht="13.2" x14ac:dyDescent="0.25">
      <c r="A942" s="2"/>
      <c r="B942" s="1"/>
      <c r="C942" s="1"/>
      <c r="D942" s="1"/>
      <c r="E942" s="1"/>
      <c r="F942" s="1"/>
      <c r="G942" s="1"/>
      <c r="H942" s="1"/>
    </row>
    <row r="943" spans="1:8" ht="13.2" x14ac:dyDescent="0.25">
      <c r="A943" s="1"/>
      <c r="B943" s="1"/>
      <c r="C943" s="1"/>
      <c r="D943" s="1"/>
      <c r="E943" s="1"/>
      <c r="F943" s="1"/>
      <c r="G943" s="3"/>
      <c r="H943" s="1"/>
    </row>
    <row r="944" spans="1:8" ht="13.2" x14ac:dyDescent="0.25">
      <c r="A944" s="1"/>
      <c r="B944" s="1"/>
      <c r="C944" s="1"/>
      <c r="D944" s="1"/>
      <c r="E944" s="1"/>
      <c r="F944" s="1"/>
      <c r="G944" s="3"/>
      <c r="H944" s="1"/>
    </row>
    <row r="945" spans="1:8" ht="13.2" x14ac:dyDescent="0.25">
      <c r="A945" s="2"/>
      <c r="B945" s="1"/>
      <c r="C945" s="1"/>
      <c r="D945" s="1"/>
      <c r="E945" s="1"/>
      <c r="F945" s="1"/>
      <c r="G945" s="1"/>
      <c r="H945" s="1"/>
    </row>
    <row r="946" spans="1:8" ht="13.2" x14ac:dyDescent="0.25">
      <c r="A946" s="1"/>
      <c r="B946" s="1"/>
      <c r="C946" s="1"/>
      <c r="D946" s="1"/>
      <c r="E946" s="1"/>
      <c r="F946" s="1"/>
      <c r="G946" s="1"/>
      <c r="H946" s="1"/>
    </row>
    <row r="947" spans="1:8" ht="13.2" x14ac:dyDescent="0.25">
      <c r="A947" s="1"/>
      <c r="B947" s="1"/>
      <c r="C947" s="1"/>
      <c r="D947" s="1"/>
      <c r="E947" s="1"/>
      <c r="F947" s="1"/>
      <c r="G947" s="1"/>
      <c r="H947" s="1"/>
    </row>
    <row r="948" spans="1:8" ht="13.2" x14ac:dyDescent="0.25">
      <c r="A948" s="1"/>
      <c r="B948" s="1"/>
      <c r="C948" s="1"/>
      <c r="D948" s="1"/>
      <c r="E948" s="1"/>
      <c r="F948" s="1"/>
      <c r="G948" s="1"/>
      <c r="H948" s="1"/>
    </row>
    <row r="949" spans="1:8" ht="13.2" x14ac:dyDescent="0.25">
      <c r="A949" s="1"/>
      <c r="B949" s="1"/>
      <c r="C949" s="1"/>
      <c r="D949" s="1"/>
      <c r="E949" s="1"/>
      <c r="F949" s="1"/>
      <c r="G949" s="1"/>
      <c r="H949" s="1"/>
    </row>
    <row r="950" spans="1:8" ht="13.2" x14ac:dyDescent="0.25">
      <c r="A950" s="1"/>
      <c r="B950" s="1"/>
      <c r="C950" s="1"/>
      <c r="D950" s="1"/>
      <c r="E950" s="1"/>
      <c r="F950" s="1"/>
      <c r="G950" s="1"/>
      <c r="H950" s="1"/>
    </row>
    <row r="951" spans="1:8" ht="13.2" x14ac:dyDescent="0.25">
      <c r="A951" s="2"/>
      <c r="B951" s="1"/>
      <c r="C951" s="1"/>
      <c r="D951" s="1"/>
      <c r="E951" s="1"/>
      <c r="F951" s="1"/>
      <c r="G951" s="1"/>
      <c r="H951" s="1"/>
    </row>
    <row r="952" spans="1:8" ht="13.2" x14ac:dyDescent="0.25">
      <c r="A952" s="1"/>
      <c r="B952" s="1"/>
      <c r="C952" s="1"/>
      <c r="D952" s="1"/>
      <c r="E952" s="1"/>
      <c r="F952" s="1"/>
      <c r="G952" s="3"/>
      <c r="H952" s="1"/>
    </row>
    <row r="953" spans="1:8" ht="13.2" x14ac:dyDescent="0.25">
      <c r="A953" s="1"/>
      <c r="B953" s="1"/>
      <c r="C953" s="1"/>
      <c r="D953" s="1"/>
      <c r="E953" s="1"/>
      <c r="F953" s="1"/>
      <c r="G953" s="1"/>
      <c r="H953" s="1"/>
    </row>
    <row r="954" spans="1:8" ht="13.2" x14ac:dyDescent="0.25">
      <c r="A954" s="2"/>
      <c r="B954" s="1"/>
      <c r="C954" s="1"/>
      <c r="D954" s="1"/>
      <c r="E954" s="1"/>
      <c r="F954" s="1"/>
      <c r="G954" s="1"/>
      <c r="H954" s="1"/>
    </row>
    <row r="955" spans="1:8" ht="13.2" x14ac:dyDescent="0.25">
      <c r="A955" s="1"/>
      <c r="B955" s="1"/>
      <c r="C955" s="1"/>
      <c r="D955" s="1"/>
      <c r="E955" s="1"/>
      <c r="F955" s="1"/>
      <c r="G955" s="1"/>
      <c r="H955" s="1"/>
    </row>
    <row r="956" spans="1:8" ht="13.2" x14ac:dyDescent="0.25">
      <c r="A956" s="1"/>
      <c r="B956" s="1"/>
      <c r="C956" s="1"/>
      <c r="D956" s="1"/>
      <c r="E956" s="1"/>
      <c r="F956" s="1"/>
      <c r="G956" s="1"/>
      <c r="H956" s="1"/>
    </row>
    <row r="957" spans="1:8" ht="13.2" x14ac:dyDescent="0.25">
      <c r="A957" s="1"/>
      <c r="B957" s="1"/>
      <c r="C957" s="1"/>
      <c r="D957" s="1"/>
      <c r="E957" s="1"/>
      <c r="F957" s="1"/>
      <c r="G957" s="1"/>
      <c r="H957" s="1"/>
    </row>
    <row r="958" spans="1:8" ht="13.2" x14ac:dyDescent="0.25">
      <c r="A958" s="1"/>
      <c r="B958" s="1"/>
      <c r="C958" s="1"/>
      <c r="D958" s="1"/>
      <c r="E958" s="1"/>
      <c r="F958" s="1"/>
      <c r="G958" s="1"/>
      <c r="H958" s="1"/>
    </row>
    <row r="959" spans="1:8" ht="13.2" x14ac:dyDescent="0.25">
      <c r="A959" s="1"/>
      <c r="B959" s="1"/>
      <c r="C959" s="1"/>
      <c r="D959" s="1"/>
      <c r="E959" s="1"/>
      <c r="F959" s="1"/>
      <c r="G959" s="1"/>
      <c r="H959" s="1"/>
    </row>
    <row r="960" spans="1:8" ht="13.2" x14ac:dyDescent="0.25">
      <c r="A960" s="2"/>
      <c r="B960" s="1"/>
      <c r="C960" s="1"/>
      <c r="D960" s="1"/>
      <c r="E960" s="1"/>
      <c r="F960" s="1"/>
      <c r="G960" s="1"/>
      <c r="H960" s="1"/>
    </row>
    <row r="961" spans="1:8" ht="13.2" x14ac:dyDescent="0.25">
      <c r="A961" s="2"/>
      <c r="B961" s="1"/>
      <c r="C961" s="1"/>
      <c r="D961" s="1"/>
      <c r="E961" s="1"/>
      <c r="F961" s="1"/>
      <c r="G961" s="3"/>
      <c r="H961" s="1"/>
    </row>
    <row r="962" spans="1:8" ht="13.2" x14ac:dyDescent="0.25">
      <c r="A962" s="2"/>
      <c r="B962" s="1"/>
      <c r="C962" s="1"/>
      <c r="D962" s="1"/>
      <c r="E962" s="1"/>
      <c r="F962" s="1"/>
      <c r="G962" s="1"/>
      <c r="H962" s="1"/>
    </row>
    <row r="963" spans="1:8" ht="13.2" x14ac:dyDescent="0.25">
      <c r="A963" s="2"/>
      <c r="B963" s="1"/>
      <c r="C963" s="1"/>
      <c r="D963" s="1"/>
      <c r="E963" s="1"/>
      <c r="F963" s="1"/>
      <c r="G963" s="1"/>
      <c r="H963" s="1"/>
    </row>
    <row r="964" spans="1:8" ht="13.2" x14ac:dyDescent="0.25">
      <c r="A964" s="2"/>
      <c r="B964" s="1"/>
      <c r="C964" s="1"/>
      <c r="D964" s="1"/>
      <c r="E964" s="1"/>
      <c r="F964" s="1"/>
      <c r="G964" s="1"/>
      <c r="H964" s="1"/>
    </row>
    <row r="965" spans="1:8" ht="13.2" x14ac:dyDescent="0.25">
      <c r="A965" s="1"/>
      <c r="B965" s="1"/>
      <c r="C965" s="1"/>
      <c r="D965" s="1"/>
      <c r="E965" s="1"/>
      <c r="F965" s="1"/>
      <c r="G965" s="1"/>
      <c r="H965" s="1"/>
    </row>
    <row r="966" spans="1:8" ht="13.2" x14ac:dyDescent="0.25">
      <c r="A966" s="1"/>
      <c r="B966" s="1"/>
      <c r="C966" s="1"/>
      <c r="D966" s="1"/>
      <c r="E966" s="1"/>
      <c r="F966" s="1"/>
      <c r="G966" s="1"/>
      <c r="H966" s="1"/>
    </row>
    <row r="967" spans="1:8" ht="13.2" x14ac:dyDescent="0.25">
      <c r="A967" s="1"/>
      <c r="B967" s="1"/>
      <c r="C967" s="1"/>
      <c r="D967" s="1"/>
      <c r="E967" s="1"/>
      <c r="F967" s="1"/>
      <c r="G967" s="1"/>
      <c r="H967" s="1"/>
    </row>
    <row r="968" spans="1:8" ht="13.2" x14ac:dyDescent="0.25">
      <c r="A968" s="1"/>
      <c r="B968" s="1"/>
      <c r="C968" s="1"/>
      <c r="D968" s="1"/>
      <c r="E968" s="1"/>
      <c r="F968" s="1"/>
      <c r="G968" s="1"/>
      <c r="H968" s="1"/>
    </row>
    <row r="969" spans="1:8" ht="13.2" x14ac:dyDescent="0.25">
      <c r="A969" s="1"/>
      <c r="B969" s="1"/>
      <c r="C969" s="1"/>
      <c r="D969" s="1"/>
      <c r="E969" s="1"/>
      <c r="F969" s="1"/>
      <c r="G969" s="3"/>
      <c r="H969" s="1"/>
    </row>
    <row r="970" spans="1:8" ht="13.2" x14ac:dyDescent="0.25">
      <c r="A970" s="2"/>
      <c r="B970" s="1"/>
      <c r="C970" s="1"/>
      <c r="D970" s="1"/>
      <c r="E970" s="1"/>
      <c r="F970" s="1"/>
      <c r="G970" s="3"/>
      <c r="H970" s="1"/>
    </row>
    <row r="971" spans="1:8" ht="13.2" x14ac:dyDescent="0.25">
      <c r="A971" s="1"/>
      <c r="B971" s="1"/>
      <c r="C971" s="1"/>
      <c r="D971" s="1"/>
      <c r="E971" s="1"/>
      <c r="F971" s="1"/>
      <c r="G971" s="3"/>
      <c r="H971" s="1"/>
    </row>
    <row r="972" spans="1:8" ht="13.2" x14ac:dyDescent="0.25">
      <c r="A972" s="2"/>
      <c r="B972" s="1"/>
      <c r="C972" s="1"/>
      <c r="D972" s="1"/>
      <c r="E972" s="1"/>
      <c r="F972" s="1"/>
      <c r="G972" s="3"/>
      <c r="H972" s="1"/>
    </row>
    <row r="973" spans="1:8" ht="13.2" x14ac:dyDescent="0.25">
      <c r="A973" s="1"/>
      <c r="B973" s="1"/>
      <c r="C973" s="1"/>
      <c r="D973" s="1"/>
      <c r="E973" s="1"/>
      <c r="F973" s="1"/>
      <c r="G973" s="1"/>
      <c r="H973" s="1"/>
    </row>
    <row r="974" spans="1:8" ht="13.2" x14ac:dyDescent="0.25">
      <c r="A974" s="1"/>
      <c r="B974" s="1"/>
      <c r="C974" s="1"/>
      <c r="D974" s="1"/>
      <c r="E974" s="1"/>
      <c r="F974" s="1"/>
      <c r="G974" s="1"/>
      <c r="H974" s="1"/>
    </row>
    <row r="975" spans="1:8" ht="13.2" x14ac:dyDescent="0.25">
      <c r="A975" s="1"/>
      <c r="B975" s="1"/>
      <c r="C975" s="1"/>
      <c r="D975" s="1"/>
      <c r="E975" s="1"/>
      <c r="F975" s="1"/>
      <c r="G975" s="1"/>
      <c r="H975" s="1"/>
    </row>
    <row r="976" spans="1:8" ht="13.2" x14ac:dyDescent="0.25">
      <c r="A976" s="1"/>
      <c r="B976" s="1"/>
      <c r="C976" s="1"/>
      <c r="D976" s="1"/>
      <c r="E976" s="1"/>
      <c r="F976" s="1"/>
      <c r="G976" s="1"/>
      <c r="H976" s="1"/>
    </row>
    <row r="977" spans="1:8" ht="13.2" x14ac:dyDescent="0.25">
      <c r="A977" s="1"/>
      <c r="B977" s="1"/>
      <c r="C977" s="1"/>
      <c r="D977" s="1"/>
      <c r="E977" s="1"/>
      <c r="F977" s="1"/>
      <c r="G977" s="1"/>
      <c r="H977" s="1"/>
    </row>
    <row r="978" spans="1:8" ht="13.2" x14ac:dyDescent="0.25">
      <c r="A978" s="2"/>
      <c r="B978" s="1"/>
      <c r="C978" s="1"/>
      <c r="D978" s="1"/>
      <c r="E978" s="1"/>
      <c r="F978" s="1"/>
      <c r="G978" s="1"/>
      <c r="H978" s="1"/>
    </row>
    <row r="979" spans="1:8" ht="13.2" x14ac:dyDescent="0.25">
      <c r="A979" s="2"/>
      <c r="B979" s="1"/>
      <c r="C979" s="1"/>
      <c r="D979" s="1"/>
      <c r="E979" s="1"/>
      <c r="F979" s="1"/>
      <c r="G979" s="3"/>
      <c r="H979" s="1"/>
    </row>
    <row r="980" spans="1:8" ht="13.2" x14ac:dyDescent="0.25">
      <c r="A980" s="2"/>
      <c r="B980" s="1"/>
      <c r="C980" s="1"/>
      <c r="D980" s="1"/>
      <c r="E980" s="1"/>
      <c r="F980" s="1"/>
      <c r="G980" s="3"/>
      <c r="H980" s="1"/>
    </row>
    <row r="981" spans="1:8" ht="13.2" x14ac:dyDescent="0.25">
      <c r="A981" s="2"/>
      <c r="B981" s="1"/>
      <c r="C981" s="1"/>
      <c r="D981" s="1"/>
      <c r="E981" s="1"/>
      <c r="F981" s="1"/>
      <c r="G981" s="1"/>
      <c r="H981" s="1"/>
    </row>
    <row r="982" spans="1:8" ht="13.2" x14ac:dyDescent="0.25">
      <c r="A982" s="1"/>
      <c r="B982" s="1"/>
      <c r="C982" s="1"/>
      <c r="D982" s="1"/>
      <c r="E982" s="1"/>
      <c r="F982" s="1"/>
      <c r="G982" s="3"/>
      <c r="H982" s="1"/>
    </row>
    <row r="983" spans="1:8" ht="13.2" x14ac:dyDescent="0.25">
      <c r="A983" s="2"/>
      <c r="B983" s="1"/>
      <c r="C983" s="1"/>
      <c r="D983" s="1"/>
      <c r="E983" s="1"/>
      <c r="F983" s="1"/>
      <c r="G983" s="1"/>
      <c r="H983" s="1"/>
    </row>
    <row r="984" spans="1:8" ht="13.2" x14ac:dyDescent="0.25">
      <c r="A984" s="1"/>
      <c r="B984" s="1"/>
      <c r="C984" s="1"/>
      <c r="D984" s="1"/>
      <c r="E984" s="1"/>
      <c r="F984" s="1"/>
      <c r="G984" s="1"/>
      <c r="H984" s="1"/>
    </row>
    <row r="985" spans="1:8" ht="13.2" x14ac:dyDescent="0.25">
      <c r="A985" s="2"/>
      <c r="B985" s="1"/>
      <c r="C985" s="1"/>
      <c r="D985" s="1"/>
      <c r="E985" s="1"/>
      <c r="F985" s="1"/>
      <c r="G985" s="1"/>
      <c r="H985" s="1"/>
    </row>
    <row r="986" spans="1:8" ht="13.2" x14ac:dyDescent="0.25">
      <c r="A986" s="1"/>
      <c r="B986" s="1"/>
      <c r="C986" s="1"/>
      <c r="D986" s="1"/>
      <c r="E986" s="1"/>
      <c r="F986" s="1"/>
      <c r="G986" s="1"/>
      <c r="H986" s="1"/>
    </row>
    <row r="987" spans="1:8" ht="13.2" x14ac:dyDescent="0.25">
      <c r="A987" s="2"/>
      <c r="B987" s="1"/>
      <c r="C987" s="1"/>
      <c r="D987" s="1"/>
      <c r="E987" s="1"/>
      <c r="F987" s="1"/>
      <c r="G987" s="1"/>
      <c r="H987" s="1"/>
    </row>
    <row r="988" spans="1:8" ht="13.2" x14ac:dyDescent="0.25">
      <c r="A988" s="1"/>
      <c r="B988" s="1"/>
      <c r="C988" s="1"/>
      <c r="D988" s="1"/>
      <c r="E988" s="1"/>
      <c r="F988" s="1"/>
      <c r="G988" s="1"/>
      <c r="H988" s="1"/>
    </row>
    <row r="989" spans="1:8" ht="13.2" x14ac:dyDescent="0.25">
      <c r="A989" s="2"/>
      <c r="B989" s="1"/>
      <c r="C989" s="1"/>
      <c r="D989" s="1"/>
      <c r="E989" s="1"/>
      <c r="F989" s="1"/>
      <c r="G989" s="3"/>
      <c r="H989" s="1"/>
    </row>
    <row r="990" spans="1:8" ht="13.2" x14ac:dyDescent="0.25">
      <c r="A990" s="1"/>
      <c r="B990" s="1"/>
      <c r="C990" s="1"/>
      <c r="D990" s="1"/>
      <c r="E990" s="1"/>
      <c r="F990" s="1"/>
      <c r="G990" s="1"/>
      <c r="H990" s="1"/>
    </row>
    <row r="991" spans="1:8" ht="13.2" x14ac:dyDescent="0.25">
      <c r="A991" s="1"/>
      <c r="B991" s="1"/>
      <c r="C991" s="1"/>
      <c r="D991" s="1"/>
      <c r="E991" s="1"/>
      <c r="F991" s="1"/>
      <c r="G991" s="1"/>
      <c r="H991" s="1"/>
    </row>
    <row r="992" spans="1:8" ht="13.2" x14ac:dyDescent="0.25">
      <c r="A992" s="1"/>
      <c r="B992" s="1"/>
      <c r="C992" s="1"/>
      <c r="D992" s="1"/>
      <c r="E992" s="1"/>
      <c r="F992" s="1"/>
      <c r="G992" s="1"/>
      <c r="H992" s="1"/>
    </row>
    <row r="993" spans="1:8" ht="13.2" x14ac:dyDescent="0.25">
      <c r="A993" s="1"/>
      <c r="B993" s="1"/>
      <c r="C993" s="1"/>
      <c r="D993" s="1"/>
      <c r="E993" s="1"/>
      <c r="F993" s="1"/>
      <c r="G993" s="1"/>
      <c r="H993" s="1"/>
    </row>
    <row r="994" spans="1:8" ht="13.2" x14ac:dyDescent="0.25">
      <c r="A994" s="1"/>
      <c r="B994" s="1"/>
      <c r="C994" s="1"/>
      <c r="D994" s="1"/>
      <c r="E994" s="1"/>
      <c r="F994" s="1"/>
      <c r="G994" s="1"/>
      <c r="H994" s="1"/>
    </row>
    <row r="995" spans="1:8" ht="13.2" x14ac:dyDescent="0.25">
      <c r="A995" s="1"/>
      <c r="B995" s="1"/>
      <c r="C995" s="1"/>
      <c r="D995" s="1"/>
      <c r="E995" s="1"/>
      <c r="F995" s="1"/>
      <c r="G995" s="3"/>
      <c r="H995" s="1"/>
    </row>
    <row r="996" spans="1:8" ht="13.2" x14ac:dyDescent="0.25">
      <c r="A996" s="1"/>
      <c r="B996" s="1"/>
      <c r="C996" s="1"/>
      <c r="D996" s="1"/>
      <c r="E996" s="1"/>
      <c r="F996" s="1"/>
      <c r="G996" s="1"/>
      <c r="H996" s="1"/>
    </row>
    <row r="997" spans="1:8" ht="13.2" x14ac:dyDescent="0.25">
      <c r="A997" s="1"/>
      <c r="B997" s="1"/>
      <c r="C997" s="1"/>
      <c r="D997" s="1"/>
      <c r="E997" s="1"/>
      <c r="F997" s="1"/>
      <c r="G997" s="1"/>
      <c r="H997" s="1"/>
    </row>
    <row r="998" spans="1:8" ht="13.2" x14ac:dyDescent="0.25">
      <c r="A998" s="2"/>
      <c r="B998" s="1"/>
      <c r="C998" s="1"/>
      <c r="D998" s="1"/>
      <c r="E998" s="1"/>
      <c r="F998" s="1"/>
      <c r="G998" s="1"/>
      <c r="H998" s="1"/>
    </row>
    <row r="999" spans="1:8" ht="13.2" x14ac:dyDescent="0.25">
      <c r="A999" s="1"/>
      <c r="B999" s="1"/>
      <c r="C999" s="1"/>
      <c r="D999" s="1"/>
      <c r="E999" s="1"/>
      <c r="F999" s="1"/>
      <c r="G999" s="1"/>
      <c r="H999" s="1"/>
    </row>
    <row r="1000" spans="1:8" ht="13.2" x14ac:dyDescent="0.25">
      <c r="A1000" s="2"/>
      <c r="B1000" s="1"/>
      <c r="C1000" s="1"/>
      <c r="D1000" s="1"/>
      <c r="E1000" s="1"/>
      <c r="F1000" s="1"/>
      <c r="G1000" s="1"/>
      <c r="H1000" s="1"/>
    </row>
    <row r="1001" spans="1:8" ht="13.2" x14ac:dyDescent="0.25">
      <c r="A1001" s="1"/>
      <c r="B1001" s="1"/>
      <c r="C1001" s="1"/>
      <c r="D1001" s="1"/>
      <c r="E1001" s="1"/>
      <c r="F1001" s="1"/>
      <c r="G1001" s="3"/>
      <c r="H1001" s="1"/>
    </row>
    <row r="1002" spans="1:8" ht="13.2" x14ac:dyDescent="0.25">
      <c r="A1002" s="2"/>
      <c r="B1002" s="1"/>
      <c r="C1002" s="1"/>
      <c r="D1002" s="1"/>
      <c r="E1002" s="1"/>
      <c r="F1002" s="1"/>
      <c r="G1002" s="1"/>
      <c r="H1002" s="1"/>
    </row>
    <row r="1003" spans="1:8" ht="13.2" x14ac:dyDescent="0.25">
      <c r="A1003" s="1"/>
      <c r="B1003" s="1"/>
      <c r="C1003" s="1"/>
      <c r="D1003" s="1"/>
      <c r="E1003" s="1"/>
      <c r="F1003" s="1"/>
      <c r="G1003" s="3"/>
      <c r="H1003" s="1"/>
    </row>
    <row r="1004" spans="1:8" ht="13.2" x14ac:dyDescent="0.25">
      <c r="A1004" s="1"/>
      <c r="B1004" s="1"/>
      <c r="C1004" s="1"/>
      <c r="D1004" s="1"/>
      <c r="E1004" s="1"/>
      <c r="F1004" s="1"/>
      <c r="G1004" s="3"/>
      <c r="H1004" s="1"/>
    </row>
    <row r="1005" spans="1:8" ht="13.2" x14ac:dyDescent="0.25">
      <c r="A1005" s="1"/>
      <c r="B1005" s="1"/>
      <c r="C1005" s="1"/>
      <c r="D1005" s="1"/>
      <c r="E1005" s="1"/>
      <c r="F1005" s="1"/>
      <c r="G1005" s="3"/>
      <c r="H1005" s="1"/>
    </row>
    <row r="1006" spans="1:8" ht="13.2" x14ac:dyDescent="0.25">
      <c r="A1006" s="1"/>
      <c r="B1006" s="1"/>
      <c r="C1006" s="1"/>
      <c r="D1006" s="1"/>
      <c r="E1006" s="1"/>
      <c r="F1006" s="1"/>
      <c r="G1006" s="1"/>
      <c r="H1006" s="1"/>
    </row>
    <row r="1007" spans="1:8" ht="13.2" x14ac:dyDescent="0.25">
      <c r="A1007" s="1"/>
      <c r="B1007" s="1"/>
      <c r="C1007" s="1"/>
      <c r="D1007" s="1"/>
      <c r="E1007" s="1"/>
      <c r="F1007" s="1"/>
      <c r="G1007" s="1"/>
      <c r="H1007" s="1"/>
    </row>
    <row r="1008" spans="1:8" ht="13.2" x14ac:dyDescent="0.25">
      <c r="A1008" s="1"/>
      <c r="B1008" s="1"/>
      <c r="C1008" s="1"/>
      <c r="D1008" s="1"/>
      <c r="E1008" s="1"/>
      <c r="F1008" s="1"/>
      <c r="G1008" s="1"/>
      <c r="H1008" s="1"/>
    </row>
    <row r="1009" spans="1:8" ht="13.2" x14ac:dyDescent="0.25">
      <c r="A1009" s="1"/>
      <c r="B1009" s="1"/>
      <c r="C1009" s="1"/>
      <c r="D1009" s="1"/>
      <c r="E1009" s="1"/>
      <c r="F1009" s="1"/>
      <c r="G1009" s="1"/>
      <c r="H1009" s="1"/>
    </row>
    <row r="1010" spans="1:8" ht="13.2" x14ac:dyDescent="0.25">
      <c r="A1010" s="1"/>
      <c r="B1010" s="1"/>
      <c r="C1010" s="1"/>
      <c r="D1010" s="1"/>
      <c r="E1010" s="1"/>
      <c r="F1010" s="1"/>
      <c r="G1010" s="1"/>
      <c r="H1010" s="1"/>
    </row>
    <row r="1011" spans="1:8" ht="13.2" x14ac:dyDescent="0.25">
      <c r="A1011" s="1"/>
      <c r="B1011" s="1"/>
      <c r="C1011" s="1"/>
      <c r="D1011" s="1"/>
      <c r="E1011" s="1"/>
      <c r="F1011" s="1"/>
      <c r="G1011" s="3"/>
      <c r="H1011" s="1"/>
    </row>
    <row r="1012" spans="1:8" ht="13.2" x14ac:dyDescent="0.25">
      <c r="A1012" s="1"/>
      <c r="B1012" s="1"/>
      <c r="C1012" s="1"/>
      <c r="D1012" s="1"/>
      <c r="E1012" s="1"/>
      <c r="F1012" s="1"/>
      <c r="G1012" s="3"/>
      <c r="H1012" s="1"/>
    </row>
    <row r="1013" spans="1:8" ht="13.2" x14ac:dyDescent="0.25">
      <c r="A1013" s="2"/>
      <c r="B1013" s="1"/>
      <c r="C1013" s="1"/>
      <c r="D1013" s="1"/>
      <c r="E1013" s="1"/>
      <c r="F1013" s="1"/>
      <c r="G1013" s="1"/>
      <c r="H1013" s="1"/>
    </row>
    <row r="1014" spans="1:8" ht="13.2" x14ac:dyDescent="0.25">
      <c r="A1014" s="1"/>
      <c r="B1014" s="1"/>
      <c r="C1014" s="1"/>
      <c r="D1014" s="1"/>
      <c r="E1014" s="1"/>
      <c r="F1014" s="1"/>
      <c r="G1014" s="3"/>
      <c r="H1014" s="1"/>
    </row>
    <row r="1015" spans="1:8" ht="13.2" x14ac:dyDescent="0.25">
      <c r="A1015" s="1"/>
      <c r="B1015" s="1"/>
      <c r="C1015" s="1"/>
      <c r="D1015" s="1"/>
      <c r="E1015" s="1"/>
      <c r="F1015" s="1"/>
      <c r="G1015" s="1"/>
      <c r="H1015" s="1"/>
    </row>
    <row r="1016" spans="1:8" ht="13.2" x14ac:dyDescent="0.25">
      <c r="A1016" s="2"/>
      <c r="B1016" s="1"/>
      <c r="C1016" s="1"/>
      <c r="D1016" s="1"/>
      <c r="E1016" s="1"/>
      <c r="F1016" s="1"/>
      <c r="G1016" s="1"/>
      <c r="H1016" s="1"/>
    </row>
    <row r="1017" spans="1:8" ht="13.2" x14ac:dyDescent="0.25">
      <c r="A1017" s="1"/>
      <c r="B1017" s="1"/>
      <c r="C1017" s="1"/>
      <c r="D1017" s="1"/>
      <c r="E1017" s="1"/>
      <c r="F1017" s="1"/>
      <c r="G1017" s="3"/>
      <c r="H1017" s="1"/>
    </row>
    <row r="1018" spans="1:8" ht="13.2" x14ac:dyDescent="0.25">
      <c r="A1018" s="1"/>
      <c r="B1018" s="1"/>
      <c r="C1018" s="1"/>
      <c r="D1018" s="1"/>
      <c r="E1018" s="1"/>
      <c r="F1018" s="1"/>
      <c r="G1018" s="3"/>
      <c r="H1018" s="1"/>
    </row>
    <row r="1019" spans="1:8" ht="13.2" x14ac:dyDescent="0.25">
      <c r="A1019" s="2"/>
      <c r="B1019" s="1"/>
      <c r="C1019" s="1"/>
      <c r="D1019" s="1"/>
      <c r="E1019" s="1"/>
      <c r="F1019" s="1"/>
      <c r="G1019" s="1"/>
      <c r="H1019" s="1"/>
    </row>
    <row r="1020" spans="1:8" ht="13.2" x14ac:dyDescent="0.25">
      <c r="A1020" s="2"/>
      <c r="B1020" s="1"/>
      <c r="C1020" s="1"/>
      <c r="D1020" s="1"/>
      <c r="E1020" s="1"/>
      <c r="F1020" s="1"/>
      <c r="G1020" s="3"/>
      <c r="H1020" s="1"/>
    </row>
    <row r="1021" spans="1:8" ht="13.2" x14ac:dyDescent="0.25">
      <c r="A1021" s="1"/>
      <c r="B1021" s="1"/>
      <c r="C1021" s="1"/>
      <c r="D1021" s="1"/>
      <c r="E1021" s="1"/>
      <c r="F1021" s="1"/>
      <c r="G1021" s="1"/>
      <c r="H1021" s="1"/>
    </row>
    <row r="1022" spans="1:8" ht="13.2" x14ac:dyDescent="0.25">
      <c r="A1022" s="2"/>
      <c r="B1022" s="1"/>
      <c r="C1022" s="1"/>
      <c r="D1022" s="1"/>
      <c r="E1022" s="1"/>
      <c r="F1022" s="1"/>
      <c r="G1022" s="1"/>
      <c r="H1022" s="1"/>
    </row>
    <row r="1023" spans="1:8" ht="13.2" x14ac:dyDescent="0.25">
      <c r="A1023" s="2"/>
      <c r="B1023" s="1"/>
      <c r="C1023" s="1"/>
      <c r="D1023" s="1"/>
      <c r="E1023" s="1"/>
      <c r="F1023" s="1"/>
      <c r="G1023" s="1"/>
      <c r="H1023" s="1"/>
    </row>
    <row r="1024" spans="1:8" ht="13.2" x14ac:dyDescent="0.25">
      <c r="A1024" s="2"/>
      <c r="B1024" s="1"/>
      <c r="C1024" s="1"/>
      <c r="D1024" s="1"/>
      <c r="E1024" s="1"/>
      <c r="F1024" s="1"/>
      <c r="G1024" s="3"/>
      <c r="H1024" s="1"/>
    </row>
    <row r="1025" spans="1:8" ht="13.2" x14ac:dyDescent="0.25">
      <c r="A1025" s="1"/>
      <c r="B1025" s="1"/>
      <c r="C1025" s="1"/>
      <c r="D1025" s="1"/>
      <c r="E1025" s="1"/>
      <c r="F1025" s="1"/>
      <c r="G1025" s="1"/>
      <c r="H1025" s="1"/>
    </row>
    <row r="1026" spans="1:8" ht="13.2" x14ac:dyDescent="0.25">
      <c r="A1026" s="1"/>
      <c r="B1026" s="1"/>
      <c r="C1026" s="1"/>
      <c r="D1026" s="1"/>
      <c r="E1026" s="1"/>
      <c r="F1026" s="1"/>
      <c r="G1026" s="3"/>
      <c r="H1026" s="1"/>
    </row>
    <row r="1027" spans="1:8" ht="13.2" x14ac:dyDescent="0.25">
      <c r="A1027" s="2"/>
      <c r="B1027" s="1"/>
      <c r="C1027" s="1"/>
      <c r="D1027" s="1"/>
      <c r="E1027" s="1"/>
      <c r="F1027" s="1"/>
      <c r="G1027" s="1"/>
      <c r="H1027" s="1"/>
    </row>
    <row r="1028" spans="1:8" ht="13.2" x14ac:dyDescent="0.25">
      <c r="A1028" s="1"/>
      <c r="B1028" s="1"/>
      <c r="C1028" s="1"/>
      <c r="D1028" s="1"/>
      <c r="E1028" s="1"/>
      <c r="F1028" s="1"/>
      <c r="G1028" s="1"/>
      <c r="H1028" s="1"/>
    </row>
    <row r="1029" spans="1:8" ht="13.2" x14ac:dyDescent="0.25">
      <c r="A1029" s="1"/>
      <c r="B1029" s="1"/>
      <c r="C1029" s="1"/>
      <c r="D1029" s="1"/>
      <c r="E1029" s="1"/>
      <c r="F1029" s="1"/>
      <c r="G1029" s="3"/>
      <c r="H1029" s="1"/>
    </row>
    <row r="1030" spans="1:8" ht="13.2" x14ac:dyDescent="0.25">
      <c r="A1030" s="1"/>
      <c r="B1030" s="1"/>
      <c r="C1030" s="1"/>
      <c r="D1030" s="1"/>
      <c r="E1030" s="1"/>
      <c r="F1030" s="1"/>
      <c r="G1030" s="3"/>
      <c r="H1030" s="1"/>
    </row>
    <row r="1031" spans="1:8" ht="13.2" x14ac:dyDescent="0.25">
      <c r="A1031" s="2"/>
      <c r="B1031" s="1"/>
      <c r="C1031" s="1"/>
      <c r="D1031" s="1"/>
      <c r="E1031" s="1"/>
      <c r="F1031" s="1"/>
      <c r="G1031" s="1"/>
      <c r="H1031" s="1"/>
    </row>
    <row r="1032" spans="1:8" ht="13.2" x14ac:dyDescent="0.25">
      <c r="A1032" s="2"/>
      <c r="B1032" s="1"/>
      <c r="C1032" s="1"/>
      <c r="D1032" s="1"/>
      <c r="E1032" s="1"/>
      <c r="F1032" s="1"/>
      <c r="G1032" s="3"/>
      <c r="H1032" s="1"/>
    </row>
    <row r="1033" spans="1:8" ht="13.2" x14ac:dyDescent="0.25">
      <c r="A1033" s="1"/>
      <c r="B1033" s="1"/>
      <c r="C1033" s="1"/>
      <c r="D1033" s="1"/>
      <c r="E1033" s="1"/>
      <c r="F1033" s="1"/>
      <c r="G1033" s="3"/>
      <c r="H1033" s="1"/>
    </row>
    <row r="1034" spans="1:8" ht="13.2" x14ac:dyDescent="0.25">
      <c r="A1034" s="1"/>
      <c r="B1034" s="1"/>
      <c r="C1034" s="1"/>
      <c r="D1034" s="1"/>
      <c r="E1034" s="1"/>
      <c r="F1034" s="1"/>
      <c r="G1034" s="1"/>
      <c r="H1034" s="1"/>
    </row>
    <row r="1035" spans="1:8" ht="13.2" x14ac:dyDescent="0.25">
      <c r="A1035" s="1"/>
      <c r="B1035" s="1"/>
      <c r="C1035" s="1"/>
      <c r="D1035" s="1"/>
      <c r="E1035" s="1"/>
      <c r="F1035" s="1"/>
      <c r="G1035" s="1"/>
      <c r="H1035" s="1"/>
    </row>
    <row r="1036" spans="1:8" ht="13.2" x14ac:dyDescent="0.25">
      <c r="A1036" s="2"/>
      <c r="B1036" s="1"/>
      <c r="C1036" s="1"/>
      <c r="D1036" s="1"/>
      <c r="E1036" s="1"/>
      <c r="F1036" s="1"/>
      <c r="G1036" s="1"/>
      <c r="H1036" s="1"/>
    </row>
    <row r="1037" spans="1:8" ht="13.2" x14ac:dyDescent="0.25">
      <c r="A1037" s="1"/>
      <c r="B1037" s="1"/>
      <c r="C1037" s="1"/>
      <c r="D1037" s="1"/>
      <c r="E1037" s="1"/>
      <c r="F1037" s="1"/>
      <c r="G1037" s="3"/>
      <c r="H1037" s="1"/>
    </row>
    <row r="1038" spans="1:8" ht="13.2" x14ac:dyDescent="0.25">
      <c r="A1038" s="2"/>
      <c r="B1038" s="1"/>
      <c r="C1038" s="1"/>
      <c r="D1038" s="1"/>
      <c r="E1038" s="1"/>
      <c r="F1038" s="1"/>
      <c r="G1038" s="1"/>
      <c r="H1038" s="1"/>
    </row>
    <row r="1039" spans="1:8" ht="13.2" x14ac:dyDescent="0.25">
      <c r="A1039" s="2"/>
      <c r="B1039" s="1"/>
      <c r="C1039" s="1"/>
      <c r="D1039" s="1"/>
      <c r="E1039" s="1"/>
      <c r="F1039" s="1"/>
      <c r="G1039" s="3"/>
      <c r="H1039" s="1"/>
    </row>
    <row r="1040" spans="1:8" ht="13.2" x14ac:dyDescent="0.25">
      <c r="A1040" s="2"/>
      <c r="B1040" s="1"/>
      <c r="C1040" s="1"/>
      <c r="D1040" s="1"/>
      <c r="E1040" s="1"/>
      <c r="F1040" s="1"/>
      <c r="G1040" s="3"/>
      <c r="H1040" s="1"/>
    </row>
    <row r="1041" spans="1:8" ht="13.2" x14ac:dyDescent="0.25">
      <c r="A1041" s="2"/>
      <c r="B1041" s="1"/>
      <c r="C1041" s="1"/>
      <c r="D1041" s="1"/>
      <c r="E1041" s="1"/>
      <c r="F1041" s="1"/>
      <c r="G1041" s="1"/>
      <c r="H1041" s="1"/>
    </row>
    <row r="1042" spans="1:8" ht="13.2" x14ac:dyDescent="0.25">
      <c r="A1042" s="1"/>
      <c r="B1042" s="1"/>
      <c r="C1042" s="1"/>
      <c r="D1042" s="1"/>
      <c r="E1042" s="1"/>
      <c r="F1042" s="1"/>
      <c r="G1042" s="3"/>
      <c r="H1042" s="1"/>
    </row>
    <row r="1043" spans="1:8" ht="13.2" x14ac:dyDescent="0.25">
      <c r="A1043" s="2"/>
      <c r="B1043" s="1"/>
      <c r="C1043" s="1"/>
      <c r="D1043" s="1"/>
      <c r="E1043" s="1"/>
      <c r="F1043" s="1"/>
      <c r="G1043" s="1"/>
      <c r="H1043" s="1"/>
    </row>
    <row r="1044" spans="1:8" ht="13.2" x14ac:dyDescent="0.25">
      <c r="A1044" s="2"/>
      <c r="B1044" s="1"/>
      <c r="C1044" s="1"/>
      <c r="D1044" s="1"/>
      <c r="E1044" s="1"/>
      <c r="F1044" s="1"/>
      <c r="G1044" s="1"/>
      <c r="H1044" s="1"/>
    </row>
    <row r="1045" spans="1:8" ht="13.2" x14ac:dyDescent="0.25">
      <c r="A1045" s="1"/>
      <c r="B1045" s="1"/>
      <c r="C1045" s="1"/>
      <c r="D1045" s="1"/>
      <c r="E1045" s="1"/>
      <c r="F1045" s="1"/>
      <c r="G1045" s="3"/>
      <c r="H1045" s="1"/>
    </row>
    <row r="1046" spans="1:8" ht="13.2" x14ac:dyDescent="0.25">
      <c r="A1046" s="2"/>
      <c r="B1046" s="1"/>
      <c r="C1046" s="1"/>
      <c r="D1046" s="1"/>
      <c r="E1046" s="1"/>
      <c r="F1046" s="1"/>
      <c r="G1046" s="1"/>
      <c r="H1046" s="1"/>
    </row>
    <row r="1047" spans="1:8" ht="13.2" x14ac:dyDescent="0.25">
      <c r="A1047" s="2"/>
      <c r="B1047" s="1"/>
      <c r="C1047" s="1"/>
      <c r="D1047" s="1"/>
      <c r="E1047" s="1"/>
      <c r="F1047" s="1"/>
      <c r="G1047" s="1"/>
      <c r="H1047" s="1"/>
    </row>
    <row r="1048" spans="1:8" ht="13.2" x14ac:dyDescent="0.25">
      <c r="A1048" s="1"/>
      <c r="B1048" s="1"/>
      <c r="C1048" s="1"/>
      <c r="D1048" s="1"/>
      <c r="E1048" s="1"/>
      <c r="F1048" s="1"/>
      <c r="G1048" s="3"/>
      <c r="H1048" s="1"/>
    </row>
    <row r="1049" spans="1:8" ht="13.2" x14ac:dyDescent="0.25">
      <c r="A1049" s="1"/>
      <c r="B1049" s="1"/>
      <c r="C1049" s="1"/>
      <c r="D1049" s="1"/>
      <c r="E1049" s="1"/>
      <c r="F1049" s="1"/>
      <c r="G1049" s="1"/>
      <c r="H1049" s="1"/>
    </row>
    <row r="1050" spans="1:8" ht="13.2" x14ac:dyDescent="0.25">
      <c r="A1050" s="2"/>
      <c r="B1050" s="1"/>
      <c r="C1050" s="1"/>
      <c r="D1050" s="1"/>
      <c r="E1050" s="1"/>
      <c r="F1050" s="1"/>
      <c r="G1050" s="1"/>
      <c r="H1050" s="1"/>
    </row>
    <row r="1051" spans="1:8" ht="13.2" x14ac:dyDescent="0.25">
      <c r="A1051" s="2"/>
      <c r="B1051" s="1"/>
      <c r="C1051" s="1"/>
      <c r="D1051" s="1"/>
      <c r="E1051" s="1"/>
      <c r="F1051" s="1"/>
      <c r="G1051" s="1"/>
      <c r="H1051" s="1"/>
    </row>
    <row r="1052" spans="1:8" ht="13.2" x14ac:dyDescent="0.25">
      <c r="A1052" s="2"/>
      <c r="B1052" s="1"/>
      <c r="C1052" s="1"/>
      <c r="D1052" s="1"/>
      <c r="E1052" s="1"/>
      <c r="F1052" s="1"/>
      <c r="G1052" s="1"/>
      <c r="H1052" s="1"/>
    </row>
    <row r="1053" spans="1:8" ht="13.2" x14ac:dyDescent="0.25">
      <c r="A1053" s="2"/>
      <c r="B1053" s="1"/>
      <c r="C1053" s="1"/>
      <c r="D1053" s="1"/>
      <c r="E1053" s="1"/>
      <c r="F1053" s="1"/>
      <c r="G1053" s="1"/>
      <c r="H1053" s="1"/>
    </row>
    <row r="1054" spans="1:8" ht="13.2" x14ac:dyDescent="0.25">
      <c r="A1054" s="1"/>
      <c r="B1054" s="1"/>
      <c r="C1054" s="1"/>
      <c r="D1054" s="1"/>
      <c r="E1054" s="1"/>
      <c r="F1054" s="1"/>
      <c r="G1054" s="3"/>
      <c r="H1054" s="1"/>
    </row>
    <row r="1055" spans="1:8" ht="13.2" x14ac:dyDescent="0.25">
      <c r="A1055" s="1"/>
      <c r="B1055" s="1"/>
      <c r="C1055" s="1"/>
      <c r="D1055" s="1"/>
      <c r="E1055" s="1"/>
      <c r="F1055" s="1"/>
      <c r="G1055" s="1"/>
      <c r="H1055" s="1"/>
    </row>
    <row r="1056" spans="1:8" ht="13.2" x14ac:dyDescent="0.25">
      <c r="A1056" s="1"/>
      <c r="B1056" s="1"/>
      <c r="C1056" s="1"/>
      <c r="D1056" s="1"/>
      <c r="E1056" s="1"/>
      <c r="F1056" s="1"/>
      <c r="G1056" s="1"/>
      <c r="H1056" s="1"/>
    </row>
    <row r="1057" spans="1:8" ht="13.2" x14ac:dyDescent="0.25">
      <c r="A1057" s="2"/>
      <c r="B1057" s="1"/>
      <c r="C1057" s="1"/>
      <c r="D1057" s="1"/>
      <c r="E1057" s="1"/>
      <c r="F1057" s="1"/>
      <c r="G1057" s="3"/>
      <c r="H1057" s="1"/>
    </row>
    <row r="1058" spans="1:8" ht="13.2" x14ac:dyDescent="0.25">
      <c r="A1058" s="2"/>
      <c r="B1058" s="1"/>
      <c r="C1058" s="1"/>
      <c r="D1058" s="1"/>
      <c r="E1058" s="1"/>
      <c r="F1058" s="1"/>
      <c r="G1058" s="1"/>
      <c r="H1058" s="1"/>
    </row>
    <row r="1059" spans="1:8" ht="13.2" x14ac:dyDescent="0.25">
      <c r="A1059" s="1"/>
      <c r="B1059" s="1"/>
      <c r="C1059" s="1"/>
      <c r="D1059" s="1"/>
      <c r="E1059" s="1"/>
      <c r="F1059" s="1"/>
      <c r="G1059" s="1"/>
      <c r="H1059" s="1"/>
    </row>
    <row r="1060" spans="1:8" ht="13.2" x14ac:dyDescent="0.25">
      <c r="A1060" s="1"/>
      <c r="B1060" s="1"/>
      <c r="C1060" s="1"/>
      <c r="D1060" s="1"/>
      <c r="E1060" s="1"/>
      <c r="F1060" s="1"/>
      <c r="G1060" s="1"/>
      <c r="H1060" s="1"/>
    </row>
    <row r="1061" spans="1:8" ht="13.2" x14ac:dyDescent="0.25">
      <c r="A1061" s="1"/>
      <c r="B1061" s="1"/>
      <c r="C1061" s="1"/>
      <c r="D1061" s="1"/>
      <c r="E1061" s="1"/>
      <c r="F1061" s="1"/>
      <c r="G1061" s="3"/>
      <c r="H1061" s="1"/>
    </row>
    <row r="1062" spans="1:8" ht="13.2" x14ac:dyDescent="0.25">
      <c r="A1062" s="1"/>
      <c r="B1062" s="1"/>
      <c r="C1062" s="1"/>
      <c r="D1062" s="1"/>
      <c r="E1062" s="1"/>
      <c r="F1062" s="1"/>
      <c r="G1062" s="3"/>
      <c r="H1062" s="1"/>
    </row>
    <row r="1063" spans="1:8" ht="13.2" x14ac:dyDescent="0.25">
      <c r="A1063" s="1"/>
      <c r="B1063" s="1"/>
      <c r="C1063" s="1"/>
      <c r="D1063" s="1"/>
      <c r="E1063" s="1"/>
      <c r="F1063" s="1"/>
      <c r="G1063" s="1"/>
      <c r="H1063" s="1"/>
    </row>
    <row r="1064" spans="1:8" ht="13.2" x14ac:dyDescent="0.25">
      <c r="A1064" s="1"/>
      <c r="B1064" s="1"/>
      <c r="C1064" s="1"/>
      <c r="D1064" s="1"/>
      <c r="E1064" s="1"/>
      <c r="F1064" s="1"/>
      <c r="G1064" s="1"/>
      <c r="H1064" s="1"/>
    </row>
    <row r="1065" spans="1:8" ht="13.2" x14ac:dyDescent="0.25">
      <c r="A1065" s="1"/>
      <c r="B1065" s="1"/>
      <c r="C1065" s="1"/>
      <c r="D1065" s="1"/>
      <c r="E1065" s="1"/>
      <c r="F1065" s="1"/>
      <c r="G1065" s="3"/>
      <c r="H1065" s="1"/>
    </row>
    <row r="1066" spans="1:8" ht="13.2" x14ac:dyDescent="0.25">
      <c r="A1066" s="1"/>
      <c r="B1066" s="1"/>
      <c r="C1066" s="1"/>
      <c r="D1066" s="1"/>
      <c r="E1066" s="1"/>
      <c r="F1066" s="1"/>
      <c r="G1066" s="1"/>
      <c r="H1066" s="1"/>
    </row>
    <row r="1067" spans="1:8" ht="13.2" x14ac:dyDescent="0.25">
      <c r="A1067" s="2"/>
      <c r="B1067" s="1"/>
      <c r="C1067" s="1"/>
      <c r="D1067" s="1"/>
      <c r="E1067" s="1"/>
      <c r="F1067" s="1"/>
      <c r="G1067" s="1"/>
      <c r="H1067" s="1"/>
    </row>
    <row r="1068" spans="1:8" ht="13.2" x14ac:dyDescent="0.25">
      <c r="A1068" s="1"/>
      <c r="B1068" s="1"/>
      <c r="C1068" s="1"/>
      <c r="D1068" s="1"/>
      <c r="E1068" s="1"/>
      <c r="F1068" s="1"/>
      <c r="G1068" s="1"/>
      <c r="H1068" s="1"/>
    </row>
    <row r="1069" spans="1:8" ht="13.2" x14ac:dyDescent="0.25">
      <c r="A1069" s="1"/>
      <c r="B1069" s="1"/>
      <c r="C1069" s="1"/>
      <c r="D1069" s="1"/>
      <c r="E1069" s="1"/>
      <c r="F1069" s="1"/>
      <c r="G1069" s="3"/>
      <c r="H1069" s="1"/>
    </row>
    <row r="1070" spans="1:8" ht="13.2" x14ac:dyDescent="0.25">
      <c r="A1070" s="2"/>
      <c r="B1070" s="1"/>
      <c r="C1070" s="1"/>
      <c r="D1070" s="1"/>
      <c r="E1070" s="1"/>
      <c r="F1070" s="1"/>
      <c r="G1070" s="1"/>
      <c r="H1070" s="1"/>
    </row>
    <row r="1071" spans="1:8" ht="13.2" x14ac:dyDescent="0.25">
      <c r="A1071" s="1"/>
      <c r="B1071" s="1"/>
      <c r="C1071" s="1"/>
      <c r="D1071" s="1"/>
      <c r="E1071" s="1"/>
      <c r="F1071" s="1"/>
      <c r="G1071" s="1"/>
      <c r="H1071" s="1"/>
    </row>
    <row r="1072" spans="1:8" ht="13.2" x14ac:dyDescent="0.25">
      <c r="A1072" s="1"/>
      <c r="B1072" s="1"/>
      <c r="C1072" s="1"/>
      <c r="D1072" s="1"/>
      <c r="E1072" s="1"/>
      <c r="F1072" s="1"/>
      <c r="G1072" s="1"/>
      <c r="H1072" s="1"/>
    </row>
    <row r="1073" spans="1:8" ht="13.2" x14ac:dyDescent="0.25">
      <c r="A1073" s="1"/>
      <c r="B1073" s="1"/>
      <c r="C1073" s="1"/>
      <c r="D1073" s="1"/>
      <c r="E1073" s="1"/>
      <c r="F1073" s="1"/>
      <c r="G1073" s="3"/>
      <c r="H1073" s="1"/>
    </row>
    <row r="1074" spans="1:8" ht="13.2" x14ac:dyDescent="0.25">
      <c r="A1074" s="1"/>
      <c r="B1074" s="1"/>
      <c r="C1074" s="1"/>
      <c r="D1074" s="1"/>
      <c r="E1074" s="1"/>
      <c r="F1074" s="1"/>
      <c r="G1074" s="1"/>
      <c r="H1074" s="1"/>
    </row>
    <row r="1075" spans="1:8" ht="13.2" x14ac:dyDescent="0.25">
      <c r="A1075" s="2"/>
      <c r="B1075" s="1"/>
      <c r="C1075" s="1"/>
      <c r="D1075" s="1"/>
      <c r="E1075" s="1"/>
      <c r="F1075" s="1"/>
      <c r="G1075" s="1"/>
      <c r="H1075" s="1"/>
    </row>
    <row r="1076" spans="1:8" ht="13.2" x14ac:dyDescent="0.25">
      <c r="A1076" s="1"/>
      <c r="B1076" s="1"/>
      <c r="C1076" s="1"/>
      <c r="D1076" s="1"/>
      <c r="E1076" s="1"/>
      <c r="F1076" s="1"/>
      <c r="G1076" s="3"/>
      <c r="H1076" s="1"/>
    </row>
    <row r="1077" spans="1:8" ht="13.2" x14ac:dyDescent="0.25">
      <c r="A1077" s="1"/>
      <c r="B1077" s="1"/>
      <c r="C1077" s="1"/>
      <c r="D1077" s="1"/>
      <c r="E1077" s="1"/>
      <c r="F1077" s="1"/>
      <c r="G1077" s="3"/>
      <c r="H1077" s="1"/>
    </row>
    <row r="1078" spans="1:8" ht="13.2" x14ac:dyDescent="0.25">
      <c r="A1078" s="1"/>
      <c r="B1078" s="1"/>
      <c r="C1078" s="1"/>
      <c r="D1078" s="1"/>
      <c r="E1078" s="1"/>
      <c r="F1078" s="1"/>
      <c r="G1078" s="3"/>
      <c r="H1078" s="1"/>
    </row>
    <row r="1079" spans="1:8" ht="13.2" x14ac:dyDescent="0.25">
      <c r="A1079" s="1"/>
      <c r="B1079" s="1"/>
      <c r="C1079" s="1"/>
      <c r="D1079" s="1"/>
      <c r="E1079" s="1"/>
      <c r="F1079" s="1"/>
      <c r="G1079" s="3"/>
      <c r="H1079" s="1"/>
    </row>
    <row r="1080" spans="1:8" ht="13.2" x14ac:dyDescent="0.25">
      <c r="A1080" s="1"/>
      <c r="B1080" s="1"/>
      <c r="C1080" s="1"/>
      <c r="D1080" s="1"/>
      <c r="E1080" s="1"/>
      <c r="F1080" s="1"/>
      <c r="G1080" s="1"/>
      <c r="H1080" s="1"/>
    </row>
    <row r="1081" spans="1:8" ht="13.2" x14ac:dyDescent="0.25">
      <c r="A1081" s="1"/>
      <c r="B1081" s="1"/>
      <c r="C1081" s="1"/>
      <c r="D1081" s="1"/>
      <c r="E1081" s="1"/>
      <c r="F1081" s="1"/>
      <c r="G1081" s="3"/>
      <c r="H1081" s="1"/>
    </row>
    <row r="1082" spans="1:8" ht="13.2" x14ac:dyDescent="0.25">
      <c r="A1082" s="2"/>
      <c r="B1082" s="1"/>
      <c r="C1082" s="1"/>
      <c r="D1082" s="1"/>
      <c r="E1082" s="1"/>
      <c r="F1082" s="1"/>
      <c r="G1082" s="1"/>
      <c r="H1082" s="1"/>
    </row>
    <row r="1083" spans="1:8" ht="13.2" x14ac:dyDescent="0.25">
      <c r="A1083" s="1"/>
      <c r="B1083" s="1"/>
      <c r="C1083" s="1"/>
      <c r="D1083" s="1"/>
      <c r="E1083" s="1"/>
      <c r="F1083" s="1"/>
      <c r="G1083" s="3"/>
      <c r="H1083" s="1"/>
    </row>
    <row r="1084" spans="1:8" ht="13.2" x14ac:dyDescent="0.25">
      <c r="A1084" s="1"/>
      <c r="B1084" s="1"/>
      <c r="C1084" s="1"/>
      <c r="D1084" s="1"/>
      <c r="E1084" s="1"/>
      <c r="F1084" s="1"/>
      <c r="G1084" s="3"/>
      <c r="H1084" s="1"/>
    </row>
    <row r="1085" spans="1:8" ht="13.2" x14ac:dyDescent="0.25">
      <c r="A1085" s="1"/>
      <c r="B1085" s="1"/>
      <c r="C1085" s="1"/>
      <c r="D1085" s="1"/>
      <c r="E1085" s="1"/>
      <c r="F1085" s="1"/>
      <c r="G1085" s="3"/>
      <c r="H1085" s="1"/>
    </row>
    <row r="1086" spans="1:8" ht="13.2" x14ac:dyDescent="0.25">
      <c r="A1086" s="1"/>
      <c r="B1086" s="1"/>
      <c r="C1086" s="1"/>
      <c r="D1086" s="1"/>
      <c r="E1086" s="1"/>
      <c r="F1086" s="1"/>
      <c r="G1086" s="3"/>
      <c r="H1086" s="1"/>
    </row>
    <row r="1087" spans="1:8" ht="13.2" x14ac:dyDescent="0.25">
      <c r="A1087" s="2"/>
      <c r="B1087" s="1"/>
      <c r="C1087" s="1"/>
      <c r="D1087" s="1"/>
      <c r="E1087" s="1"/>
      <c r="F1087" s="1"/>
      <c r="G1087" s="3"/>
      <c r="H1087" s="1"/>
    </row>
    <row r="1088" spans="1:8" ht="13.2" x14ac:dyDescent="0.25">
      <c r="A1088" s="1"/>
      <c r="B1088" s="1"/>
      <c r="C1088" s="1"/>
      <c r="D1088" s="1"/>
      <c r="E1088" s="1"/>
      <c r="F1088" s="1"/>
      <c r="G1088" s="1"/>
      <c r="H1088" s="1"/>
    </row>
    <row r="1089" spans="1:8" ht="13.2" x14ac:dyDescent="0.25">
      <c r="A1089" s="1"/>
      <c r="B1089" s="1"/>
      <c r="C1089" s="1"/>
      <c r="D1089" s="1"/>
      <c r="E1089" s="1"/>
      <c r="F1089" s="1"/>
      <c r="G1089" s="1"/>
      <c r="H1089" s="1"/>
    </row>
    <row r="1090" spans="1:8" ht="13.2" x14ac:dyDescent="0.25">
      <c r="A1090" s="2"/>
      <c r="B1090" s="1"/>
      <c r="C1090" s="1"/>
      <c r="D1090" s="1"/>
      <c r="E1090" s="1"/>
      <c r="F1090" s="1"/>
      <c r="G1090" s="1"/>
      <c r="H1090" s="1"/>
    </row>
    <row r="1091" spans="1:8" ht="13.2" x14ac:dyDescent="0.25">
      <c r="A1091" s="2"/>
      <c r="B1091" s="1"/>
      <c r="C1091" s="1"/>
      <c r="D1091" s="1"/>
      <c r="E1091" s="1"/>
      <c r="F1091" s="1"/>
      <c r="G1091" s="1"/>
      <c r="H1091" s="1"/>
    </row>
    <row r="1092" spans="1:8" ht="13.2" x14ac:dyDescent="0.25">
      <c r="A1092" s="2"/>
      <c r="B1092" s="1"/>
      <c r="C1092" s="1"/>
      <c r="D1092" s="1"/>
      <c r="E1092" s="1"/>
      <c r="F1092" s="2"/>
      <c r="G1092" s="1"/>
      <c r="H1092" s="1"/>
    </row>
    <row r="1093" spans="1:8" ht="13.2" x14ac:dyDescent="0.25">
      <c r="A1093" s="1"/>
      <c r="B1093" s="1"/>
      <c r="C1093" s="1"/>
      <c r="D1093" s="1"/>
      <c r="E1093" s="1"/>
      <c r="F1093" s="1"/>
      <c r="G1093" s="1"/>
      <c r="H1093" s="1"/>
    </row>
    <row r="1094" spans="1:8" ht="13.2" x14ac:dyDescent="0.25">
      <c r="A1094" s="1"/>
      <c r="B1094" s="1"/>
      <c r="C1094" s="1"/>
      <c r="D1094" s="1"/>
      <c r="E1094" s="1"/>
      <c r="F1094" s="1"/>
      <c r="G1094" s="3"/>
      <c r="H1094" s="1"/>
    </row>
    <row r="1095" spans="1:8" ht="13.2" x14ac:dyDescent="0.25">
      <c r="A1095" s="2"/>
      <c r="B1095" s="1"/>
      <c r="C1095" s="1"/>
      <c r="D1095" s="1"/>
      <c r="E1095" s="1"/>
      <c r="F1095" s="1"/>
      <c r="G1095" s="3"/>
      <c r="H1095" s="1"/>
    </row>
    <row r="1096" spans="1:8" ht="13.2" x14ac:dyDescent="0.25">
      <c r="A1096" s="2"/>
      <c r="B1096" s="1"/>
      <c r="C1096" s="1"/>
      <c r="D1096" s="1"/>
      <c r="E1096" s="1"/>
      <c r="F1096" s="1"/>
      <c r="G1096" s="1"/>
      <c r="H1096" s="1"/>
    </row>
    <row r="1097" spans="1:8" ht="13.2" x14ac:dyDescent="0.25">
      <c r="A1097" s="1"/>
      <c r="B1097" s="1"/>
      <c r="C1097" s="1"/>
      <c r="D1097" s="1"/>
      <c r="E1097" s="1"/>
      <c r="F1097" s="1"/>
      <c r="G1097" s="1"/>
      <c r="H1097" s="1"/>
    </row>
    <row r="1098" spans="1:8" ht="13.2" x14ac:dyDescent="0.25">
      <c r="A1098" s="2"/>
      <c r="B1098" s="1"/>
      <c r="C1098" s="1"/>
      <c r="D1098" s="1"/>
      <c r="E1098" s="1"/>
      <c r="F1098" s="1"/>
      <c r="G1098" s="1"/>
      <c r="H1098" s="1"/>
    </row>
    <row r="1099" spans="1:8" ht="13.2" x14ac:dyDescent="0.25">
      <c r="A1099" s="2"/>
      <c r="B1099" s="1"/>
      <c r="C1099" s="1"/>
      <c r="D1099" s="1"/>
      <c r="E1099" s="1"/>
      <c r="F1099" s="1"/>
      <c r="G1099" s="1"/>
      <c r="H1099" s="1"/>
    </row>
    <row r="1100" spans="1:8" ht="13.2" x14ac:dyDescent="0.25">
      <c r="A1100" s="1"/>
      <c r="B1100" s="1"/>
      <c r="C1100" s="1"/>
      <c r="D1100" s="1"/>
      <c r="E1100" s="1"/>
      <c r="F1100" s="1"/>
      <c r="G1100" s="1"/>
      <c r="H1100" s="1"/>
    </row>
    <row r="1101" spans="1:8" ht="13.2" x14ac:dyDescent="0.25">
      <c r="A1101" s="1"/>
      <c r="B1101" s="1"/>
      <c r="C1101" s="1"/>
      <c r="D1101" s="1"/>
      <c r="E1101" s="1"/>
      <c r="F1101" s="1"/>
      <c r="G1101" s="3"/>
      <c r="H1101" s="1"/>
    </row>
    <row r="1102" spans="1:8" ht="13.2" x14ac:dyDescent="0.25">
      <c r="A1102" s="1"/>
      <c r="B1102" s="1"/>
      <c r="C1102" s="1"/>
      <c r="D1102" s="1"/>
      <c r="E1102" s="1"/>
      <c r="F1102" s="1"/>
      <c r="G1102" s="3"/>
      <c r="H1102" s="1"/>
    </row>
    <row r="1103" spans="1:8" ht="13.2" x14ac:dyDescent="0.25">
      <c r="A1103" s="1"/>
      <c r="B1103" s="1"/>
      <c r="C1103" s="1"/>
      <c r="D1103" s="1"/>
      <c r="E1103" s="1"/>
      <c r="F1103" s="1"/>
      <c r="G1103" s="1"/>
      <c r="H1103" s="1"/>
    </row>
    <row r="1104" spans="1:8" ht="13.2" x14ac:dyDescent="0.25">
      <c r="A1104" s="1"/>
      <c r="B1104" s="1"/>
      <c r="C1104" s="1"/>
      <c r="D1104" s="1"/>
      <c r="E1104" s="1"/>
      <c r="F1104" s="1"/>
      <c r="G1104" s="1"/>
      <c r="H1104" s="1"/>
    </row>
    <row r="1105" spans="1:8" ht="13.2" x14ac:dyDescent="0.25">
      <c r="A1105" s="1"/>
      <c r="B1105" s="1"/>
      <c r="C1105" s="1"/>
      <c r="D1105" s="1"/>
      <c r="E1105" s="1"/>
      <c r="F1105" s="1"/>
      <c r="G1105" s="1"/>
      <c r="H1105" s="1"/>
    </row>
    <row r="1106" spans="1:8" ht="13.2" x14ac:dyDescent="0.25">
      <c r="A1106" s="2"/>
      <c r="B1106" s="1"/>
      <c r="C1106" s="1"/>
      <c r="D1106" s="1"/>
      <c r="E1106" s="1"/>
      <c r="F1106" s="1"/>
      <c r="G1106" s="3"/>
      <c r="H1106" s="1"/>
    </row>
    <row r="1107" spans="1:8" ht="13.2" x14ac:dyDescent="0.25">
      <c r="A1107" s="2"/>
      <c r="B1107" s="1"/>
      <c r="C1107" s="1"/>
      <c r="D1107" s="1"/>
      <c r="E1107" s="1"/>
      <c r="F1107" s="1"/>
      <c r="G1107" s="1"/>
      <c r="H1107" s="1"/>
    </row>
    <row r="1108" spans="1:8" ht="13.2" x14ac:dyDescent="0.25">
      <c r="A1108" s="1"/>
      <c r="B1108" s="1"/>
      <c r="C1108" s="1"/>
      <c r="D1108" s="1"/>
      <c r="E1108" s="1"/>
      <c r="F1108" s="1"/>
      <c r="G1108" s="3"/>
      <c r="H1108" s="1"/>
    </row>
    <row r="1109" spans="1:8" ht="13.2" x14ac:dyDescent="0.25">
      <c r="A1109" s="1"/>
      <c r="B1109" s="1"/>
      <c r="C1109" s="1"/>
      <c r="D1109" s="1"/>
      <c r="E1109" s="1"/>
      <c r="F1109" s="1"/>
      <c r="G1109" s="3"/>
      <c r="H1109" s="1"/>
    </row>
    <row r="1110" spans="1:8" ht="13.2" x14ac:dyDescent="0.25">
      <c r="A1110" s="1"/>
      <c r="B1110" s="1"/>
      <c r="C1110" s="1"/>
      <c r="D1110" s="1"/>
      <c r="E1110" s="1"/>
      <c r="F1110" s="1"/>
      <c r="G1110" s="1"/>
      <c r="H1110" s="1"/>
    </row>
    <row r="1111" spans="1:8" ht="13.2" x14ac:dyDescent="0.25">
      <c r="A1111" s="2"/>
      <c r="B1111" s="1"/>
      <c r="C1111" s="1"/>
      <c r="D1111" s="1"/>
      <c r="E1111" s="1"/>
      <c r="F1111" s="1"/>
      <c r="G1111" s="1"/>
      <c r="H1111" s="1"/>
    </row>
    <row r="1112" spans="1:8" ht="13.2" x14ac:dyDescent="0.25">
      <c r="A1112" s="1"/>
      <c r="B1112" s="1"/>
      <c r="C1112" s="1"/>
      <c r="D1112" s="1"/>
      <c r="E1112" s="1"/>
      <c r="F1112" s="1"/>
      <c r="G1112" s="1"/>
      <c r="H1112" s="1"/>
    </row>
    <row r="1113" spans="1:8" ht="13.2" x14ac:dyDescent="0.25">
      <c r="A1113" s="2"/>
      <c r="B1113" s="1"/>
      <c r="C1113" s="1"/>
      <c r="D1113" s="1"/>
      <c r="E1113" s="1"/>
      <c r="F1113" s="1"/>
      <c r="G1113" s="1"/>
      <c r="H1113" s="1"/>
    </row>
    <row r="1114" spans="1:8" ht="13.2" x14ac:dyDescent="0.25">
      <c r="A1114" s="1"/>
      <c r="B1114" s="1"/>
      <c r="C1114" s="1"/>
      <c r="D1114" s="1"/>
      <c r="E1114" s="1"/>
      <c r="F1114" s="1"/>
      <c r="G1114" s="3"/>
      <c r="H1114" s="1"/>
    </row>
    <row r="1115" spans="1:8" ht="13.2" x14ac:dyDescent="0.25">
      <c r="A1115" s="1"/>
      <c r="B1115" s="1"/>
      <c r="C1115" s="1"/>
      <c r="D1115" s="1"/>
      <c r="E1115" s="1"/>
      <c r="F1115" s="1"/>
      <c r="G1115" s="1"/>
      <c r="H1115" s="1"/>
    </row>
    <row r="1116" spans="1:8" ht="13.2" x14ac:dyDescent="0.25">
      <c r="A1116" s="2"/>
      <c r="B1116" s="1"/>
      <c r="C1116" s="1"/>
      <c r="D1116" s="1"/>
      <c r="E1116" s="1"/>
      <c r="F1116" s="1"/>
      <c r="G1116" s="1"/>
      <c r="H1116" s="1"/>
    </row>
    <row r="1117" spans="1:8" ht="13.2" x14ac:dyDescent="0.25">
      <c r="A1117" s="1"/>
      <c r="B1117" s="1"/>
      <c r="C1117" s="1"/>
      <c r="D1117" s="1"/>
      <c r="E1117" s="1"/>
      <c r="F1117" s="1"/>
      <c r="G1117" s="1"/>
      <c r="H1117" s="1"/>
    </row>
    <row r="1118" spans="1:8" ht="13.2" x14ac:dyDescent="0.25">
      <c r="A1118" s="1"/>
      <c r="B1118" s="1"/>
      <c r="C1118" s="1"/>
      <c r="D1118" s="1"/>
      <c r="E1118" s="1"/>
      <c r="F1118" s="1"/>
      <c r="G1118" s="1"/>
      <c r="H1118" s="1"/>
    </row>
    <row r="1119" spans="1:8" ht="13.2" x14ac:dyDescent="0.25">
      <c r="A1119" s="1"/>
      <c r="B1119" s="1"/>
      <c r="C1119" s="1"/>
      <c r="D1119" s="1"/>
      <c r="E1119" s="1"/>
      <c r="F1119" s="1"/>
      <c r="G1119" s="3"/>
      <c r="H1119" s="1"/>
    </row>
    <row r="1120" spans="1:8" ht="13.2" x14ac:dyDescent="0.25">
      <c r="A1120" s="2"/>
      <c r="B1120" s="1"/>
      <c r="C1120" s="1"/>
      <c r="D1120" s="1"/>
      <c r="E1120" s="1"/>
      <c r="F1120" s="1"/>
      <c r="G1120" s="1"/>
      <c r="H1120" s="1"/>
    </row>
    <row r="1121" spans="1:8" ht="13.2" x14ac:dyDescent="0.25">
      <c r="A1121" s="1"/>
      <c r="B1121" s="1"/>
      <c r="C1121" s="1"/>
      <c r="D1121" s="1"/>
      <c r="E1121" s="1"/>
      <c r="F1121" s="1"/>
      <c r="G1121" s="1"/>
      <c r="H1121" s="1"/>
    </row>
    <row r="1122" spans="1:8" ht="13.2" x14ac:dyDescent="0.25">
      <c r="A1122" s="1"/>
      <c r="B1122" s="1"/>
      <c r="C1122" s="1"/>
      <c r="D1122" s="1"/>
      <c r="E1122" s="1"/>
      <c r="F1122" s="1"/>
      <c r="G1122" s="1"/>
      <c r="H1122" s="1"/>
    </row>
    <row r="1123" spans="1:8" ht="13.2" x14ac:dyDescent="0.25">
      <c r="A1123" s="2"/>
      <c r="B1123" s="1"/>
      <c r="C1123" s="1"/>
      <c r="D1123" s="1"/>
      <c r="E1123" s="1"/>
      <c r="F1123" s="1"/>
      <c r="G1123" s="3"/>
      <c r="H1123" s="1"/>
    </row>
    <row r="1124" spans="1:8" ht="13.2" x14ac:dyDescent="0.25">
      <c r="A1124" s="1"/>
      <c r="B1124" s="1"/>
      <c r="C1124" s="1"/>
      <c r="D1124" s="1"/>
      <c r="E1124" s="1"/>
      <c r="F1124" s="1"/>
      <c r="G1124" s="1"/>
      <c r="H1124" s="1"/>
    </row>
    <row r="1125" spans="1:8" ht="13.2" x14ac:dyDescent="0.25">
      <c r="A1125" s="1"/>
      <c r="B1125" s="1"/>
      <c r="C1125" s="1"/>
      <c r="D1125" s="1"/>
      <c r="E1125" s="1"/>
      <c r="F1125" s="1"/>
      <c r="G1125" s="3"/>
      <c r="H1125" s="1"/>
    </row>
    <row r="1126" spans="1:8" ht="13.2" x14ac:dyDescent="0.25">
      <c r="A1126" s="2"/>
      <c r="B1126" s="1"/>
      <c r="C1126" s="1"/>
      <c r="D1126" s="1"/>
      <c r="E1126" s="1"/>
      <c r="F1126" s="1"/>
      <c r="G1126" s="1"/>
      <c r="H1126" s="1"/>
    </row>
    <row r="1127" spans="1:8" ht="13.2" x14ac:dyDescent="0.25">
      <c r="A1127" s="1"/>
      <c r="B1127" s="1"/>
      <c r="C1127" s="1"/>
      <c r="D1127" s="1"/>
      <c r="E1127" s="1"/>
      <c r="F1127" s="1"/>
      <c r="G1127" s="1"/>
      <c r="H1127" s="1"/>
    </row>
    <row r="1128" spans="1:8" ht="13.2" x14ac:dyDescent="0.25">
      <c r="A1128" s="2"/>
      <c r="B1128" s="1"/>
      <c r="C1128" s="1"/>
      <c r="D1128" s="1"/>
      <c r="E1128" s="1"/>
      <c r="F1128" s="1"/>
      <c r="G1128" s="1"/>
      <c r="H1128" s="1"/>
    </row>
    <row r="1129" spans="1:8" ht="13.2" x14ac:dyDescent="0.25">
      <c r="A1129" s="1"/>
      <c r="B1129" s="1"/>
      <c r="C1129" s="1"/>
      <c r="D1129" s="1"/>
      <c r="E1129" s="1"/>
      <c r="F1129" s="1"/>
      <c r="G1129" s="3"/>
      <c r="H1129" s="1"/>
    </row>
    <row r="1130" spans="1:8" ht="13.2" x14ac:dyDescent="0.25">
      <c r="A1130" s="1"/>
      <c r="B1130" s="1"/>
      <c r="C1130" s="1"/>
      <c r="D1130" s="1"/>
      <c r="E1130" s="1"/>
      <c r="F1130" s="1"/>
      <c r="G1130" s="3"/>
      <c r="H1130" s="1"/>
    </row>
    <row r="1131" spans="1:8" ht="13.2" x14ac:dyDescent="0.25">
      <c r="A1131" s="1"/>
      <c r="B1131" s="1"/>
      <c r="C1131" s="1"/>
      <c r="D1131" s="1"/>
      <c r="E1131" s="1"/>
      <c r="F1131" s="1"/>
      <c r="G1131" s="1"/>
      <c r="H1131" s="1"/>
    </row>
    <row r="1132" spans="1:8" ht="13.2" x14ac:dyDescent="0.25">
      <c r="A1132" s="1"/>
      <c r="B1132" s="1"/>
      <c r="C1132" s="1"/>
      <c r="D1132" s="1"/>
      <c r="E1132" s="1"/>
      <c r="F1132" s="1"/>
      <c r="G1132" s="1"/>
      <c r="H1132" s="1"/>
    </row>
    <row r="1133" spans="1:8" ht="13.2" x14ac:dyDescent="0.25">
      <c r="A1133" s="2"/>
      <c r="B1133" s="1"/>
      <c r="C1133" s="1"/>
      <c r="D1133" s="1"/>
      <c r="E1133" s="1"/>
      <c r="F1133" s="1"/>
      <c r="G1133" s="1"/>
      <c r="H1133" s="1"/>
    </row>
    <row r="1134" spans="1:8" ht="13.2" x14ac:dyDescent="0.25">
      <c r="A1134" s="2"/>
      <c r="B1134" s="1"/>
      <c r="C1134" s="1"/>
      <c r="D1134" s="1"/>
      <c r="E1134" s="1"/>
      <c r="F1134" s="1"/>
      <c r="G1134" s="1"/>
      <c r="H1134" s="1"/>
    </row>
    <row r="1135" spans="1:8" ht="13.2" x14ac:dyDescent="0.25">
      <c r="A1135" s="1"/>
      <c r="B1135" s="1"/>
      <c r="C1135" s="1"/>
      <c r="D1135" s="1"/>
      <c r="E1135" s="1"/>
      <c r="F1135" s="1"/>
      <c r="G1135" s="3"/>
      <c r="H1135" s="1"/>
    </row>
    <row r="1136" spans="1:8" ht="13.2" x14ac:dyDescent="0.25">
      <c r="A1136" s="1"/>
      <c r="B1136" s="1"/>
      <c r="C1136" s="1"/>
      <c r="D1136" s="1"/>
      <c r="E1136" s="1"/>
      <c r="F1136" s="1"/>
      <c r="G1136" s="1"/>
      <c r="H1136" s="1"/>
    </row>
    <row r="1137" spans="1:8" ht="13.2" x14ac:dyDescent="0.25">
      <c r="A1137" s="2"/>
      <c r="B1137" s="1"/>
      <c r="C1137" s="1"/>
      <c r="D1137" s="1"/>
      <c r="E1137" s="1"/>
      <c r="F1137" s="1"/>
      <c r="G1137" s="1"/>
      <c r="H1137" s="1"/>
    </row>
    <row r="1138" spans="1:8" ht="13.2" x14ac:dyDescent="0.25">
      <c r="A1138" s="1"/>
      <c r="B1138" s="1"/>
      <c r="C1138" s="1"/>
      <c r="D1138" s="1"/>
      <c r="E1138" s="1"/>
      <c r="F1138" s="1"/>
      <c r="G1138" s="3"/>
      <c r="H1138" s="1"/>
    </row>
    <row r="1139" spans="1:8" ht="13.2" x14ac:dyDescent="0.25">
      <c r="A1139" s="1"/>
      <c r="B1139" s="1"/>
      <c r="C1139" s="1"/>
      <c r="D1139" s="1"/>
      <c r="E1139" s="1"/>
      <c r="F1139" s="1"/>
      <c r="G1139" s="1"/>
      <c r="H1139" s="1"/>
    </row>
    <row r="1140" spans="1:8" ht="13.2" x14ac:dyDescent="0.25">
      <c r="A1140" s="1"/>
      <c r="B1140" s="1"/>
      <c r="C1140" s="1"/>
      <c r="D1140" s="1"/>
      <c r="E1140" s="1"/>
      <c r="F1140" s="1"/>
      <c r="G1140" s="3"/>
      <c r="H1140" s="1"/>
    </row>
    <row r="1141" spans="1:8" ht="13.2" x14ac:dyDescent="0.25">
      <c r="A1141" s="1"/>
      <c r="B1141" s="1"/>
      <c r="C1141" s="1"/>
      <c r="D1141" s="1"/>
      <c r="E1141" s="1"/>
      <c r="F1141" s="1"/>
      <c r="G1141" s="1"/>
      <c r="H1141" s="1"/>
    </row>
    <row r="1142" spans="1:8" ht="13.2" x14ac:dyDescent="0.25">
      <c r="A1142" s="2"/>
      <c r="B1142" s="1"/>
      <c r="C1142" s="1"/>
      <c r="D1142" s="1"/>
      <c r="E1142" s="1"/>
      <c r="F1142" s="1"/>
      <c r="G1142" s="3"/>
      <c r="H1142" s="1"/>
    </row>
    <row r="1143" spans="1:8" ht="13.2" x14ac:dyDescent="0.25">
      <c r="A1143" s="2"/>
      <c r="B1143" s="1"/>
      <c r="C1143" s="1"/>
      <c r="D1143" s="1"/>
      <c r="E1143" s="1"/>
      <c r="F1143" s="1"/>
      <c r="G1143" s="1"/>
      <c r="H1143" s="1"/>
    </row>
    <row r="1144" spans="1:8" ht="13.2" x14ac:dyDescent="0.25">
      <c r="A1144" s="2"/>
      <c r="B1144" s="1"/>
      <c r="C1144" s="1"/>
      <c r="D1144" s="1"/>
      <c r="E1144" s="1"/>
      <c r="F1144" s="1"/>
      <c r="G1144" s="1"/>
      <c r="H1144" s="1"/>
    </row>
    <row r="1145" spans="1:8" ht="13.2" x14ac:dyDescent="0.25">
      <c r="A1145" s="2"/>
      <c r="B1145" s="1"/>
      <c r="C1145" s="1"/>
      <c r="D1145" s="1"/>
      <c r="E1145" s="1"/>
      <c r="F1145" s="1"/>
      <c r="G1145" s="1"/>
      <c r="H1145" s="1"/>
    </row>
    <row r="1146" spans="1:8" ht="13.2" x14ac:dyDescent="0.25">
      <c r="A1146" s="2"/>
      <c r="B1146" s="1"/>
      <c r="C1146" s="1"/>
      <c r="D1146" s="1"/>
      <c r="E1146" s="1"/>
      <c r="F1146" s="1"/>
      <c r="G1146" s="1"/>
      <c r="H1146" s="1"/>
    </row>
    <row r="1147" spans="1:8" ht="13.2" x14ac:dyDescent="0.25">
      <c r="A1147" s="1"/>
      <c r="B1147" s="1"/>
      <c r="C1147" s="1"/>
      <c r="D1147" s="1"/>
      <c r="E1147" s="1"/>
      <c r="F1147" s="1"/>
      <c r="G1147" s="1"/>
      <c r="H1147" s="1"/>
    </row>
    <row r="1148" spans="1:8" ht="13.2" x14ac:dyDescent="0.25">
      <c r="A1148" s="1"/>
      <c r="B1148" s="1"/>
      <c r="C1148" s="1"/>
      <c r="D1148" s="1"/>
      <c r="E1148" s="1"/>
      <c r="F1148" s="1"/>
      <c r="G1148" s="1"/>
      <c r="H1148" s="1"/>
    </row>
    <row r="1149" spans="1:8" ht="13.2" x14ac:dyDescent="0.25">
      <c r="A1149" s="2"/>
      <c r="B1149" s="1"/>
      <c r="C1149" s="1"/>
      <c r="D1149" s="1"/>
      <c r="E1149" s="1"/>
      <c r="F1149" s="1"/>
      <c r="G1149" s="3"/>
      <c r="H1149" s="1"/>
    </row>
    <row r="1150" spans="1:8" ht="13.2" x14ac:dyDescent="0.25">
      <c r="A1150" s="2"/>
      <c r="B1150" s="1"/>
      <c r="C1150" s="1"/>
      <c r="D1150" s="1"/>
      <c r="E1150" s="1"/>
      <c r="F1150" s="1"/>
      <c r="G1150" s="1"/>
      <c r="H1150" s="1"/>
    </row>
    <row r="1151" spans="1:8" ht="13.2" x14ac:dyDescent="0.25">
      <c r="A1151" s="1"/>
      <c r="B1151" s="1"/>
      <c r="C1151" s="1"/>
      <c r="D1151" s="1"/>
      <c r="E1151" s="1"/>
      <c r="F1151" s="1"/>
      <c r="G1151" s="1"/>
      <c r="H1151" s="1"/>
    </row>
    <row r="1152" spans="1:8" ht="13.2" x14ac:dyDescent="0.25">
      <c r="A1152" s="2"/>
      <c r="B1152" s="1"/>
      <c r="C1152" s="1"/>
      <c r="D1152" s="1"/>
      <c r="E1152" s="1"/>
      <c r="F1152" s="1"/>
      <c r="G1152" s="1"/>
      <c r="H1152" s="1"/>
    </row>
    <row r="1153" spans="1:8" ht="13.2" x14ac:dyDescent="0.25">
      <c r="A1153" s="1"/>
      <c r="B1153" s="1"/>
      <c r="C1153" s="1"/>
      <c r="D1153" s="1"/>
      <c r="E1153" s="1"/>
      <c r="F1153" s="1"/>
      <c r="G1153" s="3"/>
      <c r="H1153" s="1"/>
    </row>
    <row r="1154" spans="1:8" ht="13.2" x14ac:dyDescent="0.25">
      <c r="A1154" s="1"/>
      <c r="B1154" s="1"/>
      <c r="C1154" s="1"/>
      <c r="D1154" s="1"/>
      <c r="E1154" s="1"/>
      <c r="F1154" s="1"/>
      <c r="G1154" s="1"/>
      <c r="H1154" s="1"/>
    </row>
    <row r="1155" spans="1:8" ht="13.2" x14ac:dyDescent="0.25">
      <c r="A1155" s="2"/>
      <c r="B1155" s="1"/>
      <c r="C1155" s="1"/>
      <c r="D1155" s="1"/>
      <c r="E1155" s="1"/>
      <c r="F1155" s="1"/>
      <c r="G1155" s="1"/>
      <c r="H1155" s="1"/>
    </row>
    <row r="1156" spans="1:8" ht="13.2" x14ac:dyDescent="0.25">
      <c r="A1156" s="1"/>
      <c r="B1156" s="1"/>
      <c r="C1156" s="1"/>
      <c r="D1156" s="1"/>
      <c r="E1156" s="1"/>
      <c r="F1156" s="1"/>
      <c r="G1156" s="3"/>
      <c r="H1156" s="1"/>
    </row>
    <row r="1157" spans="1:8" ht="13.2" x14ac:dyDescent="0.25">
      <c r="A1157" s="1"/>
      <c r="B1157" s="1"/>
      <c r="C1157" s="1"/>
      <c r="D1157" s="1"/>
      <c r="E1157" s="1"/>
      <c r="F1157" s="1"/>
      <c r="G1157" s="1"/>
      <c r="H1157" s="1"/>
    </row>
    <row r="1158" spans="1:8" ht="13.2" x14ac:dyDescent="0.25">
      <c r="A1158" s="2"/>
      <c r="B1158" s="1"/>
      <c r="C1158" s="1"/>
      <c r="D1158" s="1"/>
      <c r="E1158" s="1"/>
      <c r="F1158" s="1"/>
      <c r="G1158" s="1"/>
      <c r="H1158" s="1"/>
    </row>
    <row r="1159" spans="1:8" ht="13.2" x14ac:dyDescent="0.25">
      <c r="A1159" s="1"/>
      <c r="B1159" s="1"/>
      <c r="C1159" s="1"/>
      <c r="D1159" s="1"/>
      <c r="E1159" s="1"/>
      <c r="F1159" s="1"/>
      <c r="G1159" s="1"/>
      <c r="H1159" s="1"/>
    </row>
    <row r="1160" spans="1:8" ht="13.2" x14ac:dyDescent="0.25">
      <c r="A1160" s="1"/>
      <c r="B1160" s="1"/>
      <c r="C1160" s="1"/>
      <c r="D1160" s="1"/>
      <c r="E1160" s="1"/>
      <c r="F1160" s="1"/>
      <c r="G1160" s="1"/>
      <c r="H1160" s="1"/>
    </row>
    <row r="1161" spans="1:8" ht="13.2" x14ac:dyDescent="0.25">
      <c r="A1161" s="1"/>
      <c r="B1161" s="1"/>
      <c r="C1161" s="1"/>
      <c r="D1161" s="1"/>
      <c r="E1161" s="1"/>
      <c r="F1161" s="1"/>
      <c r="G1161" s="3"/>
      <c r="H1161" s="1"/>
    </row>
    <row r="1162" spans="1:8" ht="13.2" x14ac:dyDescent="0.25">
      <c r="A1162" s="2"/>
      <c r="B1162" s="1"/>
      <c r="C1162" s="1"/>
      <c r="D1162" s="1"/>
      <c r="E1162" s="1"/>
      <c r="F1162" s="1"/>
      <c r="G1162" s="1"/>
      <c r="H1162" s="1"/>
    </row>
    <row r="1163" spans="1:8" ht="13.2" x14ac:dyDescent="0.25">
      <c r="A1163" s="1"/>
      <c r="B1163" s="1"/>
      <c r="C1163" s="1"/>
      <c r="D1163" s="1"/>
      <c r="E1163" s="1"/>
      <c r="F1163" s="1"/>
      <c r="G1163" s="1"/>
      <c r="H1163" s="1"/>
    </row>
    <row r="1164" spans="1:8" ht="13.2" x14ac:dyDescent="0.25">
      <c r="A1164" s="2"/>
      <c r="B1164" s="1"/>
      <c r="C1164" s="1"/>
      <c r="D1164" s="1"/>
      <c r="E1164" s="1"/>
      <c r="F1164" s="1"/>
      <c r="G1164" s="1"/>
      <c r="H1164" s="1"/>
    </row>
    <row r="1165" spans="1:8" ht="13.2" x14ac:dyDescent="0.25">
      <c r="A1165" s="1"/>
      <c r="B1165" s="1"/>
      <c r="C1165" s="1"/>
      <c r="D1165" s="1"/>
      <c r="E1165" s="1"/>
      <c r="F1165" s="1"/>
      <c r="G1165" s="1"/>
      <c r="H1165" s="1"/>
    </row>
    <row r="1166" spans="1:8" ht="13.2" x14ac:dyDescent="0.25">
      <c r="A1166" s="1"/>
      <c r="B1166" s="1"/>
      <c r="C1166" s="1"/>
      <c r="D1166" s="1"/>
      <c r="E1166" s="1"/>
      <c r="F1166" s="1"/>
      <c r="G1166" s="3"/>
      <c r="H1166" s="1"/>
    </row>
    <row r="1167" spans="1:8" ht="13.2" x14ac:dyDescent="0.25">
      <c r="A1167" s="1"/>
      <c r="B1167" s="1"/>
      <c r="C1167" s="1"/>
      <c r="D1167" s="1"/>
      <c r="E1167" s="1"/>
      <c r="F1167" s="1"/>
      <c r="G1167" s="3"/>
      <c r="H1167" s="1"/>
    </row>
    <row r="1168" spans="1:8" ht="13.2" x14ac:dyDescent="0.25">
      <c r="A1168" s="1"/>
      <c r="B1168" s="1"/>
      <c r="C1168" s="1"/>
      <c r="D1168" s="1"/>
      <c r="E1168" s="1"/>
      <c r="F1168" s="1"/>
      <c r="G1168" s="3"/>
      <c r="H1168" s="1"/>
    </row>
    <row r="1169" spans="1:8" ht="13.2" x14ac:dyDescent="0.25">
      <c r="A1169" s="1"/>
      <c r="B1169" s="1"/>
      <c r="C1169" s="1"/>
      <c r="D1169" s="1"/>
      <c r="E1169" s="1"/>
      <c r="F1169" s="1"/>
      <c r="G1169" s="1"/>
      <c r="H1169" s="1"/>
    </row>
    <row r="1170" spans="1:8" ht="13.2" x14ac:dyDescent="0.25">
      <c r="A1170" s="2"/>
      <c r="B1170" s="1"/>
      <c r="C1170" s="1"/>
      <c r="D1170" s="1"/>
      <c r="E1170" s="1"/>
      <c r="F1170" s="1"/>
      <c r="G1170" s="1"/>
      <c r="H1170" s="1"/>
    </row>
    <row r="1171" spans="1:8" ht="13.2" x14ac:dyDescent="0.25">
      <c r="A1171" s="1"/>
      <c r="B1171" s="1"/>
      <c r="C1171" s="1"/>
      <c r="D1171" s="1"/>
      <c r="E1171" s="1"/>
      <c r="F1171" s="1"/>
      <c r="G1171" s="1"/>
      <c r="H1171" s="1"/>
    </row>
    <row r="1172" spans="1:8" ht="13.2" x14ac:dyDescent="0.25">
      <c r="A1172" s="1"/>
      <c r="B1172" s="1"/>
      <c r="C1172" s="1"/>
      <c r="D1172" s="1"/>
      <c r="E1172" s="1"/>
      <c r="F1172" s="1"/>
      <c r="G1172" s="3"/>
      <c r="H1172" s="1"/>
    </row>
    <row r="1173" spans="1:8" ht="13.2" x14ac:dyDescent="0.25">
      <c r="A1173" s="1"/>
      <c r="B1173" s="1"/>
      <c r="C1173" s="1"/>
      <c r="D1173" s="1"/>
      <c r="E1173" s="1"/>
      <c r="F1173" s="1"/>
      <c r="G1173" s="3"/>
      <c r="H1173" s="1"/>
    </row>
    <row r="1174" spans="1:8" ht="13.2" x14ac:dyDescent="0.25">
      <c r="A1174" s="1"/>
      <c r="B1174" s="1"/>
      <c r="C1174" s="1"/>
      <c r="D1174" s="1"/>
      <c r="E1174" s="1"/>
      <c r="F1174" s="1"/>
      <c r="G1174" s="3"/>
      <c r="H1174" s="1"/>
    </row>
    <row r="1175" spans="1:8" ht="13.2" x14ac:dyDescent="0.25">
      <c r="A1175" s="2"/>
      <c r="B1175" s="1"/>
      <c r="C1175" s="1"/>
      <c r="D1175" s="1"/>
      <c r="E1175" s="1"/>
      <c r="F1175" s="1"/>
      <c r="G1175" s="3"/>
      <c r="H1175" s="1"/>
    </row>
    <row r="1176" spans="1:8" ht="13.2" x14ac:dyDescent="0.25">
      <c r="A1176" s="2"/>
      <c r="B1176" s="1"/>
      <c r="C1176" s="1"/>
      <c r="D1176" s="1"/>
      <c r="E1176" s="1"/>
      <c r="F1176" s="1"/>
      <c r="G1176" s="3"/>
      <c r="H1176" s="1"/>
    </row>
    <row r="1177" spans="1:8" ht="13.2" x14ac:dyDescent="0.25">
      <c r="A1177" s="1"/>
      <c r="B1177" s="1"/>
      <c r="C1177" s="1"/>
      <c r="D1177" s="1"/>
      <c r="E1177" s="1"/>
      <c r="F1177" s="1"/>
      <c r="G1177" s="1"/>
      <c r="H1177" s="1"/>
    </row>
    <row r="1178" spans="1:8" ht="13.2" x14ac:dyDescent="0.25">
      <c r="A1178" s="2"/>
      <c r="B1178" s="1"/>
      <c r="C1178" s="1"/>
      <c r="D1178" s="1"/>
      <c r="E1178" s="1"/>
      <c r="F1178" s="1"/>
      <c r="G1178" s="3"/>
      <c r="H1178" s="1"/>
    </row>
    <row r="1179" spans="1:8" ht="13.2" x14ac:dyDescent="0.25">
      <c r="A1179" s="2"/>
      <c r="B1179" s="1"/>
      <c r="C1179" s="1"/>
      <c r="D1179" s="1"/>
      <c r="E1179" s="1"/>
      <c r="F1179" s="1"/>
      <c r="G1179" s="3"/>
      <c r="H1179" s="1"/>
    </row>
    <row r="1180" spans="1:8" ht="13.2" x14ac:dyDescent="0.25">
      <c r="A1180" s="2"/>
      <c r="B1180" s="1"/>
      <c r="C1180" s="1"/>
      <c r="D1180" s="1"/>
      <c r="E1180" s="1"/>
      <c r="F1180" s="1"/>
      <c r="G1180" s="1"/>
      <c r="H1180" s="1"/>
    </row>
    <row r="1181" spans="1:8" ht="13.2" x14ac:dyDescent="0.25">
      <c r="A1181" s="2"/>
      <c r="B1181" s="1"/>
      <c r="C1181" s="1"/>
      <c r="D1181" s="1"/>
      <c r="E1181" s="1"/>
      <c r="F1181" s="1"/>
      <c r="G1181" s="1"/>
      <c r="H1181" s="1"/>
    </row>
    <row r="1182" spans="1:8" ht="13.2" x14ac:dyDescent="0.25">
      <c r="A1182" s="1"/>
      <c r="B1182" s="1"/>
      <c r="C1182" s="1"/>
      <c r="D1182" s="1"/>
      <c r="E1182" s="1"/>
      <c r="F1182" s="1"/>
      <c r="G1182" s="1"/>
      <c r="H1182" s="1"/>
    </row>
    <row r="1183" spans="1:8" ht="13.2" x14ac:dyDescent="0.25">
      <c r="A1183" s="1"/>
      <c r="B1183" s="1"/>
      <c r="C1183" s="1"/>
      <c r="D1183" s="1"/>
      <c r="E1183" s="1"/>
      <c r="F1183" s="1"/>
      <c r="G1183" s="3"/>
      <c r="H1183" s="1"/>
    </row>
    <row r="1184" spans="1:8" ht="13.2" x14ac:dyDescent="0.25">
      <c r="A1184" s="1"/>
      <c r="B1184" s="1"/>
      <c r="C1184" s="1"/>
      <c r="D1184" s="1"/>
      <c r="E1184" s="1"/>
      <c r="F1184" s="1"/>
      <c r="G1184" s="1"/>
      <c r="H1184" s="1"/>
    </row>
    <row r="1185" spans="1:8" ht="13.2" x14ac:dyDescent="0.25">
      <c r="A1185" s="2"/>
      <c r="B1185" s="1"/>
      <c r="C1185" s="1"/>
      <c r="D1185" s="1"/>
      <c r="E1185" s="1"/>
      <c r="F1185" s="1"/>
      <c r="G1185" s="1"/>
      <c r="H1185" s="1"/>
    </row>
    <row r="1186" spans="1:8" ht="13.2" x14ac:dyDescent="0.25">
      <c r="A1186" s="1"/>
      <c r="B1186" s="1"/>
      <c r="C1186" s="1"/>
      <c r="D1186" s="1"/>
      <c r="E1186" s="1"/>
      <c r="F1186" s="1"/>
      <c r="G1186" s="3"/>
      <c r="H1186" s="1"/>
    </row>
    <row r="1187" spans="1:8" ht="13.2" x14ac:dyDescent="0.25">
      <c r="A1187" s="1"/>
      <c r="B1187" s="1"/>
      <c r="C1187" s="1"/>
      <c r="D1187" s="1"/>
      <c r="E1187" s="1"/>
      <c r="F1187" s="1"/>
      <c r="G1187" s="1"/>
      <c r="H1187" s="1"/>
    </row>
    <row r="1188" spans="1:8" ht="13.2" x14ac:dyDescent="0.25">
      <c r="A1188" s="1"/>
      <c r="B1188" s="1"/>
      <c r="C1188" s="1"/>
      <c r="D1188" s="1"/>
      <c r="E1188" s="1"/>
      <c r="F1188" s="1"/>
      <c r="G1188" s="3"/>
      <c r="H1188" s="1"/>
    </row>
    <row r="1189" spans="1:8" ht="13.2" x14ac:dyDescent="0.25">
      <c r="A1189" s="1"/>
      <c r="B1189" s="1"/>
      <c r="C1189" s="1"/>
      <c r="D1189" s="1"/>
      <c r="E1189" s="1"/>
      <c r="F1189" s="1"/>
      <c r="G1189" s="3"/>
      <c r="H1189" s="1"/>
    </row>
    <row r="1190" spans="1:8" ht="13.2" x14ac:dyDescent="0.25">
      <c r="A1190" s="1"/>
      <c r="B1190" s="1"/>
      <c r="C1190" s="1"/>
      <c r="D1190" s="1"/>
      <c r="E1190" s="1"/>
      <c r="F1190" s="1"/>
      <c r="G1190" s="1"/>
      <c r="H1190" s="1"/>
    </row>
    <row r="1191" spans="1:8" ht="13.2" x14ac:dyDescent="0.25">
      <c r="A1191" s="1"/>
      <c r="B1191" s="1"/>
      <c r="C1191" s="1"/>
      <c r="D1191" s="1"/>
      <c r="E1191" s="1"/>
      <c r="F1191" s="1"/>
      <c r="G1191" s="1"/>
      <c r="H1191" s="1"/>
    </row>
    <row r="1192" spans="1:8" ht="13.2" x14ac:dyDescent="0.25">
      <c r="A1192" s="1"/>
      <c r="B1192" s="1"/>
      <c r="C1192" s="1"/>
      <c r="D1192" s="1"/>
      <c r="E1192" s="1"/>
      <c r="F1192" s="1"/>
      <c r="G1192" s="3"/>
      <c r="H1192" s="1"/>
    </row>
    <row r="1193" spans="1:8" ht="13.2" x14ac:dyDescent="0.25">
      <c r="A1193" s="1"/>
      <c r="B1193" s="1"/>
      <c r="C1193" s="1"/>
      <c r="D1193" s="1"/>
      <c r="E1193" s="1"/>
      <c r="F1193" s="1"/>
      <c r="G1193" s="3"/>
      <c r="H1193" s="1"/>
    </row>
    <row r="1194" spans="1:8" ht="13.2" x14ac:dyDescent="0.25">
      <c r="A1194" s="1"/>
      <c r="B1194" s="1"/>
      <c r="C1194" s="1"/>
      <c r="D1194" s="1"/>
      <c r="E1194" s="1"/>
      <c r="F1194" s="1"/>
      <c r="G1194" s="3"/>
      <c r="H1194" s="1"/>
    </row>
    <row r="1195" spans="1:8" ht="13.2" x14ac:dyDescent="0.25">
      <c r="A1195" s="1"/>
      <c r="B1195" s="1"/>
      <c r="C1195" s="1"/>
      <c r="D1195" s="1"/>
      <c r="E1195" s="1"/>
      <c r="F1195" s="1"/>
      <c r="G1195" s="3"/>
      <c r="H1195" s="1"/>
    </row>
    <row r="1196" spans="1:8" ht="13.2" x14ac:dyDescent="0.25">
      <c r="A1196" s="1"/>
      <c r="B1196" s="1"/>
      <c r="C1196" s="1"/>
      <c r="D1196" s="1"/>
      <c r="E1196" s="1"/>
      <c r="F1196" s="1"/>
      <c r="G1196" s="1"/>
      <c r="H1196" s="1"/>
    </row>
    <row r="1197" spans="1:8" ht="13.2" x14ac:dyDescent="0.25">
      <c r="A1197" s="1"/>
      <c r="B1197" s="1"/>
      <c r="C1197" s="1"/>
      <c r="D1197" s="1"/>
      <c r="E1197" s="1"/>
      <c r="F1197" s="1"/>
      <c r="G1197" s="3"/>
      <c r="H1197" s="1"/>
    </row>
    <row r="1198" spans="1:8" ht="13.2" x14ac:dyDescent="0.25">
      <c r="A1198" s="1"/>
      <c r="B1198" s="1"/>
      <c r="C1198" s="1"/>
      <c r="D1198" s="1"/>
      <c r="E1198" s="1"/>
      <c r="F1198" s="1"/>
      <c r="G1198" s="3"/>
      <c r="H1198" s="1"/>
    </row>
    <row r="1199" spans="1:8" ht="13.2" x14ac:dyDescent="0.25">
      <c r="A1199" s="1"/>
      <c r="B1199" s="1"/>
      <c r="C1199" s="1"/>
      <c r="D1199" s="1"/>
      <c r="E1199" s="1"/>
      <c r="F1199" s="1"/>
      <c r="G1199" s="1"/>
      <c r="H1199" s="1"/>
    </row>
    <row r="1200" spans="1:8" ht="13.2" x14ac:dyDescent="0.25">
      <c r="A1200" s="1"/>
      <c r="B1200" s="1"/>
      <c r="C1200" s="1"/>
      <c r="D1200" s="1"/>
      <c r="E1200" s="1"/>
      <c r="F1200" s="1"/>
      <c r="G1200" s="3"/>
      <c r="H1200" s="1"/>
    </row>
    <row r="1201" spans="1:8" ht="13.2" x14ac:dyDescent="0.25">
      <c r="A1201" s="1"/>
      <c r="B1201" s="1"/>
      <c r="C1201" s="1"/>
      <c r="D1201" s="1"/>
      <c r="E1201" s="1"/>
      <c r="F1201" s="1"/>
      <c r="G1201" s="1"/>
      <c r="H1201" s="1"/>
    </row>
    <row r="1202" spans="1:8" ht="13.2" x14ac:dyDescent="0.25">
      <c r="A1202" s="1"/>
      <c r="B1202" s="1"/>
      <c r="C1202" s="1"/>
      <c r="D1202" s="1"/>
      <c r="E1202" s="1"/>
      <c r="F1202" s="1"/>
      <c r="G1202" s="1"/>
      <c r="H1202" s="1"/>
    </row>
    <row r="1203" spans="1:8" ht="13.2" x14ac:dyDescent="0.25">
      <c r="A1203" s="1"/>
      <c r="B1203" s="1"/>
      <c r="C1203" s="1"/>
      <c r="D1203" s="1"/>
      <c r="E1203" s="1"/>
      <c r="F1203" s="1"/>
      <c r="G1203" s="1"/>
      <c r="H1203" s="1"/>
    </row>
    <row r="1204" spans="1:8" ht="13.2" x14ac:dyDescent="0.25">
      <c r="A1204" s="1"/>
      <c r="B1204" s="1"/>
      <c r="C1204" s="1"/>
      <c r="D1204" s="1"/>
      <c r="E1204" s="1"/>
      <c r="F1204" s="1"/>
      <c r="G1204" s="3"/>
      <c r="H1204" s="1"/>
    </row>
    <row r="1205" spans="1:8" ht="13.2" x14ac:dyDescent="0.25">
      <c r="A1205" s="1"/>
      <c r="B1205" s="1"/>
      <c r="C1205" s="1"/>
      <c r="D1205" s="1"/>
      <c r="E1205" s="1"/>
      <c r="F1205" s="1"/>
      <c r="G1205" s="3"/>
      <c r="H1205" s="1"/>
    </row>
    <row r="1206" spans="1:8" ht="13.2" x14ac:dyDescent="0.25">
      <c r="A1206" s="1"/>
      <c r="B1206" s="1"/>
      <c r="C1206" s="1"/>
      <c r="D1206" s="1"/>
      <c r="E1206" s="1"/>
      <c r="F1206" s="1"/>
      <c r="G1206" s="3"/>
      <c r="H1206" s="1"/>
    </row>
    <row r="1207" spans="1:8" ht="13.2" x14ac:dyDescent="0.25">
      <c r="A1207" s="1"/>
      <c r="B1207" s="1"/>
      <c r="C1207" s="1"/>
      <c r="D1207" s="1"/>
      <c r="E1207" s="1"/>
      <c r="F1207" s="1"/>
      <c r="G1207" s="3"/>
      <c r="H1207" s="1"/>
    </row>
    <row r="1208" spans="1:8" ht="13.2" x14ac:dyDescent="0.25">
      <c r="A1208" s="1"/>
      <c r="B1208" s="1"/>
      <c r="C1208" s="1"/>
      <c r="D1208" s="1"/>
      <c r="E1208" s="1"/>
      <c r="F1208" s="1"/>
      <c r="G1208" s="3"/>
      <c r="H1208" s="1"/>
    </row>
    <row r="1209" spans="1:8" ht="13.2" x14ac:dyDescent="0.25">
      <c r="A1209" s="1"/>
      <c r="B1209" s="1"/>
      <c r="C1209" s="1"/>
      <c r="D1209" s="1"/>
      <c r="E1209" s="1"/>
      <c r="F1209" s="1"/>
      <c r="G1209" s="1"/>
      <c r="H1209" s="1"/>
    </row>
    <row r="1210" spans="1:8" ht="13.2" x14ac:dyDescent="0.25">
      <c r="A1210" s="1"/>
      <c r="B1210" s="1"/>
      <c r="C1210" s="1"/>
      <c r="D1210" s="1"/>
      <c r="E1210" s="1"/>
      <c r="F1210" s="1"/>
      <c r="G1210" s="1"/>
      <c r="H1210" s="1"/>
    </row>
    <row r="1211" spans="1:8" ht="13.2" x14ac:dyDescent="0.25">
      <c r="A1211" s="1"/>
      <c r="B1211" s="1"/>
      <c r="C1211" s="1"/>
      <c r="D1211" s="1"/>
      <c r="E1211" s="1"/>
      <c r="F1211" s="1"/>
      <c r="G1211" s="3"/>
      <c r="H1211" s="1"/>
    </row>
    <row r="1212" spans="1:8" ht="13.2" x14ac:dyDescent="0.25">
      <c r="A1212" s="1"/>
      <c r="B1212" s="1"/>
      <c r="C1212" s="1"/>
      <c r="D1212" s="1"/>
      <c r="E1212" s="1"/>
      <c r="F1212" s="1"/>
      <c r="G1212" s="1"/>
      <c r="H1212" s="1"/>
    </row>
    <row r="1213" spans="1:8" ht="13.2" x14ac:dyDescent="0.25">
      <c r="A1213" s="1"/>
      <c r="B1213" s="1"/>
      <c r="C1213" s="1"/>
      <c r="D1213" s="1"/>
      <c r="E1213" s="1"/>
      <c r="F1213" s="1"/>
      <c r="G1213" s="1"/>
      <c r="H1213" s="1"/>
    </row>
    <row r="1214" spans="1:8" ht="13.2" x14ac:dyDescent="0.25">
      <c r="A1214" s="2"/>
      <c r="B1214" s="1"/>
      <c r="C1214" s="1"/>
      <c r="D1214" s="1"/>
      <c r="E1214" s="1"/>
      <c r="F1214" s="1"/>
      <c r="G1214" s="1"/>
      <c r="H1214" s="1"/>
    </row>
    <row r="1215" spans="1:8" ht="13.2" x14ac:dyDescent="0.25">
      <c r="A1215" s="2"/>
      <c r="B1215" s="1"/>
      <c r="C1215" s="1"/>
      <c r="D1215" s="1"/>
      <c r="E1215" s="1"/>
      <c r="F1215" s="1"/>
      <c r="G1215" s="1"/>
      <c r="H1215" s="1"/>
    </row>
    <row r="1216" spans="1:8" ht="13.2" x14ac:dyDescent="0.25">
      <c r="A1216" s="2"/>
      <c r="B1216" s="1"/>
      <c r="C1216" s="1"/>
      <c r="D1216" s="1"/>
      <c r="E1216" s="1"/>
      <c r="F1216" s="1"/>
      <c r="G1216" s="1"/>
      <c r="H1216" s="1"/>
    </row>
    <row r="1217" spans="1:8" ht="13.2" x14ac:dyDescent="0.25">
      <c r="A1217" s="2"/>
      <c r="B1217" s="1"/>
      <c r="C1217" s="1"/>
      <c r="D1217" s="1"/>
      <c r="E1217" s="1"/>
      <c r="F1217" s="1"/>
      <c r="G1217" s="1"/>
      <c r="H1217" s="1"/>
    </row>
    <row r="1218" spans="1:8" ht="13.2" x14ac:dyDescent="0.25">
      <c r="A1218" s="2"/>
      <c r="B1218" s="1"/>
      <c r="C1218" s="1"/>
      <c r="D1218" s="1"/>
      <c r="E1218" s="1"/>
      <c r="F1218" s="1"/>
      <c r="G1218" s="3"/>
      <c r="H1218" s="1"/>
    </row>
    <row r="1219" spans="1:8" ht="13.2" x14ac:dyDescent="0.25">
      <c r="A1219" s="1"/>
      <c r="B1219" s="1"/>
      <c r="C1219" s="1"/>
      <c r="D1219" s="1"/>
      <c r="E1219" s="1"/>
      <c r="F1219" s="1"/>
      <c r="G1219" s="3"/>
      <c r="H1219" s="1"/>
    </row>
    <row r="1220" spans="1:8" ht="13.2" x14ac:dyDescent="0.25">
      <c r="A1220" s="2"/>
      <c r="B1220" s="1"/>
      <c r="C1220" s="1"/>
      <c r="D1220" s="1"/>
      <c r="E1220" s="1"/>
      <c r="F1220" s="1"/>
      <c r="G1220" s="1"/>
      <c r="H1220" s="1"/>
    </row>
    <row r="1221" spans="1:8" ht="13.2" x14ac:dyDescent="0.25">
      <c r="A1221" s="2"/>
      <c r="B1221" s="1"/>
      <c r="C1221" s="1"/>
      <c r="D1221" s="1"/>
      <c r="E1221" s="1"/>
      <c r="F1221" s="1"/>
      <c r="G1221" s="3"/>
      <c r="H1221" s="1"/>
    </row>
    <row r="1222" spans="1:8" ht="13.2" x14ac:dyDescent="0.25">
      <c r="A1222" s="2"/>
      <c r="B1222" s="1"/>
      <c r="C1222" s="1"/>
      <c r="D1222" s="1"/>
      <c r="E1222" s="1"/>
      <c r="F1222" s="1"/>
      <c r="G1222" s="1"/>
      <c r="H1222" s="1"/>
    </row>
    <row r="1223" spans="1:8" ht="13.2" x14ac:dyDescent="0.25">
      <c r="A1223" s="2"/>
      <c r="B1223" s="1"/>
      <c r="C1223" s="1"/>
      <c r="D1223" s="1"/>
      <c r="E1223" s="1"/>
      <c r="F1223" s="1"/>
      <c r="G1223" s="1"/>
      <c r="H1223" s="1"/>
    </row>
    <row r="1224" spans="1:8" ht="13.2" x14ac:dyDescent="0.25">
      <c r="A1224" s="1"/>
      <c r="B1224" s="1"/>
      <c r="C1224" s="1"/>
      <c r="D1224" s="1"/>
      <c r="E1224" s="1"/>
      <c r="F1224" s="1"/>
      <c r="G1224" s="3"/>
      <c r="H1224" s="1"/>
    </row>
    <row r="1225" spans="1:8" ht="13.2" x14ac:dyDescent="0.25">
      <c r="A1225" s="2"/>
      <c r="B1225" s="1"/>
      <c r="C1225" s="1"/>
      <c r="D1225" s="1"/>
      <c r="E1225" s="1"/>
      <c r="F1225" s="1"/>
      <c r="G1225" s="1"/>
      <c r="H1225" s="1"/>
    </row>
    <row r="1226" spans="1:8" ht="13.2" x14ac:dyDescent="0.25">
      <c r="A1226" s="1"/>
      <c r="B1226" s="1"/>
      <c r="C1226" s="1"/>
      <c r="D1226" s="1"/>
      <c r="E1226" s="1"/>
      <c r="F1226" s="1"/>
      <c r="G1226" s="1"/>
      <c r="H1226" s="1"/>
    </row>
    <row r="1227" spans="1:8" ht="13.2" x14ac:dyDescent="0.25">
      <c r="A1227" s="2"/>
      <c r="B1227" s="1"/>
      <c r="C1227" s="1"/>
      <c r="D1227" s="1"/>
      <c r="E1227" s="1"/>
      <c r="F1227" s="1"/>
      <c r="G1227" s="1"/>
      <c r="H1227" s="1"/>
    </row>
    <row r="1228" spans="1:8" ht="13.2" x14ac:dyDescent="0.25">
      <c r="A1228" s="1"/>
      <c r="B1228" s="1"/>
      <c r="C1228" s="1"/>
      <c r="D1228" s="1"/>
      <c r="E1228" s="1"/>
      <c r="F1228" s="1"/>
      <c r="G1228" s="3"/>
      <c r="H1228" s="1"/>
    </row>
    <row r="1229" spans="1:8" ht="13.2" x14ac:dyDescent="0.25">
      <c r="A1229" s="1"/>
      <c r="B1229" s="1"/>
      <c r="C1229" s="1"/>
      <c r="D1229" s="1"/>
      <c r="E1229" s="1"/>
      <c r="F1229" s="1"/>
      <c r="G1229" s="3"/>
      <c r="H1229" s="1"/>
    </row>
    <row r="1230" spans="1:8" ht="13.2" x14ac:dyDescent="0.25">
      <c r="A1230" s="1"/>
      <c r="B1230" s="1"/>
      <c r="C1230" s="1"/>
      <c r="D1230" s="1"/>
      <c r="E1230" s="1"/>
      <c r="F1230" s="1"/>
      <c r="G1230" s="1"/>
      <c r="H1230" s="1"/>
    </row>
    <row r="1231" spans="1:8" ht="13.2" x14ac:dyDescent="0.25">
      <c r="A1231" s="2"/>
      <c r="B1231" s="1"/>
      <c r="C1231" s="1"/>
      <c r="D1231" s="1"/>
      <c r="E1231" s="1"/>
      <c r="F1231" s="1"/>
      <c r="G1231" s="1"/>
      <c r="H1231" s="1"/>
    </row>
    <row r="1232" spans="1:8" ht="13.2" x14ac:dyDescent="0.25">
      <c r="A1232" s="1"/>
      <c r="B1232" s="1"/>
      <c r="C1232" s="1"/>
      <c r="D1232" s="1"/>
      <c r="E1232" s="1"/>
      <c r="F1232" s="1"/>
      <c r="G1232" s="1"/>
      <c r="H1232" s="1"/>
    </row>
    <row r="1233" spans="1:8" ht="13.2" x14ac:dyDescent="0.25">
      <c r="A1233" s="1"/>
      <c r="B1233" s="1"/>
      <c r="C1233" s="1"/>
      <c r="D1233" s="1"/>
      <c r="E1233" s="1"/>
      <c r="F1233" s="1"/>
      <c r="G1233" s="1"/>
      <c r="H1233" s="1"/>
    </row>
    <row r="1234" spans="1:8" ht="13.2" x14ac:dyDescent="0.25">
      <c r="A1234" s="1"/>
      <c r="B1234" s="1"/>
      <c r="C1234" s="1"/>
      <c r="D1234" s="1"/>
      <c r="E1234" s="1"/>
      <c r="F1234" s="1"/>
      <c r="G1234" s="1"/>
      <c r="H1234" s="1"/>
    </row>
    <row r="1235" spans="1:8" ht="13.2" x14ac:dyDescent="0.25">
      <c r="A1235" s="2"/>
      <c r="B1235" s="1"/>
      <c r="C1235" s="1"/>
      <c r="D1235" s="1"/>
      <c r="E1235" s="1"/>
      <c r="F1235" s="1"/>
      <c r="G1235" s="1"/>
      <c r="H1235" s="1"/>
    </row>
    <row r="1236" spans="1:8" ht="13.2" x14ac:dyDescent="0.25">
      <c r="A1236" s="1"/>
      <c r="B1236" s="1"/>
      <c r="C1236" s="1"/>
      <c r="D1236" s="1"/>
      <c r="E1236" s="1"/>
      <c r="F1236" s="1"/>
      <c r="G1236" s="1"/>
      <c r="H1236" s="1"/>
    </row>
    <row r="1237" spans="1:8" ht="13.2" x14ac:dyDescent="0.25">
      <c r="A1237" s="1"/>
      <c r="B1237" s="1"/>
      <c r="C1237" s="1"/>
      <c r="D1237" s="1"/>
      <c r="E1237" s="1"/>
      <c r="F1237" s="1"/>
      <c r="G1237" s="1"/>
      <c r="H1237" s="1"/>
    </row>
    <row r="1238" spans="1:8" ht="13.2" x14ac:dyDescent="0.25">
      <c r="A1238" s="1"/>
      <c r="B1238" s="1"/>
      <c r="C1238" s="1"/>
      <c r="D1238" s="1"/>
      <c r="E1238" s="1"/>
      <c r="F1238" s="1"/>
      <c r="G1238" s="1"/>
      <c r="H1238" s="1"/>
    </row>
    <row r="1239" spans="1:8" ht="13.2" x14ac:dyDescent="0.25">
      <c r="A1239" s="2"/>
      <c r="B1239" s="1"/>
      <c r="C1239" s="1"/>
      <c r="D1239" s="1"/>
      <c r="E1239" s="1"/>
      <c r="F1239" s="1"/>
      <c r="G1239" s="3"/>
      <c r="H1239" s="1"/>
    </row>
    <row r="1240" spans="1:8" ht="13.2" x14ac:dyDescent="0.25">
      <c r="A1240" s="1"/>
      <c r="B1240" s="1"/>
      <c r="C1240" s="1"/>
      <c r="D1240" s="1"/>
      <c r="E1240" s="1"/>
      <c r="F1240" s="1"/>
      <c r="G1240" s="1"/>
      <c r="H1240" s="1"/>
    </row>
    <row r="1241" spans="1:8" ht="13.2" x14ac:dyDescent="0.25">
      <c r="A1241" s="1"/>
      <c r="B1241" s="1"/>
      <c r="C1241" s="1"/>
      <c r="D1241" s="1"/>
      <c r="E1241" s="1"/>
      <c r="F1241" s="1"/>
      <c r="G1241" s="3"/>
      <c r="H1241" s="1"/>
    </row>
    <row r="1242" spans="1:8" ht="13.2" x14ac:dyDescent="0.25">
      <c r="A1242" s="2"/>
      <c r="B1242" s="1"/>
      <c r="C1242" s="1"/>
      <c r="D1242" s="1"/>
      <c r="E1242" s="1"/>
      <c r="F1242" s="1"/>
      <c r="G1242" s="3"/>
      <c r="H1242" s="1"/>
    </row>
    <row r="1243" spans="1:8" ht="13.2" x14ac:dyDescent="0.25">
      <c r="A1243" s="1"/>
      <c r="B1243" s="1"/>
      <c r="C1243" s="1"/>
      <c r="D1243" s="1"/>
      <c r="E1243" s="1"/>
      <c r="F1243" s="1"/>
      <c r="G1243" s="3"/>
      <c r="H1243" s="1"/>
    </row>
    <row r="1244" spans="1:8" ht="13.2" x14ac:dyDescent="0.25">
      <c r="A1244" s="2"/>
      <c r="B1244" s="1"/>
      <c r="C1244" s="1"/>
      <c r="D1244" s="1"/>
      <c r="E1244" s="1"/>
      <c r="F1244" s="1"/>
      <c r="G1244" s="3"/>
      <c r="H1244" s="1"/>
    </row>
    <row r="1245" spans="1:8" ht="13.2" x14ac:dyDescent="0.25">
      <c r="A1245" s="1"/>
      <c r="B1245" s="1"/>
      <c r="C1245" s="1"/>
      <c r="D1245" s="1"/>
      <c r="E1245" s="1"/>
      <c r="F1245" s="1"/>
      <c r="G1245" s="3"/>
      <c r="H1245" s="1"/>
    </row>
    <row r="1246" spans="1:8" ht="13.2" x14ac:dyDescent="0.25">
      <c r="A1246" s="1"/>
      <c r="B1246" s="1"/>
      <c r="C1246" s="1"/>
      <c r="D1246" s="1"/>
      <c r="E1246" s="1"/>
      <c r="F1246" s="1"/>
      <c r="G1246" s="1"/>
      <c r="H1246" s="1"/>
    </row>
    <row r="1247" spans="1:8" ht="13.2" x14ac:dyDescent="0.25">
      <c r="A1247" s="1"/>
      <c r="B1247" s="1"/>
      <c r="C1247" s="1"/>
      <c r="D1247" s="1"/>
      <c r="E1247" s="1"/>
      <c r="F1247" s="1"/>
      <c r="G1247" s="1"/>
      <c r="H1247" s="1"/>
    </row>
    <row r="1248" spans="1:8" ht="13.2" x14ac:dyDescent="0.25">
      <c r="A1248" s="1"/>
      <c r="B1248" s="1"/>
      <c r="C1248" s="1"/>
      <c r="D1248" s="1"/>
      <c r="E1248" s="1"/>
      <c r="F1248" s="1"/>
      <c r="G1248" s="3"/>
      <c r="H1248" s="1"/>
    </row>
    <row r="1249" spans="1:8" ht="13.2" x14ac:dyDescent="0.25">
      <c r="A1249" s="1"/>
      <c r="B1249" s="1"/>
      <c r="C1249" s="1"/>
      <c r="D1249" s="1"/>
      <c r="E1249" s="1"/>
      <c r="F1249" s="1"/>
      <c r="G1249" s="1"/>
      <c r="H1249" s="1"/>
    </row>
    <row r="1250" spans="1:8" ht="13.2" x14ac:dyDescent="0.25">
      <c r="A1250" s="2"/>
      <c r="B1250" s="1"/>
      <c r="C1250" s="1"/>
      <c r="D1250" s="1"/>
      <c r="E1250" s="1"/>
      <c r="F1250" s="1"/>
      <c r="G1250" s="1"/>
      <c r="H1250" s="1"/>
    </row>
    <row r="1251" spans="1:8" ht="13.2" x14ac:dyDescent="0.25">
      <c r="A1251" s="1"/>
      <c r="B1251" s="1"/>
      <c r="C1251" s="1"/>
      <c r="D1251" s="1"/>
      <c r="E1251" s="1"/>
      <c r="F1251" s="1"/>
      <c r="G1251" s="1"/>
      <c r="H1251" s="1"/>
    </row>
    <row r="1252" spans="1:8" ht="13.2" x14ac:dyDescent="0.25">
      <c r="A1252" s="2"/>
      <c r="B1252" s="1"/>
      <c r="C1252" s="1"/>
      <c r="D1252" s="1"/>
      <c r="E1252" s="1"/>
      <c r="F1252" s="1"/>
      <c r="G1252" s="3"/>
      <c r="H1252" s="1"/>
    </row>
    <row r="1253" spans="1:8" ht="13.2" x14ac:dyDescent="0.25">
      <c r="A1253" s="1"/>
      <c r="B1253" s="1"/>
      <c r="C1253" s="1"/>
      <c r="D1253" s="1"/>
      <c r="E1253" s="1"/>
      <c r="F1253" s="1"/>
      <c r="G1253" s="1"/>
      <c r="H1253" s="1"/>
    </row>
    <row r="1254" spans="1:8" ht="13.2" x14ac:dyDescent="0.25">
      <c r="A1254" s="1"/>
      <c r="B1254" s="1"/>
      <c r="C1254" s="1"/>
      <c r="D1254" s="1"/>
      <c r="E1254" s="1"/>
      <c r="F1254" s="1"/>
      <c r="G1254" s="1"/>
      <c r="H1254" s="1"/>
    </row>
    <row r="1255" spans="1:8" ht="13.2" x14ac:dyDescent="0.25">
      <c r="A1255" s="1"/>
      <c r="B1255" s="1"/>
      <c r="C1255" s="1"/>
      <c r="D1255" s="1"/>
      <c r="E1255" s="1"/>
      <c r="F1255" s="1"/>
      <c r="G1255" s="3"/>
      <c r="H1255" s="1"/>
    </row>
    <row r="1256" spans="1:8" ht="13.2" x14ac:dyDescent="0.25">
      <c r="A1256" s="1"/>
      <c r="B1256" s="1"/>
      <c r="C1256" s="1"/>
      <c r="D1256" s="1"/>
      <c r="E1256" s="1"/>
      <c r="F1256" s="1"/>
      <c r="G1256" s="3"/>
      <c r="H1256" s="1"/>
    </row>
    <row r="1257" spans="1:8" ht="13.2" x14ac:dyDescent="0.25">
      <c r="A1257" s="1"/>
      <c r="B1257" s="1"/>
      <c r="C1257" s="1"/>
      <c r="D1257" s="1"/>
      <c r="E1257" s="1"/>
      <c r="F1257" s="1"/>
      <c r="G1257" s="3"/>
      <c r="H1257" s="1"/>
    </row>
    <row r="1258" spans="1:8" ht="13.2" x14ac:dyDescent="0.25">
      <c r="A1258" s="1"/>
      <c r="B1258" s="1"/>
      <c r="C1258" s="1"/>
      <c r="D1258" s="1"/>
      <c r="E1258" s="1"/>
      <c r="F1258" s="1"/>
      <c r="G1258" s="3"/>
      <c r="H1258" s="1"/>
    </row>
    <row r="1259" spans="1:8" ht="13.2" x14ac:dyDescent="0.25">
      <c r="A1259" s="1"/>
      <c r="B1259" s="1"/>
      <c r="C1259" s="1"/>
      <c r="D1259" s="1"/>
      <c r="E1259" s="1"/>
      <c r="F1259" s="1"/>
      <c r="G1259" s="3"/>
      <c r="H1259" s="1"/>
    </row>
    <row r="1260" spans="1:8" ht="13.2" x14ac:dyDescent="0.25">
      <c r="A1260" s="1"/>
      <c r="B1260" s="1"/>
      <c r="C1260" s="1"/>
      <c r="D1260" s="1"/>
      <c r="E1260" s="1"/>
      <c r="F1260" s="1"/>
      <c r="G1260" s="1"/>
      <c r="H1260" s="1"/>
    </row>
    <row r="1261" spans="1:8" ht="13.2" x14ac:dyDescent="0.25">
      <c r="A1261" s="1"/>
      <c r="B1261" s="1"/>
      <c r="C1261" s="1"/>
      <c r="D1261" s="1"/>
      <c r="E1261" s="1"/>
      <c r="F1261" s="1"/>
      <c r="G1261" s="3"/>
      <c r="H1261" s="1"/>
    </row>
    <row r="1262" spans="1:8" ht="13.2" x14ac:dyDescent="0.25">
      <c r="A1262" s="1"/>
      <c r="B1262" s="1"/>
      <c r="C1262" s="1"/>
      <c r="D1262" s="1"/>
      <c r="E1262" s="1"/>
      <c r="F1262" s="1"/>
      <c r="G1262" s="3"/>
      <c r="H1262" s="1"/>
    </row>
    <row r="1263" spans="1:8" ht="13.2" x14ac:dyDescent="0.25">
      <c r="A1263" s="1"/>
      <c r="B1263" s="1"/>
      <c r="C1263" s="1"/>
      <c r="D1263" s="1"/>
      <c r="E1263" s="1"/>
      <c r="F1263" s="1"/>
      <c r="G1263" s="3"/>
      <c r="H1263" s="1"/>
    </row>
    <row r="1264" spans="1:8" ht="13.2" x14ac:dyDescent="0.25">
      <c r="A1264" s="1"/>
      <c r="B1264" s="1"/>
      <c r="C1264" s="1"/>
      <c r="D1264" s="1"/>
      <c r="E1264" s="1"/>
      <c r="F1264" s="1"/>
      <c r="G1264" s="3"/>
      <c r="H1264" s="1"/>
    </row>
    <row r="1265" spans="1:8" ht="13.2" x14ac:dyDescent="0.25">
      <c r="A1265" s="1"/>
      <c r="B1265" s="1"/>
      <c r="C1265" s="1"/>
      <c r="D1265" s="1"/>
      <c r="E1265" s="1"/>
      <c r="F1265" s="1"/>
      <c r="G1265" s="1"/>
      <c r="H1265" s="1"/>
    </row>
    <row r="1266" spans="1:8" ht="13.2" x14ac:dyDescent="0.25">
      <c r="A1266" s="2"/>
      <c r="B1266" s="1"/>
      <c r="C1266" s="1"/>
      <c r="D1266" s="1"/>
      <c r="E1266" s="1"/>
      <c r="F1266" s="1"/>
      <c r="G1266" s="1"/>
      <c r="H1266" s="1"/>
    </row>
    <row r="1267" spans="1:8" ht="13.2" x14ac:dyDescent="0.25">
      <c r="A1267" s="1"/>
      <c r="B1267" s="1"/>
      <c r="C1267" s="1"/>
      <c r="D1267" s="1"/>
      <c r="E1267" s="1"/>
      <c r="F1267" s="1"/>
      <c r="G1267" s="3"/>
      <c r="H1267" s="1"/>
    </row>
    <row r="1268" spans="1:8" ht="13.2" x14ac:dyDescent="0.25">
      <c r="A1268" s="1"/>
      <c r="B1268" s="1"/>
      <c r="C1268" s="1"/>
      <c r="D1268" s="1"/>
      <c r="E1268" s="1"/>
      <c r="F1268" s="1"/>
      <c r="G1268" s="1"/>
      <c r="H1268" s="1"/>
    </row>
    <row r="1269" spans="1:8" ht="13.2" x14ac:dyDescent="0.25">
      <c r="A1269" s="1"/>
      <c r="B1269" s="1"/>
      <c r="C1269" s="1"/>
      <c r="D1269" s="1"/>
      <c r="E1269" s="1"/>
      <c r="F1269" s="1"/>
      <c r="G1269" s="1"/>
      <c r="H1269" s="1"/>
    </row>
    <row r="1270" spans="1:8" ht="13.2" x14ac:dyDescent="0.25">
      <c r="A1270" s="1"/>
      <c r="B1270" s="1"/>
      <c r="C1270" s="1"/>
      <c r="D1270" s="1"/>
      <c r="E1270" s="1"/>
      <c r="F1270" s="1"/>
      <c r="G1270" s="1"/>
      <c r="H1270" s="1"/>
    </row>
    <row r="1271" spans="1:8" ht="13.2" x14ac:dyDescent="0.25">
      <c r="A1271" s="1"/>
      <c r="B1271" s="1"/>
      <c r="C1271" s="1"/>
      <c r="D1271" s="1"/>
      <c r="E1271" s="1"/>
      <c r="F1271" s="1"/>
      <c r="G1271" s="3"/>
      <c r="H1271" s="1"/>
    </row>
    <row r="1272" spans="1:8" ht="13.2" x14ac:dyDescent="0.25">
      <c r="A1272" s="1"/>
      <c r="B1272" s="1"/>
      <c r="C1272" s="1"/>
      <c r="D1272" s="1"/>
      <c r="E1272" s="1"/>
      <c r="F1272" s="1"/>
      <c r="G1272" s="1"/>
      <c r="H1272" s="1"/>
    </row>
    <row r="1273" spans="1:8" ht="13.2" x14ac:dyDescent="0.25">
      <c r="A1273" s="1"/>
      <c r="B1273" s="1"/>
      <c r="C1273" s="1"/>
      <c r="D1273" s="1"/>
      <c r="E1273" s="1"/>
      <c r="F1273" s="1"/>
      <c r="G1273" s="1"/>
      <c r="H1273" s="1"/>
    </row>
    <row r="1274" spans="1:8" ht="13.2" x14ac:dyDescent="0.25">
      <c r="A1274" s="1"/>
      <c r="B1274" s="1"/>
      <c r="C1274" s="1"/>
      <c r="D1274" s="1"/>
      <c r="E1274" s="1"/>
      <c r="F1274" s="1"/>
      <c r="G1274" s="3"/>
      <c r="H1274" s="1"/>
    </row>
    <row r="1275" spans="1:8" ht="13.2" x14ac:dyDescent="0.25">
      <c r="A1275" s="1"/>
      <c r="B1275" s="1"/>
      <c r="C1275" s="1"/>
      <c r="D1275" s="1"/>
      <c r="E1275" s="1"/>
      <c r="F1275" s="1"/>
      <c r="G1275" s="1"/>
      <c r="H1275" s="1"/>
    </row>
    <row r="1276" spans="1:8" ht="13.2" x14ac:dyDescent="0.25">
      <c r="A1276" s="1"/>
      <c r="B1276" s="1"/>
      <c r="C1276" s="1"/>
      <c r="D1276" s="1"/>
      <c r="E1276" s="1"/>
      <c r="F1276" s="1"/>
      <c r="G1276" s="3"/>
      <c r="H1276" s="1"/>
    </row>
    <row r="1277" spans="1:8" ht="13.2" x14ac:dyDescent="0.25">
      <c r="A1277" s="1"/>
      <c r="B1277" s="1"/>
      <c r="C1277" s="1"/>
      <c r="D1277" s="1"/>
      <c r="E1277" s="1"/>
      <c r="F1277" s="1"/>
      <c r="G1277" s="3"/>
      <c r="H1277" s="1"/>
    </row>
    <row r="1278" spans="1:8" ht="13.2" x14ac:dyDescent="0.25">
      <c r="A1278" s="1"/>
      <c r="B1278" s="1"/>
      <c r="C1278" s="1"/>
      <c r="D1278" s="1"/>
      <c r="E1278" s="1"/>
      <c r="F1278" s="1"/>
      <c r="G1278" s="3"/>
      <c r="H1278" s="1"/>
    </row>
    <row r="1279" spans="1:8" ht="13.2" x14ac:dyDescent="0.25">
      <c r="A1279" s="1"/>
      <c r="B1279" s="1"/>
      <c r="C1279" s="1"/>
      <c r="D1279" s="1"/>
      <c r="E1279" s="1"/>
      <c r="F1279" s="1"/>
      <c r="G1279" s="1"/>
      <c r="H1279" s="1"/>
    </row>
    <row r="1280" spans="1:8" ht="13.2" x14ac:dyDescent="0.25">
      <c r="A1280" s="1"/>
      <c r="B1280" s="1"/>
      <c r="C1280" s="1"/>
      <c r="D1280" s="1"/>
      <c r="E1280" s="1"/>
      <c r="F1280" s="1"/>
      <c r="G1280" s="1"/>
      <c r="H1280" s="1"/>
    </row>
    <row r="1281" spans="1:8" ht="13.2" x14ac:dyDescent="0.25">
      <c r="A1281" s="2"/>
      <c r="B1281" s="1"/>
      <c r="C1281" s="1"/>
      <c r="D1281" s="1"/>
      <c r="E1281" s="1"/>
      <c r="F1281" s="1"/>
      <c r="G1281" s="1"/>
      <c r="H1281" s="1"/>
    </row>
    <row r="1282" spans="1:8" ht="13.2" x14ac:dyDescent="0.25">
      <c r="A1282" s="2"/>
      <c r="B1282" s="1"/>
      <c r="C1282" s="1"/>
      <c r="D1282" s="1"/>
      <c r="E1282" s="1"/>
      <c r="F1282" s="1"/>
      <c r="G1282" s="1"/>
      <c r="H1282" s="1"/>
    </row>
    <row r="1283" spans="1:8" ht="13.2" x14ac:dyDescent="0.25">
      <c r="A1283" s="1"/>
      <c r="B1283" s="1"/>
      <c r="C1283" s="1"/>
      <c r="D1283" s="1"/>
      <c r="E1283" s="1"/>
      <c r="F1283" s="1"/>
      <c r="G1283" s="3"/>
      <c r="H1283" s="1"/>
    </row>
    <row r="1284" spans="1:8" ht="13.2" x14ac:dyDescent="0.25">
      <c r="A1284" s="1"/>
      <c r="B1284" s="1"/>
      <c r="C1284" s="1"/>
      <c r="D1284" s="1"/>
      <c r="E1284" s="1"/>
      <c r="F1284" s="1"/>
      <c r="G1284" s="3"/>
      <c r="H1284" s="1"/>
    </row>
    <row r="1285" spans="1:8" ht="13.2" x14ac:dyDescent="0.25">
      <c r="A1285" s="2"/>
      <c r="B1285" s="1"/>
      <c r="C1285" s="1"/>
      <c r="D1285" s="1"/>
      <c r="E1285" s="1"/>
      <c r="F1285" s="1"/>
      <c r="G1285" s="1"/>
      <c r="H1285" s="1"/>
    </row>
    <row r="1286" spans="1:8" ht="13.2" x14ac:dyDescent="0.25">
      <c r="A1286" s="1"/>
      <c r="B1286" s="1"/>
      <c r="C1286" s="1"/>
      <c r="D1286" s="1"/>
      <c r="E1286" s="1"/>
      <c r="F1286" s="1"/>
      <c r="G1286" s="3"/>
      <c r="H1286" s="1"/>
    </row>
    <row r="1287" spans="1:8" ht="13.2" x14ac:dyDescent="0.25">
      <c r="A1287" s="1"/>
      <c r="B1287" s="1"/>
      <c r="C1287" s="1"/>
      <c r="D1287" s="1"/>
      <c r="E1287" s="1"/>
      <c r="F1287" s="1"/>
      <c r="G1287" s="3"/>
      <c r="H1287" s="1"/>
    </row>
    <row r="1288" spans="1:8" ht="13.2" x14ac:dyDescent="0.25">
      <c r="A1288" s="2"/>
      <c r="B1288" s="1"/>
      <c r="C1288" s="1"/>
      <c r="D1288" s="1"/>
      <c r="E1288" s="1"/>
      <c r="F1288" s="1"/>
      <c r="G1288" s="1"/>
      <c r="H1288" s="1"/>
    </row>
    <row r="1289" spans="1:8" ht="13.2" x14ac:dyDescent="0.25">
      <c r="A1289" s="1"/>
      <c r="B1289" s="1"/>
      <c r="C1289" s="1"/>
      <c r="D1289" s="1"/>
      <c r="E1289" s="1"/>
      <c r="F1289" s="1"/>
      <c r="G1289" s="1"/>
      <c r="H1289" s="1"/>
    </row>
    <row r="1290" spans="1:8" ht="13.2" x14ac:dyDescent="0.25">
      <c r="A1290" s="1"/>
      <c r="B1290" s="1"/>
      <c r="C1290" s="1"/>
      <c r="D1290" s="1"/>
      <c r="E1290" s="1"/>
      <c r="F1290" s="1"/>
      <c r="G1290" s="3"/>
      <c r="H1290" s="1"/>
    </row>
    <row r="1291" spans="1:8" ht="13.2" x14ac:dyDescent="0.25">
      <c r="A1291" s="1"/>
      <c r="B1291" s="1"/>
      <c r="C1291" s="1"/>
      <c r="D1291" s="1"/>
      <c r="E1291" s="1"/>
      <c r="F1291" s="1"/>
      <c r="G1291" s="3"/>
      <c r="H1291" s="1"/>
    </row>
    <row r="1292" spans="1:8" ht="13.2" x14ac:dyDescent="0.25">
      <c r="A1292" s="1"/>
      <c r="B1292" s="1"/>
      <c r="C1292" s="1"/>
      <c r="D1292" s="1"/>
      <c r="E1292" s="1"/>
      <c r="F1292" s="1"/>
      <c r="G1292" s="1"/>
      <c r="H1292" s="1"/>
    </row>
    <row r="1293" spans="1:8" ht="13.2" x14ac:dyDescent="0.25">
      <c r="A1293" s="1"/>
      <c r="B1293" s="1"/>
      <c r="C1293" s="1"/>
      <c r="D1293" s="1"/>
      <c r="E1293" s="1"/>
      <c r="F1293" s="1"/>
      <c r="G1293" s="3"/>
      <c r="H1293" s="1"/>
    </row>
    <row r="1294" spans="1:8" ht="13.2" x14ac:dyDescent="0.25">
      <c r="A1294" s="1"/>
      <c r="B1294" s="1"/>
      <c r="C1294" s="1"/>
      <c r="D1294" s="1"/>
      <c r="E1294" s="1"/>
      <c r="F1294" s="1"/>
      <c r="G1294" s="3"/>
      <c r="H1294" s="1"/>
    </row>
    <row r="1295" spans="1:8" ht="13.2" x14ac:dyDescent="0.25">
      <c r="A1295" s="1"/>
      <c r="B1295" s="1"/>
      <c r="C1295" s="1"/>
      <c r="D1295" s="1"/>
      <c r="E1295" s="1"/>
      <c r="F1295" s="1"/>
      <c r="G1295" s="1"/>
      <c r="H1295" s="1"/>
    </row>
    <row r="1296" spans="1:8" ht="13.2" x14ac:dyDescent="0.25">
      <c r="A1296" s="1"/>
      <c r="B1296" s="1"/>
      <c r="C1296" s="1"/>
      <c r="D1296" s="1"/>
      <c r="E1296" s="1"/>
      <c r="F1296" s="1"/>
      <c r="G1296" s="3"/>
      <c r="H1296" s="1"/>
    </row>
    <row r="1297" spans="1:8" ht="13.2" x14ac:dyDescent="0.25">
      <c r="A1297" s="1"/>
      <c r="B1297" s="1"/>
      <c r="C1297" s="1"/>
      <c r="D1297" s="1"/>
      <c r="E1297" s="1"/>
      <c r="F1297" s="1"/>
      <c r="G1297" s="1"/>
      <c r="H1297" s="1"/>
    </row>
    <row r="1298" spans="1:8" ht="13.2" x14ac:dyDescent="0.25">
      <c r="A1298" s="1"/>
      <c r="B1298" s="1"/>
      <c r="C1298" s="1"/>
      <c r="D1298" s="1"/>
      <c r="E1298" s="1"/>
      <c r="F1298" s="1"/>
      <c r="G1298" s="3"/>
      <c r="H1298" s="1"/>
    </row>
    <row r="1299" spans="1:8" ht="13.2" x14ac:dyDescent="0.25">
      <c r="A1299" s="1"/>
      <c r="B1299" s="1"/>
      <c r="C1299" s="1"/>
      <c r="D1299" s="1"/>
      <c r="E1299" s="1"/>
      <c r="F1299" s="1"/>
      <c r="G1299" s="3"/>
      <c r="H1299" s="1"/>
    </row>
    <row r="1300" spans="1:8" ht="13.2" x14ac:dyDescent="0.25">
      <c r="A1300" s="2"/>
      <c r="B1300" s="1"/>
      <c r="C1300" s="1"/>
      <c r="D1300" s="1"/>
      <c r="E1300" s="1"/>
      <c r="F1300" s="1"/>
      <c r="G1300" s="1"/>
      <c r="H1300" s="1"/>
    </row>
    <row r="1301" spans="1:8" ht="13.2" x14ac:dyDescent="0.25">
      <c r="A1301" s="1"/>
      <c r="B1301" s="1"/>
      <c r="C1301" s="1"/>
      <c r="D1301" s="1"/>
      <c r="E1301" s="1"/>
      <c r="F1301" s="1"/>
      <c r="G1301" s="1"/>
      <c r="H1301" s="1"/>
    </row>
    <row r="1302" spans="1:8" ht="13.2" x14ac:dyDescent="0.25">
      <c r="A1302" s="1"/>
      <c r="B1302" s="1"/>
      <c r="C1302" s="1"/>
      <c r="D1302" s="1"/>
      <c r="E1302" s="1"/>
      <c r="F1302" s="1"/>
      <c r="G1302" s="3"/>
      <c r="H1302" s="1"/>
    </row>
    <row r="1303" spans="1:8" ht="13.2" x14ac:dyDescent="0.25">
      <c r="A1303" s="2"/>
      <c r="B1303" s="1"/>
      <c r="C1303" s="1"/>
      <c r="D1303" s="1"/>
      <c r="E1303" s="1"/>
      <c r="F1303" s="1"/>
      <c r="G1303" s="1"/>
      <c r="H1303" s="1"/>
    </row>
    <row r="1304" spans="1:8" ht="13.2" x14ac:dyDescent="0.25">
      <c r="A1304" s="1"/>
      <c r="B1304" s="1"/>
      <c r="C1304" s="1"/>
      <c r="D1304" s="1"/>
      <c r="E1304" s="1"/>
      <c r="F1304" s="1"/>
      <c r="G1304" s="1"/>
      <c r="H1304" s="1"/>
    </row>
    <row r="1305" spans="1:8" ht="13.2" x14ac:dyDescent="0.25">
      <c r="A1305" s="2"/>
      <c r="B1305" s="1"/>
      <c r="C1305" s="1"/>
      <c r="D1305" s="1"/>
      <c r="E1305" s="1"/>
      <c r="F1305" s="1"/>
      <c r="G1305" s="1"/>
      <c r="H1305" s="1"/>
    </row>
    <row r="1306" spans="1:8" ht="13.2" x14ac:dyDescent="0.25">
      <c r="A1306" s="1"/>
      <c r="B1306" s="1"/>
      <c r="C1306" s="1"/>
      <c r="D1306" s="1"/>
      <c r="E1306" s="1"/>
      <c r="F1306" s="1"/>
      <c r="G1306" s="3"/>
      <c r="H1306" s="1"/>
    </row>
    <row r="1307" spans="1:8" ht="13.2" x14ac:dyDescent="0.25">
      <c r="A1307" s="1"/>
      <c r="B1307" s="1"/>
      <c r="C1307" s="1"/>
      <c r="D1307" s="1"/>
      <c r="E1307" s="1"/>
      <c r="F1307" s="1"/>
      <c r="G1307" s="3"/>
      <c r="H1307" s="1"/>
    </row>
    <row r="1308" spans="1:8" ht="13.2" x14ac:dyDescent="0.25">
      <c r="A1308" s="2"/>
      <c r="B1308" s="1"/>
      <c r="C1308" s="1"/>
      <c r="D1308" s="1"/>
      <c r="E1308" s="1"/>
      <c r="F1308" s="1"/>
      <c r="G1308" s="1"/>
      <c r="H1308" s="1"/>
    </row>
    <row r="1309" spans="1:8" ht="13.2" x14ac:dyDescent="0.25">
      <c r="A1309" s="1"/>
      <c r="B1309" s="1"/>
      <c r="C1309" s="1"/>
      <c r="D1309" s="1"/>
      <c r="E1309" s="1"/>
      <c r="F1309" s="1"/>
      <c r="G1309" s="1"/>
      <c r="H1309" s="1"/>
    </row>
    <row r="1310" spans="1:8" ht="13.2" x14ac:dyDescent="0.25">
      <c r="A1310" s="1"/>
      <c r="B1310" s="1"/>
      <c r="C1310" s="1"/>
      <c r="D1310" s="1"/>
      <c r="E1310" s="1"/>
      <c r="F1310" s="1"/>
      <c r="G1310" s="3"/>
      <c r="H1310" s="1"/>
    </row>
    <row r="1311" spans="1:8" ht="13.2" x14ac:dyDescent="0.25">
      <c r="A1311" s="1"/>
      <c r="B1311" s="1"/>
      <c r="C1311" s="1"/>
      <c r="D1311" s="1"/>
      <c r="E1311" s="1"/>
      <c r="F1311" s="1"/>
      <c r="G1311" s="1"/>
      <c r="H1311" s="1"/>
    </row>
    <row r="1312" spans="1:8" ht="13.2" x14ac:dyDescent="0.25">
      <c r="A1312" s="1"/>
      <c r="B1312" s="1"/>
      <c r="C1312" s="1"/>
      <c r="D1312" s="1"/>
      <c r="E1312" s="1"/>
      <c r="F1312" s="1"/>
      <c r="G1312" s="1"/>
      <c r="H1312" s="1"/>
    </row>
    <row r="1313" spans="1:8" ht="13.2" x14ac:dyDescent="0.25">
      <c r="A1313" s="1"/>
      <c r="B1313" s="1"/>
      <c r="C1313" s="1"/>
      <c r="D1313" s="1"/>
      <c r="E1313" s="1"/>
      <c r="F1313" s="1"/>
      <c r="G1313" s="3"/>
      <c r="H1313" s="1"/>
    </row>
    <row r="1314" spans="1:8" ht="13.2" x14ac:dyDescent="0.25">
      <c r="A1314" s="2"/>
      <c r="B1314" s="1"/>
      <c r="C1314" s="1"/>
      <c r="D1314" s="1"/>
      <c r="E1314" s="1"/>
      <c r="F1314" s="1"/>
      <c r="G1314" s="3"/>
      <c r="H1314" s="1"/>
    </row>
    <row r="1315" spans="1:8" ht="13.2" x14ac:dyDescent="0.25">
      <c r="A1315" s="1"/>
      <c r="B1315" s="1"/>
      <c r="C1315" s="1"/>
      <c r="D1315" s="1"/>
      <c r="E1315" s="1"/>
      <c r="F1315" s="1"/>
      <c r="G1315" s="3"/>
      <c r="H1315" s="1"/>
    </row>
    <row r="1316" spans="1:8" ht="13.2" x14ac:dyDescent="0.25">
      <c r="A1316" s="1"/>
      <c r="B1316" s="1"/>
      <c r="C1316" s="1"/>
      <c r="D1316" s="1"/>
      <c r="E1316" s="1"/>
      <c r="F1316" s="1"/>
      <c r="G1316" s="1"/>
      <c r="H1316" s="1"/>
    </row>
    <row r="1317" spans="1:8" ht="13.2" x14ac:dyDescent="0.25">
      <c r="A1317" s="1"/>
      <c r="B1317" s="1"/>
      <c r="C1317" s="1"/>
      <c r="D1317" s="1"/>
      <c r="E1317" s="1"/>
      <c r="F1317" s="1"/>
      <c r="G1317" s="1"/>
      <c r="H1317" s="1"/>
    </row>
    <row r="1318" spans="1:8" ht="13.2" x14ac:dyDescent="0.25">
      <c r="A1318" s="2"/>
      <c r="B1318" s="1"/>
      <c r="C1318" s="1"/>
      <c r="D1318" s="1"/>
      <c r="E1318" s="1"/>
      <c r="F1318" s="1"/>
      <c r="G1318" s="3"/>
      <c r="H1318" s="1"/>
    </row>
    <row r="1319" spans="1:8" ht="13.2" x14ac:dyDescent="0.25">
      <c r="A1319" s="1"/>
      <c r="B1319" s="1"/>
      <c r="C1319" s="1"/>
      <c r="D1319" s="1"/>
      <c r="E1319" s="1"/>
      <c r="F1319" s="1"/>
      <c r="G1319" s="3"/>
      <c r="H1319" s="1"/>
    </row>
    <row r="1320" spans="1:8" ht="13.2" x14ac:dyDescent="0.25">
      <c r="A1320" s="1"/>
      <c r="B1320" s="1"/>
      <c r="C1320" s="1"/>
      <c r="D1320" s="1"/>
      <c r="E1320" s="1"/>
      <c r="F1320" s="1"/>
      <c r="G1320" s="3"/>
      <c r="H1320" s="1"/>
    </row>
    <row r="1321" spans="1:8" ht="13.2" x14ac:dyDescent="0.25">
      <c r="A1321" s="2"/>
      <c r="B1321" s="1"/>
      <c r="C1321" s="1"/>
      <c r="D1321" s="1"/>
      <c r="E1321" s="1"/>
      <c r="F1321" s="1"/>
      <c r="G1321" s="1"/>
      <c r="H1321" s="1"/>
    </row>
    <row r="1322" spans="1:8" ht="13.2" x14ac:dyDescent="0.25">
      <c r="A1322" s="1"/>
      <c r="B1322" s="1"/>
      <c r="C1322" s="1"/>
      <c r="D1322" s="1"/>
      <c r="E1322" s="1"/>
      <c r="F1322" s="1"/>
      <c r="G1322" s="1"/>
      <c r="H1322" s="1"/>
    </row>
    <row r="1323" spans="1:8" ht="13.2" x14ac:dyDescent="0.25">
      <c r="A1323" s="1"/>
      <c r="B1323" s="1"/>
      <c r="C1323" s="1"/>
      <c r="D1323" s="1"/>
      <c r="E1323" s="1"/>
      <c r="F1323" s="1"/>
      <c r="G1323" s="3"/>
      <c r="H1323" s="1"/>
    </row>
    <row r="1324" spans="1:8" ht="13.2" x14ac:dyDescent="0.25">
      <c r="A1324" s="2"/>
      <c r="B1324" s="1"/>
      <c r="C1324" s="1"/>
      <c r="D1324" s="1"/>
      <c r="E1324" s="1"/>
      <c r="F1324" s="1"/>
      <c r="G1324" s="3"/>
      <c r="H1324" s="1"/>
    </row>
    <row r="1325" spans="1:8" ht="13.2" x14ac:dyDescent="0.25">
      <c r="A1325" s="2"/>
      <c r="B1325" s="1"/>
      <c r="C1325" s="1"/>
      <c r="D1325" s="1"/>
      <c r="E1325" s="1"/>
      <c r="F1325" s="1"/>
      <c r="G1325" s="1"/>
      <c r="H1325" s="1"/>
    </row>
    <row r="1326" spans="1:8" ht="13.2" x14ac:dyDescent="0.25">
      <c r="A1326" s="1"/>
      <c r="B1326" s="1"/>
      <c r="C1326" s="1"/>
      <c r="D1326" s="1"/>
      <c r="E1326" s="1"/>
      <c r="F1326" s="1"/>
      <c r="G1326" s="3"/>
      <c r="H1326" s="1"/>
    </row>
    <row r="1327" spans="1:8" ht="13.2" x14ac:dyDescent="0.25">
      <c r="A1327" s="1"/>
      <c r="B1327" s="1"/>
      <c r="C1327" s="1"/>
      <c r="D1327" s="1"/>
      <c r="E1327" s="1"/>
      <c r="F1327" s="1"/>
      <c r="G1327" s="3"/>
      <c r="H1327" s="1"/>
    </row>
    <row r="1328" spans="1:8" ht="13.2" x14ac:dyDescent="0.25">
      <c r="A1328" s="1"/>
      <c r="B1328" s="1"/>
      <c r="C1328" s="1"/>
      <c r="D1328" s="1"/>
      <c r="E1328" s="1"/>
      <c r="F1328" s="1"/>
      <c r="G1328" s="3"/>
      <c r="H1328" s="1"/>
    </row>
    <row r="1329" spans="1:8" ht="13.2" x14ac:dyDescent="0.25">
      <c r="A1329" s="1"/>
      <c r="B1329" s="1"/>
      <c r="C1329" s="1"/>
      <c r="D1329" s="1"/>
      <c r="E1329" s="1"/>
      <c r="F1329" s="1"/>
      <c r="G1329" s="3"/>
      <c r="H1329" s="1"/>
    </row>
    <row r="1330" spans="1:8" ht="13.2" x14ac:dyDescent="0.25">
      <c r="A1330" s="1"/>
      <c r="B1330" s="1"/>
      <c r="C1330" s="1"/>
      <c r="D1330" s="1"/>
      <c r="E1330" s="1"/>
      <c r="F1330" s="1"/>
      <c r="G1330" s="3"/>
      <c r="H1330" s="1"/>
    </row>
    <row r="1331" spans="1:8" ht="13.2" x14ac:dyDescent="0.25">
      <c r="A1331" s="1"/>
      <c r="B1331" s="1"/>
      <c r="C1331" s="1"/>
      <c r="D1331" s="1"/>
      <c r="E1331" s="1"/>
      <c r="F1331" s="1"/>
      <c r="G1331" s="3"/>
      <c r="H1331" s="1"/>
    </row>
    <row r="1332" spans="1:8" ht="13.2" x14ac:dyDescent="0.25">
      <c r="A1332" s="2"/>
      <c r="B1332" s="1"/>
      <c r="C1332" s="1"/>
      <c r="D1332" s="1"/>
      <c r="E1332" s="1"/>
      <c r="F1332" s="1"/>
      <c r="G1332" s="1"/>
      <c r="H1332" s="1"/>
    </row>
    <row r="1333" spans="1:8" ht="13.2" x14ac:dyDescent="0.25">
      <c r="A1333" s="1"/>
      <c r="B1333" s="1"/>
      <c r="C1333" s="1"/>
      <c r="D1333" s="1"/>
      <c r="E1333" s="1"/>
      <c r="F1333" s="1"/>
      <c r="G1333" s="3"/>
      <c r="H1333" s="1"/>
    </row>
    <row r="1334" spans="1:8" ht="13.2" x14ac:dyDescent="0.25">
      <c r="A1334" s="1"/>
      <c r="B1334" s="1"/>
      <c r="C1334" s="1"/>
      <c r="D1334" s="1"/>
      <c r="E1334" s="1"/>
      <c r="F1334" s="1"/>
      <c r="G1334" s="1"/>
      <c r="H1334" s="1"/>
    </row>
    <row r="1335" spans="1:8" ht="13.2" x14ac:dyDescent="0.25">
      <c r="A1335" s="1"/>
      <c r="B1335" s="1"/>
      <c r="C1335" s="1"/>
      <c r="D1335" s="1"/>
      <c r="E1335" s="1"/>
      <c r="F1335" s="1"/>
      <c r="G1335" s="3"/>
      <c r="H1335" s="1"/>
    </row>
    <row r="1336" spans="1:8" ht="13.2" x14ac:dyDescent="0.25">
      <c r="A1336" s="1"/>
      <c r="B1336" s="1"/>
      <c r="C1336" s="1"/>
      <c r="D1336" s="1"/>
      <c r="E1336" s="1"/>
      <c r="F1336" s="1"/>
      <c r="G1336" s="1"/>
      <c r="H1336" s="1"/>
    </row>
    <row r="1337" spans="1:8" ht="13.2" x14ac:dyDescent="0.25">
      <c r="A1337" s="2"/>
      <c r="B1337" s="1"/>
      <c r="C1337" s="1"/>
      <c r="D1337" s="1"/>
      <c r="E1337" s="1"/>
      <c r="F1337" s="1"/>
      <c r="G1337" s="1"/>
      <c r="H1337" s="1"/>
    </row>
    <row r="1338" spans="1:8" ht="13.2" x14ac:dyDescent="0.25">
      <c r="A1338" s="2"/>
      <c r="B1338" s="1"/>
      <c r="C1338" s="1"/>
      <c r="D1338" s="1"/>
      <c r="E1338" s="1"/>
      <c r="F1338" s="1"/>
      <c r="G1338" s="1"/>
      <c r="H1338" s="1"/>
    </row>
    <row r="1339" spans="1:8" ht="13.2" x14ac:dyDescent="0.25">
      <c r="A1339" s="1"/>
      <c r="B1339" s="1"/>
      <c r="C1339" s="1"/>
      <c r="D1339" s="1"/>
      <c r="E1339" s="1"/>
      <c r="F1339" s="1"/>
      <c r="G1339" s="1"/>
      <c r="H1339" s="1"/>
    </row>
    <row r="1340" spans="1:8" ht="13.2" x14ac:dyDescent="0.25">
      <c r="A1340" s="2"/>
      <c r="B1340" s="1"/>
      <c r="C1340" s="1"/>
      <c r="D1340" s="1"/>
      <c r="E1340" s="1"/>
      <c r="F1340" s="1"/>
      <c r="G1340" s="1"/>
      <c r="H1340" s="1"/>
    </row>
    <row r="1341" spans="1:8" ht="13.2" x14ac:dyDescent="0.25">
      <c r="A1341" s="2"/>
      <c r="B1341" s="1"/>
      <c r="C1341" s="1"/>
      <c r="D1341" s="1"/>
      <c r="E1341" s="1"/>
      <c r="F1341" s="1"/>
      <c r="G1341" s="1"/>
      <c r="H1341" s="1"/>
    </row>
    <row r="1342" spans="1:8" ht="13.2" x14ac:dyDescent="0.25">
      <c r="A1342" s="2"/>
      <c r="B1342" s="1"/>
      <c r="C1342" s="1"/>
      <c r="D1342" s="1"/>
      <c r="E1342" s="1"/>
      <c r="F1342" s="1"/>
      <c r="G1342" s="1"/>
      <c r="H1342" s="1"/>
    </row>
    <row r="1343" spans="1:8" ht="13.2" x14ac:dyDescent="0.25">
      <c r="A1343" s="1"/>
      <c r="B1343" s="1"/>
      <c r="C1343" s="1"/>
      <c r="D1343" s="1"/>
      <c r="E1343" s="1"/>
      <c r="F1343" s="1"/>
      <c r="G1343" s="3"/>
      <c r="H1343" s="1"/>
    </row>
    <row r="1344" spans="1:8" ht="13.2" x14ac:dyDescent="0.25">
      <c r="A1344" s="1"/>
      <c r="B1344" s="1"/>
      <c r="C1344" s="1"/>
      <c r="D1344" s="1"/>
      <c r="E1344" s="1"/>
      <c r="F1344" s="1"/>
      <c r="G1344" s="3"/>
      <c r="H1344" s="1"/>
    </row>
    <row r="1345" spans="1:8" ht="13.2" x14ac:dyDescent="0.25">
      <c r="A1345" s="1"/>
      <c r="B1345" s="1"/>
      <c r="C1345" s="1"/>
      <c r="D1345" s="1"/>
      <c r="E1345" s="1"/>
      <c r="F1345" s="1"/>
      <c r="G1345" s="3"/>
      <c r="H1345" s="1"/>
    </row>
    <row r="1346" spans="1:8" ht="13.2" x14ac:dyDescent="0.25">
      <c r="A1346" s="1"/>
      <c r="B1346" s="1"/>
      <c r="C1346" s="1"/>
      <c r="D1346" s="1"/>
      <c r="E1346" s="1"/>
      <c r="F1346" s="1"/>
      <c r="G1346" s="3"/>
      <c r="H1346" s="1"/>
    </row>
    <row r="1347" spans="1:8" ht="13.2" x14ac:dyDescent="0.25">
      <c r="A1347" s="1"/>
      <c r="B1347" s="1"/>
      <c r="C1347" s="1"/>
      <c r="D1347" s="1"/>
      <c r="E1347" s="1"/>
      <c r="F1347" s="1"/>
      <c r="G1347" s="3"/>
      <c r="H1347" s="1"/>
    </row>
    <row r="1348" spans="1:8" ht="13.2" x14ac:dyDescent="0.25">
      <c r="A1348" s="2"/>
      <c r="B1348" s="1"/>
      <c r="C1348" s="1"/>
      <c r="D1348" s="1"/>
      <c r="E1348" s="1"/>
      <c r="F1348" s="1"/>
      <c r="G1348" s="1"/>
      <c r="H1348" s="1"/>
    </row>
    <row r="1349" spans="1:8" ht="13.2" x14ac:dyDescent="0.25">
      <c r="A1349" s="1"/>
      <c r="B1349" s="1"/>
      <c r="C1349" s="1"/>
      <c r="D1349" s="1"/>
      <c r="E1349" s="1"/>
      <c r="F1349" s="1"/>
      <c r="G1349" s="3"/>
      <c r="H1349" s="1"/>
    </row>
    <row r="1350" spans="1:8" ht="13.2" x14ac:dyDescent="0.25">
      <c r="A1350" s="1"/>
      <c r="B1350" s="1"/>
      <c r="C1350" s="1"/>
      <c r="D1350" s="1"/>
      <c r="E1350" s="1"/>
      <c r="F1350" s="1"/>
      <c r="G1350" s="3"/>
      <c r="H1350" s="1"/>
    </row>
    <row r="1351" spans="1:8" ht="13.2" x14ac:dyDescent="0.25">
      <c r="A1351" s="1"/>
      <c r="B1351" s="1"/>
      <c r="C1351" s="1"/>
      <c r="D1351" s="1"/>
      <c r="E1351" s="1"/>
      <c r="F1351" s="1"/>
      <c r="G1351" s="3"/>
      <c r="H1351" s="1"/>
    </row>
    <row r="1352" spans="1:8" ht="13.2" x14ac:dyDescent="0.25">
      <c r="A1352" s="1"/>
      <c r="B1352" s="1"/>
      <c r="C1352" s="1"/>
      <c r="D1352" s="1"/>
      <c r="E1352" s="1"/>
      <c r="F1352" s="1"/>
      <c r="G1352" s="3"/>
      <c r="H1352" s="1"/>
    </row>
    <row r="1353" spans="1:8" ht="13.2" x14ac:dyDescent="0.25">
      <c r="A1353" s="1"/>
      <c r="B1353" s="1"/>
      <c r="C1353" s="1"/>
      <c r="D1353" s="1"/>
      <c r="E1353" s="1"/>
      <c r="F1353" s="1"/>
      <c r="G1353" s="1"/>
      <c r="H1353" s="1"/>
    </row>
    <row r="1354" spans="1:8" ht="13.2" x14ac:dyDescent="0.25">
      <c r="A1354" s="1"/>
      <c r="B1354" s="1"/>
      <c r="C1354" s="1"/>
      <c r="D1354" s="1"/>
      <c r="E1354" s="1"/>
      <c r="F1354" s="1"/>
      <c r="G1354" s="1"/>
      <c r="H1354" s="1"/>
    </row>
    <row r="1355" spans="1:8" ht="13.2" x14ac:dyDescent="0.25">
      <c r="A1355" s="2"/>
      <c r="B1355" s="1"/>
      <c r="C1355" s="1"/>
      <c r="D1355" s="1"/>
      <c r="E1355" s="1"/>
      <c r="F1355" s="1"/>
      <c r="G1355" s="3"/>
      <c r="H1355" s="1"/>
    </row>
    <row r="1356" spans="1:8" ht="13.2" x14ac:dyDescent="0.25">
      <c r="A1356" s="2"/>
      <c r="B1356" s="1"/>
      <c r="C1356" s="1"/>
      <c r="D1356" s="1"/>
      <c r="E1356" s="1"/>
      <c r="F1356" s="1"/>
      <c r="G1356" s="1"/>
      <c r="H1356" s="1"/>
    </row>
    <row r="1357" spans="1:8" ht="13.2" x14ac:dyDescent="0.25">
      <c r="A1357" s="2"/>
      <c r="B1357" s="1"/>
      <c r="C1357" s="1"/>
      <c r="D1357" s="1"/>
      <c r="E1357" s="1"/>
      <c r="F1357" s="1"/>
      <c r="G1357" s="3"/>
      <c r="H1357" s="1"/>
    </row>
    <row r="1358" spans="1:8" ht="13.2" x14ac:dyDescent="0.25">
      <c r="A1358" s="1"/>
      <c r="B1358" s="1"/>
      <c r="C1358" s="1"/>
      <c r="D1358" s="1"/>
      <c r="E1358" s="1"/>
      <c r="F1358" s="1"/>
      <c r="G1358" s="3"/>
      <c r="H1358" s="1"/>
    </row>
    <row r="1359" spans="1:8" ht="13.2" x14ac:dyDescent="0.25">
      <c r="A1359" s="1"/>
      <c r="B1359" s="1"/>
      <c r="C1359" s="1"/>
      <c r="D1359" s="1"/>
      <c r="E1359" s="1"/>
      <c r="F1359" s="1"/>
      <c r="G1359" s="1"/>
      <c r="H1359" s="1"/>
    </row>
    <row r="1360" spans="1:8" ht="13.2" x14ac:dyDescent="0.25">
      <c r="A1360" s="2"/>
      <c r="B1360" s="1"/>
      <c r="C1360" s="1"/>
      <c r="D1360" s="1"/>
      <c r="E1360" s="1"/>
      <c r="F1360" s="1"/>
      <c r="G1360" s="3"/>
      <c r="H1360" s="1"/>
    </row>
    <row r="1361" spans="1:8" ht="13.2" x14ac:dyDescent="0.25">
      <c r="A1361" s="2"/>
      <c r="B1361" s="1"/>
      <c r="C1361" s="1"/>
      <c r="D1361" s="1"/>
      <c r="E1361" s="1"/>
      <c r="F1361" s="1"/>
      <c r="G1361" s="3"/>
      <c r="H1361" s="1"/>
    </row>
    <row r="1362" spans="1:8" ht="13.2" x14ac:dyDescent="0.25">
      <c r="A1362" s="2"/>
      <c r="B1362" s="1"/>
      <c r="C1362" s="1"/>
      <c r="D1362" s="1"/>
      <c r="E1362" s="1"/>
      <c r="F1362" s="1"/>
      <c r="G1362" s="1"/>
      <c r="H1362" s="1"/>
    </row>
    <row r="1363" spans="1:8" ht="13.2" x14ac:dyDescent="0.25">
      <c r="A1363" s="2"/>
      <c r="B1363" s="1"/>
      <c r="C1363" s="1"/>
      <c r="D1363" s="1"/>
      <c r="E1363" s="1"/>
      <c r="F1363" s="1"/>
      <c r="G1363" s="3"/>
      <c r="H1363" s="1"/>
    </row>
    <row r="1364" spans="1:8" ht="13.2" x14ac:dyDescent="0.25">
      <c r="A1364" s="1"/>
      <c r="B1364" s="1"/>
      <c r="C1364" s="1"/>
      <c r="D1364" s="1"/>
      <c r="E1364" s="1"/>
      <c r="F1364" s="1"/>
      <c r="G1364" s="1"/>
      <c r="H1364" s="1"/>
    </row>
    <row r="1365" spans="1:8" ht="13.2" x14ac:dyDescent="0.25">
      <c r="A1365" s="2"/>
      <c r="B1365" s="1"/>
      <c r="C1365" s="1"/>
      <c r="D1365" s="1"/>
      <c r="E1365" s="1"/>
      <c r="F1365" s="1"/>
      <c r="G1365" s="3"/>
      <c r="H1365" s="1"/>
    </row>
    <row r="1366" spans="1:8" ht="13.2" x14ac:dyDescent="0.25">
      <c r="A1366" s="1"/>
      <c r="B1366" s="1"/>
      <c r="C1366" s="1"/>
      <c r="D1366" s="1"/>
      <c r="E1366" s="1"/>
      <c r="F1366" s="1"/>
      <c r="G1366" s="3"/>
      <c r="H1366" s="1"/>
    </row>
    <row r="1367" spans="1:8" ht="13.2" x14ac:dyDescent="0.25">
      <c r="A1367" s="1"/>
      <c r="B1367" s="1"/>
      <c r="C1367" s="1"/>
      <c r="D1367" s="1"/>
      <c r="E1367" s="1"/>
      <c r="F1367" s="1"/>
      <c r="G1367" s="1"/>
      <c r="H1367" s="1"/>
    </row>
    <row r="1368" spans="1:8" ht="13.2" x14ac:dyDescent="0.25">
      <c r="A1368" s="1"/>
      <c r="B1368" s="1"/>
      <c r="C1368" s="1"/>
      <c r="D1368" s="1"/>
      <c r="E1368" s="1"/>
      <c r="F1368" s="1"/>
      <c r="G1368" s="1"/>
      <c r="H1368" s="1"/>
    </row>
    <row r="1369" spans="1:8" ht="13.2" x14ac:dyDescent="0.25">
      <c r="A1369" s="1"/>
      <c r="B1369" s="1"/>
      <c r="C1369" s="1"/>
      <c r="D1369" s="1"/>
      <c r="E1369" s="1"/>
      <c r="F1369" s="1"/>
      <c r="G1369" s="1"/>
      <c r="H1369" s="1"/>
    </row>
    <row r="1370" spans="1:8" ht="13.2" x14ac:dyDescent="0.25">
      <c r="A1370" s="2"/>
      <c r="B1370" s="1"/>
      <c r="C1370" s="1"/>
      <c r="D1370" s="1"/>
      <c r="E1370" s="1"/>
      <c r="F1370" s="1"/>
      <c r="G1370" s="3"/>
      <c r="H1370" s="1"/>
    </row>
    <row r="1371" spans="1:8" ht="13.2" x14ac:dyDescent="0.25">
      <c r="A1371" s="1"/>
      <c r="B1371" s="1"/>
      <c r="C1371" s="1"/>
      <c r="D1371" s="1"/>
      <c r="E1371" s="1"/>
      <c r="F1371" s="1"/>
      <c r="G1371" s="1"/>
      <c r="H1371" s="1"/>
    </row>
    <row r="1372" spans="1:8" ht="13.2" x14ac:dyDescent="0.25">
      <c r="A1372" s="1"/>
      <c r="B1372" s="1"/>
      <c r="C1372" s="1"/>
      <c r="D1372" s="1"/>
      <c r="E1372" s="1"/>
      <c r="F1372" s="1"/>
      <c r="G1372" s="1"/>
      <c r="H1372" s="1"/>
    </row>
    <row r="1373" spans="1:8" ht="13.2" x14ac:dyDescent="0.25">
      <c r="A1373" s="1"/>
      <c r="B1373" s="1"/>
      <c r="C1373" s="1"/>
      <c r="D1373" s="1"/>
      <c r="E1373" s="1"/>
      <c r="F1373" s="1"/>
      <c r="G1373" s="3"/>
      <c r="H1373" s="1"/>
    </row>
    <row r="1374" spans="1:8" ht="13.2" x14ac:dyDescent="0.25">
      <c r="A1374" s="2"/>
      <c r="B1374" s="1"/>
      <c r="C1374" s="1"/>
      <c r="D1374" s="1"/>
      <c r="E1374" s="1"/>
      <c r="F1374" s="1"/>
      <c r="G1374" s="3"/>
      <c r="H1374" s="1"/>
    </row>
    <row r="1375" spans="1:8" ht="13.2" x14ac:dyDescent="0.25">
      <c r="A1375" s="1"/>
      <c r="B1375" s="1"/>
      <c r="C1375" s="1"/>
      <c r="D1375" s="1"/>
      <c r="E1375" s="1"/>
      <c r="F1375" s="1"/>
      <c r="G1375" s="1"/>
      <c r="H1375" s="1"/>
    </row>
    <row r="1376" spans="1:8" ht="13.2" x14ac:dyDescent="0.25">
      <c r="A1376" s="1"/>
      <c r="B1376" s="1"/>
      <c r="C1376" s="1"/>
      <c r="D1376" s="1"/>
      <c r="E1376" s="1"/>
      <c r="F1376" s="1"/>
      <c r="G1376" s="1"/>
      <c r="H1376" s="1"/>
    </row>
    <row r="1377" spans="1:8" ht="13.2" x14ac:dyDescent="0.25">
      <c r="A1377" s="1"/>
      <c r="B1377" s="1"/>
      <c r="C1377" s="1"/>
      <c r="D1377" s="1"/>
      <c r="E1377" s="1"/>
      <c r="F1377" s="1"/>
      <c r="G1377" s="1"/>
      <c r="H1377" s="1"/>
    </row>
    <row r="1378" spans="1:8" ht="13.2" x14ac:dyDescent="0.25">
      <c r="A1378" s="1"/>
      <c r="B1378" s="1"/>
      <c r="C1378" s="1"/>
      <c r="D1378" s="1"/>
      <c r="E1378" s="1"/>
      <c r="F1378" s="1"/>
      <c r="G1378" s="3"/>
      <c r="H1378" s="1"/>
    </row>
    <row r="1379" spans="1:8" ht="13.2" x14ac:dyDescent="0.25">
      <c r="A1379" s="1"/>
      <c r="B1379" s="1"/>
      <c r="C1379" s="1"/>
      <c r="D1379" s="1"/>
      <c r="E1379" s="1"/>
      <c r="F1379" s="1"/>
      <c r="G1379" s="1"/>
      <c r="H1379" s="1"/>
    </row>
    <row r="1380" spans="1:8" ht="13.2" x14ac:dyDescent="0.25">
      <c r="A1380" s="2"/>
      <c r="B1380" s="1"/>
      <c r="C1380" s="1"/>
      <c r="D1380" s="1"/>
      <c r="E1380" s="1"/>
      <c r="F1380" s="1"/>
      <c r="G1380" s="3"/>
      <c r="H1380" s="1"/>
    </row>
    <row r="1381" spans="1:8" ht="13.2" x14ac:dyDescent="0.25">
      <c r="A1381" s="1"/>
      <c r="B1381" s="1"/>
      <c r="C1381" s="1"/>
      <c r="D1381" s="1"/>
      <c r="E1381" s="1"/>
      <c r="F1381" s="1"/>
      <c r="G1381" s="1"/>
      <c r="H1381" s="1"/>
    </row>
    <row r="1382" spans="1:8" ht="13.2" x14ac:dyDescent="0.25">
      <c r="A1382" s="1"/>
      <c r="B1382" s="1"/>
      <c r="C1382" s="1"/>
      <c r="D1382" s="1"/>
      <c r="E1382" s="1"/>
      <c r="F1382" s="1"/>
      <c r="G1382" s="1"/>
      <c r="H1382" s="1"/>
    </row>
    <row r="1383" spans="1:8" ht="13.2" x14ac:dyDescent="0.25">
      <c r="A1383" s="2"/>
      <c r="B1383" s="1"/>
      <c r="C1383" s="1"/>
      <c r="D1383" s="1"/>
      <c r="E1383" s="1"/>
      <c r="F1383" s="1"/>
      <c r="G1383" s="1"/>
      <c r="H1383" s="1"/>
    </row>
    <row r="1384" spans="1:8" ht="13.2" x14ac:dyDescent="0.25">
      <c r="A1384" s="1"/>
      <c r="B1384" s="1"/>
      <c r="C1384" s="1"/>
      <c r="D1384" s="1"/>
      <c r="E1384" s="1"/>
      <c r="F1384" s="1"/>
      <c r="G1384" s="1"/>
      <c r="H1384" s="1"/>
    </row>
    <row r="1385" spans="1:8" ht="13.2" x14ac:dyDescent="0.25">
      <c r="A1385" s="1"/>
      <c r="B1385" s="1"/>
      <c r="C1385" s="1"/>
      <c r="D1385" s="1"/>
      <c r="E1385" s="1"/>
      <c r="F1385" s="1"/>
      <c r="G1385" s="1"/>
      <c r="H1385" s="1"/>
    </row>
    <row r="1386" spans="1:8" ht="13.2" x14ac:dyDescent="0.25">
      <c r="A1386" s="2"/>
      <c r="B1386" s="1"/>
      <c r="C1386" s="1"/>
      <c r="D1386" s="1"/>
      <c r="E1386" s="1"/>
      <c r="F1386" s="1"/>
      <c r="G1386" s="1"/>
      <c r="H1386" s="1"/>
    </row>
    <row r="1387" spans="1:8" ht="13.2" x14ac:dyDescent="0.25">
      <c r="A1387" s="1"/>
      <c r="B1387" s="1"/>
      <c r="C1387" s="1"/>
      <c r="D1387" s="1"/>
      <c r="E1387" s="1"/>
      <c r="F1387" s="1"/>
      <c r="G1387" s="3"/>
      <c r="H1387" s="1"/>
    </row>
    <row r="1388" spans="1:8" ht="13.2" x14ac:dyDescent="0.25">
      <c r="A1388" s="1"/>
      <c r="B1388" s="1"/>
      <c r="C1388" s="1"/>
      <c r="D1388" s="1"/>
      <c r="E1388" s="1"/>
      <c r="F1388" s="1"/>
      <c r="G1388" s="1"/>
      <c r="H1388" s="1"/>
    </row>
    <row r="1389" spans="1:8" ht="13.2" x14ac:dyDescent="0.25">
      <c r="A1389" s="2"/>
      <c r="B1389" s="1"/>
      <c r="C1389" s="1"/>
      <c r="D1389" s="1"/>
      <c r="E1389" s="1"/>
      <c r="F1389" s="1"/>
      <c r="G1389" s="1"/>
      <c r="H1389" s="1"/>
    </row>
    <row r="1390" spans="1:8" ht="13.2" x14ac:dyDescent="0.25">
      <c r="A1390" s="2"/>
      <c r="B1390" s="1"/>
      <c r="C1390" s="1"/>
      <c r="D1390" s="1"/>
      <c r="E1390" s="1"/>
      <c r="F1390" s="1"/>
      <c r="G1390" s="3"/>
      <c r="H1390" s="1"/>
    </row>
    <row r="1391" spans="1:8" ht="13.2" x14ac:dyDescent="0.25">
      <c r="A1391" s="1"/>
      <c r="B1391" s="1"/>
      <c r="C1391" s="1"/>
      <c r="D1391" s="1"/>
      <c r="E1391" s="1"/>
      <c r="F1391" s="1"/>
      <c r="G1391" s="1"/>
      <c r="H1391" s="1"/>
    </row>
    <row r="1392" spans="1:8" ht="13.2" x14ac:dyDescent="0.25">
      <c r="A1392" s="1"/>
      <c r="B1392" s="1"/>
      <c r="C1392" s="1"/>
      <c r="D1392" s="1"/>
      <c r="E1392" s="1"/>
      <c r="F1392" s="1"/>
      <c r="G1392" s="1"/>
      <c r="H1392" s="1"/>
    </row>
    <row r="1393" spans="1:8" ht="13.2" x14ac:dyDescent="0.25">
      <c r="A1393" s="2"/>
      <c r="B1393" s="1"/>
      <c r="C1393" s="1"/>
      <c r="D1393" s="1"/>
      <c r="E1393" s="1"/>
      <c r="F1393" s="1"/>
      <c r="G1393" s="1"/>
      <c r="H1393" s="1"/>
    </row>
    <row r="1394" spans="1:8" ht="13.2" x14ac:dyDescent="0.25">
      <c r="A1394" s="1"/>
      <c r="B1394" s="1"/>
      <c r="C1394" s="1"/>
      <c r="D1394" s="1"/>
      <c r="E1394" s="1"/>
      <c r="F1394" s="1"/>
      <c r="G1394" s="3"/>
      <c r="H1394" s="1"/>
    </row>
    <row r="1395" spans="1:8" ht="13.2" x14ac:dyDescent="0.25">
      <c r="A1395" s="1"/>
      <c r="B1395" s="1"/>
      <c r="C1395" s="1"/>
      <c r="D1395" s="1"/>
      <c r="E1395" s="1"/>
      <c r="F1395" s="1"/>
      <c r="G1395" s="3"/>
      <c r="H1395" s="1"/>
    </row>
    <row r="1396" spans="1:8" ht="13.2" x14ac:dyDescent="0.25">
      <c r="A1396" s="1"/>
      <c r="B1396" s="1"/>
      <c r="C1396" s="1"/>
      <c r="D1396" s="1"/>
      <c r="E1396" s="1"/>
      <c r="F1396" s="1"/>
      <c r="G1396" s="1"/>
      <c r="H1396" s="1"/>
    </row>
    <row r="1397" spans="1:8" ht="13.2" x14ac:dyDescent="0.25">
      <c r="A1397" s="1"/>
      <c r="B1397" s="1"/>
      <c r="C1397" s="1"/>
      <c r="D1397" s="1"/>
      <c r="E1397" s="1"/>
      <c r="F1397" s="1"/>
      <c r="G1397" s="3"/>
      <c r="H1397" s="1"/>
    </row>
    <row r="1398" spans="1:8" ht="13.2" x14ac:dyDescent="0.25">
      <c r="A1398" s="1"/>
      <c r="B1398" s="1"/>
      <c r="C1398" s="1"/>
      <c r="D1398" s="1"/>
      <c r="E1398" s="1"/>
      <c r="F1398" s="1"/>
      <c r="G1398" s="3"/>
      <c r="H1398" s="1"/>
    </row>
    <row r="1399" spans="1:8" ht="13.2" x14ac:dyDescent="0.25">
      <c r="A1399" s="1"/>
      <c r="B1399" s="1"/>
      <c r="C1399" s="1"/>
      <c r="D1399" s="1"/>
      <c r="E1399" s="1"/>
      <c r="F1399" s="1"/>
      <c r="G1399" s="3"/>
      <c r="H1399" s="1"/>
    </row>
    <row r="1400" spans="1:8" ht="13.2" x14ac:dyDescent="0.25">
      <c r="A1400" s="1"/>
      <c r="B1400" s="1"/>
      <c r="C1400" s="1"/>
      <c r="D1400" s="1"/>
      <c r="E1400" s="1"/>
      <c r="F1400" s="1"/>
      <c r="G1400" s="3"/>
      <c r="H1400" s="1"/>
    </row>
    <row r="1401" spans="1:8" ht="13.2" x14ac:dyDescent="0.25">
      <c r="A1401" s="1"/>
      <c r="B1401" s="1"/>
      <c r="C1401" s="1"/>
      <c r="D1401" s="1"/>
      <c r="E1401" s="1"/>
      <c r="F1401" s="1"/>
      <c r="G1401" s="3"/>
      <c r="H1401" s="1"/>
    </row>
    <row r="1402" spans="1:8" ht="13.2" x14ac:dyDescent="0.25">
      <c r="A1402" s="2"/>
      <c r="B1402" s="1"/>
      <c r="C1402" s="1"/>
      <c r="D1402" s="1"/>
      <c r="E1402" s="1"/>
      <c r="F1402" s="1"/>
      <c r="G1402" s="1"/>
      <c r="H1402" s="1"/>
    </row>
    <row r="1403" spans="1:8" ht="13.2" x14ac:dyDescent="0.25">
      <c r="A1403" s="1"/>
      <c r="B1403" s="1"/>
      <c r="C1403" s="1"/>
      <c r="D1403" s="1"/>
      <c r="E1403" s="1"/>
      <c r="F1403" s="1"/>
      <c r="G1403" s="3"/>
      <c r="H1403" s="1"/>
    </row>
    <row r="1404" spans="1:8" ht="13.2" x14ac:dyDescent="0.25">
      <c r="A1404" s="1"/>
      <c r="B1404" s="1"/>
      <c r="C1404" s="1"/>
      <c r="D1404" s="1"/>
      <c r="E1404" s="1"/>
      <c r="F1404" s="1"/>
      <c r="G1404" s="3"/>
      <c r="H1404" s="1"/>
    </row>
    <row r="1405" spans="1:8" ht="13.2" x14ac:dyDescent="0.25">
      <c r="A1405" s="1"/>
      <c r="B1405" s="1"/>
      <c r="C1405" s="1"/>
      <c r="D1405" s="1"/>
      <c r="E1405" s="1"/>
      <c r="F1405" s="1"/>
      <c r="G1405" s="3"/>
      <c r="H1405" s="1"/>
    </row>
    <row r="1406" spans="1:8" ht="13.2" x14ac:dyDescent="0.25">
      <c r="A1406" s="1"/>
      <c r="B1406" s="1"/>
      <c r="C1406" s="1"/>
      <c r="D1406" s="1"/>
      <c r="E1406" s="1"/>
      <c r="F1406" s="1"/>
      <c r="G1406" s="3"/>
      <c r="H1406" s="1"/>
    </row>
    <row r="1407" spans="1:8" ht="13.2" x14ac:dyDescent="0.25">
      <c r="A1407" s="1"/>
      <c r="B1407" s="1"/>
      <c r="C1407" s="1"/>
      <c r="D1407" s="1"/>
      <c r="E1407" s="1"/>
      <c r="F1407" s="1"/>
      <c r="G1407" s="3"/>
      <c r="H1407" s="1"/>
    </row>
    <row r="1408" spans="1:8" ht="13.2" x14ac:dyDescent="0.25">
      <c r="A1408" s="1"/>
      <c r="B1408" s="1"/>
      <c r="C1408" s="1"/>
      <c r="D1408" s="1"/>
      <c r="E1408" s="1"/>
      <c r="F1408" s="1"/>
      <c r="G1408" s="3"/>
      <c r="H1408" s="1"/>
    </row>
    <row r="1409" spans="1:8" ht="13.2" x14ac:dyDescent="0.25">
      <c r="A1409" s="1"/>
      <c r="B1409" s="1"/>
      <c r="C1409" s="1"/>
      <c r="D1409" s="1"/>
      <c r="E1409" s="1"/>
      <c r="F1409" s="1"/>
      <c r="G1409" s="1"/>
      <c r="H1409" s="1"/>
    </row>
    <row r="1410" spans="1:8" ht="13.2" x14ac:dyDescent="0.25">
      <c r="A1410" s="2"/>
      <c r="B1410" s="1"/>
      <c r="C1410" s="1"/>
      <c r="D1410" s="1"/>
      <c r="E1410" s="1"/>
      <c r="F1410" s="1"/>
      <c r="G1410" s="1"/>
      <c r="H1410" s="1"/>
    </row>
    <row r="1411" spans="1:8" ht="13.2" x14ac:dyDescent="0.25">
      <c r="A1411" s="2"/>
      <c r="B1411" s="1"/>
      <c r="C1411" s="1"/>
      <c r="D1411" s="1"/>
      <c r="E1411" s="1"/>
      <c r="F1411" s="1"/>
      <c r="G1411" s="3"/>
      <c r="H1411" s="1"/>
    </row>
    <row r="1412" spans="1:8" ht="13.2" x14ac:dyDescent="0.25">
      <c r="A1412" s="1"/>
      <c r="B1412" s="1"/>
      <c r="C1412" s="1"/>
      <c r="D1412" s="1"/>
      <c r="E1412" s="1"/>
      <c r="F1412" s="1"/>
      <c r="G1412" s="3"/>
      <c r="H1412" s="1"/>
    </row>
    <row r="1413" spans="1:8" ht="13.2" x14ac:dyDescent="0.25">
      <c r="A1413" s="1"/>
      <c r="B1413" s="1"/>
      <c r="C1413" s="1"/>
      <c r="D1413" s="1"/>
      <c r="E1413" s="1"/>
      <c r="F1413" s="1"/>
      <c r="G1413" s="3"/>
      <c r="H1413" s="1"/>
    </row>
    <row r="1414" spans="1:8" ht="13.2" x14ac:dyDescent="0.25">
      <c r="A1414" s="2"/>
      <c r="B1414" s="1"/>
      <c r="C1414" s="1"/>
      <c r="D1414" s="1"/>
      <c r="E1414" s="1"/>
      <c r="F1414" s="1"/>
      <c r="G1414" s="1"/>
      <c r="H1414" s="1"/>
    </row>
    <row r="1415" spans="1:8" ht="13.2" x14ac:dyDescent="0.25">
      <c r="A1415" s="1"/>
      <c r="B1415" s="1"/>
      <c r="C1415" s="1"/>
      <c r="D1415" s="1"/>
      <c r="E1415" s="1"/>
      <c r="F1415" s="1"/>
      <c r="G1415" s="3"/>
      <c r="H1415" s="1"/>
    </row>
    <row r="1416" spans="1:8" ht="13.2" x14ac:dyDescent="0.25">
      <c r="A1416" s="1"/>
      <c r="B1416" s="1"/>
      <c r="C1416" s="1"/>
      <c r="D1416" s="1"/>
      <c r="E1416" s="1"/>
      <c r="F1416" s="1"/>
      <c r="G1416" s="3"/>
      <c r="H1416" s="1"/>
    </row>
    <row r="1417" spans="1:8" ht="13.2" x14ac:dyDescent="0.25">
      <c r="A1417" s="1"/>
      <c r="B1417" s="1"/>
      <c r="C1417" s="1"/>
      <c r="D1417" s="1"/>
      <c r="E1417" s="1"/>
      <c r="F1417" s="1"/>
      <c r="G1417" s="1"/>
      <c r="H1417" s="1"/>
    </row>
    <row r="1418" spans="1:8" ht="13.2" x14ac:dyDescent="0.25">
      <c r="A1418" s="1"/>
      <c r="B1418" s="1"/>
      <c r="C1418" s="1"/>
      <c r="D1418" s="1"/>
      <c r="E1418" s="1"/>
      <c r="F1418" s="1"/>
      <c r="G1418" s="1"/>
      <c r="H1418" s="1"/>
    </row>
    <row r="1419" spans="1:8" ht="13.2" x14ac:dyDescent="0.25">
      <c r="A1419" s="1"/>
      <c r="B1419" s="1"/>
      <c r="C1419" s="1"/>
      <c r="D1419" s="1"/>
      <c r="E1419" s="1"/>
      <c r="F1419" s="1"/>
      <c r="G1419" s="3"/>
      <c r="H1419" s="1"/>
    </row>
    <row r="1420" spans="1:8" ht="13.2" x14ac:dyDescent="0.25">
      <c r="A1420" s="1"/>
      <c r="B1420" s="1"/>
      <c r="C1420" s="1"/>
      <c r="D1420" s="1"/>
      <c r="E1420" s="1"/>
      <c r="F1420" s="1"/>
      <c r="G1420" s="3"/>
      <c r="H1420" s="1"/>
    </row>
    <row r="1421" spans="1:8" ht="13.2" x14ac:dyDescent="0.25">
      <c r="A1421" s="1"/>
      <c r="B1421" s="1"/>
      <c r="C1421" s="1"/>
      <c r="D1421" s="1"/>
      <c r="E1421" s="1"/>
      <c r="F1421" s="1"/>
      <c r="G1421" s="1"/>
      <c r="H1421" s="1"/>
    </row>
    <row r="1422" spans="1:8" ht="13.2" x14ac:dyDescent="0.25">
      <c r="A1422" s="1"/>
      <c r="B1422" s="1"/>
      <c r="C1422" s="1"/>
      <c r="D1422" s="1"/>
      <c r="E1422" s="1"/>
      <c r="F1422" s="1"/>
      <c r="G1422" s="1"/>
      <c r="H1422" s="1"/>
    </row>
    <row r="1423" spans="1:8" ht="13.2" x14ac:dyDescent="0.25">
      <c r="A1423" s="1"/>
      <c r="B1423" s="1"/>
      <c r="C1423" s="1"/>
      <c r="D1423" s="1"/>
      <c r="E1423" s="1"/>
      <c r="F1423" s="1"/>
      <c r="G1423" s="3"/>
      <c r="H1423" s="1"/>
    </row>
    <row r="1424" spans="1:8" ht="13.2" x14ac:dyDescent="0.25">
      <c r="A1424" s="2"/>
      <c r="B1424" s="1"/>
      <c r="C1424" s="1"/>
      <c r="D1424" s="1"/>
      <c r="E1424" s="1"/>
      <c r="F1424" s="1"/>
      <c r="G1424" s="3"/>
      <c r="H1424" s="1"/>
    </row>
    <row r="1425" spans="1:8" ht="13.2" x14ac:dyDescent="0.25">
      <c r="A1425" s="1"/>
      <c r="B1425" s="1"/>
      <c r="C1425" s="1"/>
      <c r="D1425" s="1"/>
      <c r="E1425" s="1"/>
      <c r="F1425" s="1"/>
      <c r="G1425" s="1"/>
      <c r="H1425" s="1"/>
    </row>
    <row r="1426" spans="1:8" ht="13.2" x14ac:dyDescent="0.25">
      <c r="A1426" s="1"/>
      <c r="B1426" s="1"/>
      <c r="C1426" s="1"/>
      <c r="D1426" s="1"/>
      <c r="E1426" s="1"/>
      <c r="F1426" s="1"/>
      <c r="G1426" s="1"/>
      <c r="H1426" s="1"/>
    </row>
    <row r="1427" spans="1:8" ht="13.2" x14ac:dyDescent="0.25">
      <c r="A1427" s="2"/>
      <c r="B1427" s="1"/>
      <c r="C1427" s="1"/>
      <c r="D1427" s="1"/>
      <c r="E1427" s="1"/>
      <c r="F1427" s="1"/>
      <c r="G1427" s="1"/>
      <c r="H1427" s="1"/>
    </row>
    <row r="1428" spans="1:8" ht="13.2" x14ac:dyDescent="0.25">
      <c r="A1428" s="1"/>
      <c r="B1428" s="1"/>
      <c r="C1428" s="1"/>
      <c r="D1428" s="1"/>
      <c r="E1428" s="1"/>
      <c r="F1428" s="1"/>
      <c r="G1428" s="1"/>
      <c r="H1428" s="1"/>
    </row>
    <row r="1429" spans="1:8" ht="13.2" x14ac:dyDescent="0.25">
      <c r="A1429" s="2"/>
      <c r="B1429" s="1"/>
      <c r="C1429" s="1"/>
      <c r="D1429" s="1"/>
      <c r="E1429" s="1"/>
      <c r="F1429" s="1"/>
      <c r="G1429" s="3"/>
      <c r="H1429" s="1"/>
    </row>
    <row r="1430" spans="1:8" ht="13.2" x14ac:dyDescent="0.25">
      <c r="A1430" s="2"/>
      <c r="B1430" s="1"/>
      <c r="C1430" s="1"/>
      <c r="D1430" s="1"/>
      <c r="E1430" s="1"/>
      <c r="F1430" s="1"/>
      <c r="G1430" s="3"/>
      <c r="H1430" s="1"/>
    </row>
    <row r="1431" spans="1:8" ht="13.2" x14ac:dyDescent="0.25">
      <c r="A1431" s="1"/>
      <c r="B1431" s="1"/>
      <c r="C1431" s="1"/>
      <c r="D1431" s="1"/>
      <c r="E1431" s="1"/>
      <c r="F1431" s="1"/>
      <c r="G1431" s="3"/>
      <c r="H1431" s="1"/>
    </row>
    <row r="1432" spans="1:8" ht="13.2" x14ac:dyDescent="0.25">
      <c r="A1432" s="2"/>
      <c r="B1432" s="1"/>
      <c r="C1432" s="1"/>
      <c r="D1432" s="1"/>
      <c r="E1432" s="1"/>
      <c r="F1432" s="1"/>
      <c r="G1432" s="3"/>
      <c r="H1432" s="1"/>
    </row>
    <row r="1433" spans="1:8" ht="13.2" x14ac:dyDescent="0.25">
      <c r="A1433" s="1"/>
      <c r="B1433" s="1"/>
      <c r="C1433" s="1"/>
      <c r="D1433" s="1"/>
      <c r="E1433" s="1"/>
      <c r="F1433" s="1"/>
      <c r="G1433" s="1"/>
      <c r="H1433" s="1"/>
    </row>
    <row r="1434" spans="1:8" ht="13.2" x14ac:dyDescent="0.25">
      <c r="A1434" s="2"/>
      <c r="B1434" s="1"/>
      <c r="C1434" s="1"/>
      <c r="D1434" s="1"/>
      <c r="E1434" s="1"/>
      <c r="F1434" s="1"/>
      <c r="G1434" s="1"/>
      <c r="H1434" s="1"/>
    </row>
    <row r="1435" spans="1:8" ht="13.2" x14ac:dyDescent="0.25">
      <c r="A1435" s="1"/>
      <c r="B1435" s="1"/>
      <c r="C1435" s="1"/>
      <c r="D1435" s="1"/>
      <c r="E1435" s="1"/>
      <c r="F1435" s="1"/>
      <c r="G1435" s="3"/>
      <c r="H1435" s="1"/>
    </row>
    <row r="1436" spans="1:8" ht="13.2" x14ac:dyDescent="0.25">
      <c r="A1436" s="1"/>
      <c r="B1436" s="1"/>
      <c r="C1436" s="1"/>
      <c r="D1436" s="1"/>
      <c r="E1436" s="1"/>
      <c r="F1436" s="1"/>
      <c r="G1436" s="3"/>
      <c r="H1436" s="1"/>
    </row>
    <row r="1437" spans="1:8" ht="13.2" x14ac:dyDescent="0.25">
      <c r="A1437" s="2"/>
      <c r="B1437" s="1"/>
      <c r="C1437" s="1"/>
      <c r="D1437" s="1"/>
      <c r="E1437" s="1"/>
      <c r="F1437" s="1"/>
      <c r="G1437" s="1"/>
      <c r="H1437" s="1"/>
    </row>
    <row r="1438" spans="1:8" ht="13.2" x14ac:dyDescent="0.25">
      <c r="A1438" s="2"/>
      <c r="B1438" s="1"/>
      <c r="C1438" s="1"/>
      <c r="D1438" s="1"/>
      <c r="E1438" s="1"/>
      <c r="F1438" s="1"/>
      <c r="G1438" s="3"/>
      <c r="H1438" s="1"/>
    </row>
    <row r="1439" spans="1:8" ht="13.2" x14ac:dyDescent="0.25">
      <c r="A1439" s="1"/>
      <c r="B1439" s="1"/>
      <c r="C1439" s="1"/>
      <c r="D1439" s="1"/>
      <c r="E1439" s="1"/>
      <c r="F1439" s="1"/>
      <c r="G1439" s="1"/>
      <c r="H1439" s="1"/>
    </row>
    <row r="1440" spans="1:8" ht="13.2" x14ac:dyDescent="0.25">
      <c r="A1440" s="1"/>
      <c r="B1440" s="1"/>
      <c r="C1440" s="1"/>
      <c r="D1440" s="1"/>
      <c r="E1440" s="1"/>
      <c r="F1440" s="1"/>
      <c r="G1440" s="1"/>
      <c r="H1440" s="1"/>
    </row>
    <row r="1441" spans="1:8" ht="13.2" x14ac:dyDescent="0.25">
      <c r="A1441" s="1"/>
      <c r="B1441" s="1"/>
      <c r="C1441" s="1"/>
      <c r="D1441" s="1"/>
      <c r="E1441" s="1"/>
      <c r="F1441" s="1"/>
      <c r="G1441" s="1"/>
      <c r="H1441" s="1"/>
    </row>
    <row r="1442" spans="1:8" ht="13.2" x14ac:dyDescent="0.25">
      <c r="A1442" s="2"/>
      <c r="B1442" s="1"/>
      <c r="C1442" s="1"/>
      <c r="D1442" s="1"/>
      <c r="E1442" s="1"/>
      <c r="F1442" s="1"/>
      <c r="G1442" s="1"/>
      <c r="H1442" s="1"/>
    </row>
    <row r="1443" spans="1:8" ht="13.2" x14ac:dyDescent="0.25">
      <c r="A1443" s="1"/>
      <c r="B1443" s="1"/>
      <c r="C1443" s="1"/>
      <c r="D1443" s="1"/>
      <c r="E1443" s="1"/>
      <c r="F1443" s="1"/>
      <c r="G1443" s="3"/>
      <c r="H1443" s="1"/>
    </row>
    <row r="1444" spans="1:8" ht="13.2" x14ac:dyDescent="0.25">
      <c r="A1444" s="1"/>
      <c r="B1444" s="1"/>
      <c r="C1444" s="1"/>
      <c r="D1444" s="1"/>
      <c r="E1444" s="1"/>
      <c r="F1444" s="1"/>
      <c r="G1444" s="1"/>
      <c r="H1444" s="1"/>
    </row>
    <row r="1445" spans="1:8" ht="13.2" x14ac:dyDescent="0.25">
      <c r="A1445" s="1"/>
      <c r="B1445" s="1"/>
      <c r="C1445" s="1"/>
      <c r="D1445" s="1"/>
      <c r="E1445" s="1"/>
      <c r="F1445" s="1"/>
      <c r="G1445" s="3"/>
      <c r="H1445" s="1"/>
    </row>
    <row r="1446" spans="1:8" ht="13.2" x14ac:dyDescent="0.25">
      <c r="A1446" s="1"/>
      <c r="B1446" s="1"/>
      <c r="C1446" s="1"/>
      <c r="D1446" s="1"/>
      <c r="E1446" s="1"/>
      <c r="F1446" s="1"/>
      <c r="G1446" s="1"/>
      <c r="H1446" s="1"/>
    </row>
    <row r="1447" spans="1:8" ht="13.2" x14ac:dyDescent="0.25">
      <c r="A1447" s="1"/>
      <c r="B1447" s="1"/>
      <c r="C1447" s="1"/>
      <c r="D1447" s="1"/>
      <c r="E1447" s="1"/>
      <c r="F1447" s="1"/>
      <c r="G1447" s="1"/>
      <c r="H1447" s="1"/>
    </row>
    <row r="1448" spans="1:8" ht="13.2" x14ac:dyDescent="0.25">
      <c r="A1448" s="1"/>
      <c r="B1448" s="1"/>
      <c r="C1448" s="1"/>
      <c r="D1448" s="1"/>
      <c r="E1448" s="1"/>
      <c r="F1448" s="1"/>
      <c r="G1448" s="3"/>
      <c r="H1448" s="1"/>
    </row>
    <row r="1449" spans="1:8" ht="13.2" x14ac:dyDescent="0.25">
      <c r="A1449" s="1"/>
      <c r="B1449" s="1"/>
      <c r="C1449" s="1"/>
      <c r="D1449" s="1"/>
      <c r="E1449" s="1"/>
      <c r="F1449" s="1"/>
      <c r="G1449" s="3"/>
      <c r="H1449" s="1"/>
    </row>
    <row r="1450" spans="1:8" ht="13.2" x14ac:dyDescent="0.25">
      <c r="A1450" s="1"/>
      <c r="B1450" s="1"/>
      <c r="C1450" s="1"/>
      <c r="D1450" s="1"/>
      <c r="E1450" s="1"/>
      <c r="F1450" s="1"/>
      <c r="G1450" s="3"/>
      <c r="H1450" s="1"/>
    </row>
    <row r="1451" spans="1:8" ht="13.2" x14ac:dyDescent="0.25">
      <c r="A1451" s="1"/>
      <c r="B1451" s="1"/>
      <c r="C1451" s="1"/>
      <c r="D1451" s="1"/>
      <c r="E1451" s="1"/>
      <c r="F1451" s="1"/>
      <c r="G1451" s="3"/>
      <c r="H1451" s="1"/>
    </row>
    <row r="1452" spans="1:8" ht="13.2" x14ac:dyDescent="0.25">
      <c r="A1452" s="2"/>
      <c r="B1452" s="1"/>
      <c r="C1452" s="1"/>
      <c r="D1452" s="1"/>
      <c r="E1452" s="1"/>
      <c r="F1452" s="1"/>
      <c r="G1452" s="3"/>
      <c r="H1452" s="1"/>
    </row>
    <row r="1453" spans="1:8" ht="13.2" x14ac:dyDescent="0.25">
      <c r="A1453" s="1"/>
      <c r="B1453" s="1"/>
      <c r="C1453" s="1"/>
      <c r="D1453" s="1"/>
      <c r="E1453" s="1"/>
      <c r="F1453" s="1"/>
      <c r="G1453" s="1"/>
      <c r="H1453" s="1"/>
    </row>
    <row r="1454" spans="1:8" ht="13.2" x14ac:dyDescent="0.25">
      <c r="A1454" s="2"/>
      <c r="B1454" s="1"/>
      <c r="C1454" s="1"/>
      <c r="D1454" s="1"/>
      <c r="E1454" s="1"/>
      <c r="F1454" s="1"/>
      <c r="G1454" s="1"/>
      <c r="H1454" s="1"/>
    </row>
    <row r="1455" spans="1:8" ht="13.2" x14ac:dyDescent="0.25">
      <c r="A1455" s="1"/>
      <c r="B1455" s="1"/>
      <c r="C1455" s="1"/>
      <c r="D1455" s="1"/>
      <c r="E1455" s="1"/>
      <c r="F1455" s="1"/>
      <c r="G1455" s="3"/>
      <c r="H1455" s="1"/>
    </row>
    <row r="1456" spans="1:8" ht="13.2" x14ac:dyDescent="0.25">
      <c r="A1456" s="1"/>
      <c r="B1456" s="1"/>
      <c r="C1456" s="1"/>
      <c r="D1456" s="1"/>
      <c r="E1456" s="1"/>
      <c r="F1456" s="1"/>
      <c r="G1456" s="3"/>
      <c r="H1456" s="1"/>
    </row>
    <row r="1457" spans="1:8" ht="13.2" x14ac:dyDescent="0.25">
      <c r="A1457" s="1"/>
      <c r="B1457" s="1"/>
      <c r="C1457" s="1"/>
      <c r="D1457" s="1"/>
      <c r="E1457" s="1"/>
      <c r="F1457" s="1"/>
      <c r="G1457" s="1"/>
      <c r="H1457" s="1"/>
    </row>
    <row r="1458" spans="1:8" ht="13.2" x14ac:dyDescent="0.25">
      <c r="A1458" s="1"/>
      <c r="B1458" s="1"/>
      <c r="C1458" s="1"/>
      <c r="D1458" s="1"/>
      <c r="E1458" s="1"/>
      <c r="F1458" s="1"/>
      <c r="G1458" s="3"/>
      <c r="H1458" s="1"/>
    </row>
    <row r="1459" spans="1:8" ht="13.2" x14ac:dyDescent="0.25">
      <c r="A1459" s="2"/>
      <c r="B1459" s="1"/>
      <c r="C1459" s="1"/>
      <c r="D1459" s="1"/>
      <c r="E1459" s="1"/>
      <c r="F1459" s="1"/>
      <c r="G1459" s="1"/>
      <c r="H1459" s="1"/>
    </row>
    <row r="1460" spans="1:8" ht="13.2" x14ac:dyDescent="0.25">
      <c r="A1460" s="2"/>
      <c r="B1460" s="1"/>
      <c r="C1460" s="1"/>
      <c r="D1460" s="1"/>
      <c r="E1460" s="1"/>
      <c r="F1460" s="1"/>
      <c r="G1460" s="1"/>
      <c r="H1460" s="1"/>
    </row>
    <row r="1461" spans="1:8" ht="13.2" x14ac:dyDescent="0.25">
      <c r="A1461" s="2"/>
      <c r="B1461" s="1"/>
      <c r="C1461" s="1"/>
      <c r="D1461" s="1"/>
      <c r="E1461" s="1"/>
      <c r="F1461" s="1"/>
      <c r="G1461" s="3"/>
      <c r="H1461" s="1"/>
    </row>
    <row r="1462" spans="1:8" ht="13.2" x14ac:dyDescent="0.25">
      <c r="A1462" s="1"/>
      <c r="B1462" s="1"/>
      <c r="C1462" s="1"/>
      <c r="D1462" s="1"/>
      <c r="E1462" s="1"/>
      <c r="F1462" s="1"/>
      <c r="G1462" s="1"/>
      <c r="H1462" s="1"/>
    </row>
    <row r="1463" spans="1:8" ht="13.2" x14ac:dyDescent="0.25">
      <c r="A1463" s="2"/>
      <c r="B1463" s="1"/>
      <c r="C1463" s="1"/>
      <c r="D1463" s="1"/>
      <c r="E1463" s="1"/>
      <c r="F1463" s="1"/>
      <c r="G1463" s="1"/>
      <c r="H1463" s="1"/>
    </row>
    <row r="1464" spans="1:8" ht="13.2" x14ac:dyDescent="0.25">
      <c r="A1464" s="2"/>
      <c r="B1464" s="1"/>
      <c r="C1464" s="1"/>
      <c r="D1464" s="1"/>
      <c r="E1464" s="1"/>
      <c r="F1464" s="1"/>
      <c r="G1464" s="3"/>
      <c r="H1464" s="1"/>
    </row>
    <row r="1465" spans="1:8" ht="13.2" x14ac:dyDescent="0.25">
      <c r="A1465" s="1"/>
      <c r="B1465" s="1"/>
      <c r="C1465" s="1"/>
      <c r="D1465" s="1"/>
      <c r="E1465" s="1"/>
      <c r="F1465" s="1"/>
      <c r="G1465" s="1"/>
      <c r="H1465" s="1"/>
    </row>
    <row r="1466" spans="1:8" ht="13.2" x14ac:dyDescent="0.25">
      <c r="A1466" s="1"/>
      <c r="B1466" s="1"/>
      <c r="C1466" s="1"/>
      <c r="D1466" s="1"/>
      <c r="E1466" s="1"/>
      <c r="F1466" s="1"/>
      <c r="G1466" s="1"/>
      <c r="H1466" s="1"/>
    </row>
    <row r="1467" spans="1:8" ht="13.2" x14ac:dyDescent="0.25">
      <c r="A1467" s="2"/>
      <c r="B1467" s="1"/>
      <c r="C1467" s="1"/>
      <c r="D1467" s="1"/>
      <c r="E1467" s="1"/>
      <c r="F1467" s="1"/>
      <c r="G1467" s="3"/>
      <c r="H1467" s="1"/>
    </row>
    <row r="1468" spans="1:8" ht="13.2" x14ac:dyDescent="0.25">
      <c r="A1468" s="1"/>
      <c r="B1468" s="1"/>
      <c r="C1468" s="1"/>
      <c r="D1468" s="1"/>
      <c r="E1468" s="1"/>
      <c r="F1468" s="1"/>
      <c r="G1468" s="3"/>
      <c r="H1468" s="1"/>
    </row>
    <row r="1469" spans="1:8" ht="13.2" x14ac:dyDescent="0.25">
      <c r="A1469" s="1"/>
      <c r="B1469" s="1"/>
      <c r="C1469" s="1"/>
      <c r="D1469" s="1"/>
      <c r="E1469" s="1"/>
      <c r="F1469" s="1"/>
      <c r="G1469" s="3"/>
      <c r="H1469" s="1"/>
    </row>
    <row r="1470" spans="1:8" ht="13.2" x14ac:dyDescent="0.25">
      <c r="A1470" s="1"/>
      <c r="B1470" s="1"/>
      <c r="C1470" s="1"/>
      <c r="D1470" s="1"/>
      <c r="E1470" s="1"/>
      <c r="F1470" s="1"/>
      <c r="G1470" s="1"/>
      <c r="H1470" s="1"/>
    </row>
    <row r="1471" spans="1:8" ht="13.2" x14ac:dyDescent="0.25">
      <c r="A1471" s="2"/>
      <c r="B1471" s="1"/>
      <c r="C1471" s="1"/>
      <c r="D1471" s="1"/>
      <c r="E1471" s="1"/>
      <c r="F1471" s="1"/>
      <c r="G1471" s="1"/>
      <c r="H1471" s="1"/>
    </row>
    <row r="1472" spans="1:8" ht="13.2" x14ac:dyDescent="0.25">
      <c r="A1472" s="1"/>
      <c r="B1472" s="1"/>
      <c r="C1472" s="1"/>
      <c r="D1472" s="1"/>
      <c r="E1472" s="1"/>
      <c r="F1472" s="1"/>
      <c r="G1472" s="3"/>
      <c r="H1472" s="1"/>
    </row>
    <row r="1473" spans="1:8" ht="13.2" x14ac:dyDescent="0.25">
      <c r="A1473" s="1"/>
      <c r="B1473" s="1"/>
      <c r="C1473" s="1"/>
      <c r="D1473" s="1"/>
      <c r="E1473" s="1"/>
      <c r="F1473" s="1"/>
      <c r="G1473" s="3"/>
      <c r="H1473" s="1"/>
    </row>
    <row r="1474" spans="1:8" ht="13.2" x14ac:dyDescent="0.25">
      <c r="A1474" s="1"/>
      <c r="B1474" s="1"/>
      <c r="C1474" s="1"/>
      <c r="D1474" s="1"/>
      <c r="E1474" s="1"/>
      <c r="F1474" s="1"/>
      <c r="G1474" s="1"/>
      <c r="H1474" s="1"/>
    </row>
    <row r="1475" spans="1:8" ht="13.2" x14ac:dyDescent="0.25">
      <c r="A1475" s="1"/>
      <c r="B1475" s="1"/>
      <c r="C1475" s="1"/>
      <c r="D1475" s="1"/>
      <c r="E1475" s="1"/>
      <c r="F1475" s="1"/>
      <c r="G1475" s="1"/>
      <c r="H1475" s="1"/>
    </row>
    <row r="1476" spans="1:8" ht="13.2" x14ac:dyDescent="0.25">
      <c r="A1476" s="1"/>
      <c r="B1476" s="1"/>
      <c r="C1476" s="1"/>
      <c r="D1476" s="1"/>
      <c r="E1476" s="1"/>
      <c r="F1476" s="1"/>
      <c r="G1476" s="1"/>
      <c r="H1476" s="1"/>
    </row>
    <row r="1477" spans="1:8" ht="13.2" x14ac:dyDescent="0.25">
      <c r="A1477" s="1"/>
      <c r="B1477" s="1"/>
      <c r="C1477" s="1"/>
      <c r="D1477" s="1"/>
      <c r="E1477" s="1"/>
      <c r="F1477" s="1"/>
      <c r="G1477" s="1"/>
      <c r="H1477" s="1"/>
    </row>
    <row r="1478" spans="1:8" ht="13.2" x14ac:dyDescent="0.25">
      <c r="A1478" s="1"/>
      <c r="B1478" s="1"/>
      <c r="C1478" s="1"/>
      <c r="D1478" s="1"/>
      <c r="E1478" s="1"/>
      <c r="F1478" s="1"/>
      <c r="G1478" s="1"/>
      <c r="H1478" s="1"/>
    </row>
    <row r="1479" spans="1:8" ht="13.2" x14ac:dyDescent="0.25">
      <c r="A1479" s="2"/>
      <c r="B1479" s="1"/>
      <c r="C1479" s="1"/>
      <c r="D1479" s="1"/>
      <c r="E1479" s="1"/>
      <c r="F1479" s="1"/>
      <c r="G1479" s="3"/>
      <c r="H1479" s="1"/>
    </row>
    <row r="1480" spans="1:8" ht="13.2" x14ac:dyDescent="0.25">
      <c r="A1480" s="1"/>
      <c r="B1480" s="1"/>
      <c r="C1480" s="1"/>
      <c r="D1480" s="1"/>
      <c r="E1480" s="1"/>
      <c r="F1480" s="1"/>
      <c r="G1480" s="1"/>
      <c r="H1480" s="1"/>
    </row>
    <row r="1481" spans="1:8" ht="13.2" x14ac:dyDescent="0.25">
      <c r="A1481" s="1"/>
      <c r="B1481" s="1"/>
      <c r="C1481" s="1"/>
      <c r="D1481" s="1"/>
      <c r="E1481" s="1"/>
      <c r="F1481" s="1"/>
      <c r="G1481" s="3"/>
      <c r="H1481" s="1"/>
    </row>
    <row r="1482" spans="1:8" ht="13.2" x14ac:dyDescent="0.25">
      <c r="A1482" s="1"/>
      <c r="B1482" s="1"/>
      <c r="C1482" s="1"/>
      <c r="D1482" s="1"/>
      <c r="E1482" s="1"/>
      <c r="F1482" s="1"/>
      <c r="G1482" s="3"/>
      <c r="H1482" s="1"/>
    </row>
    <row r="1483" spans="1:8" ht="13.2" x14ac:dyDescent="0.25">
      <c r="A1483" s="1"/>
      <c r="B1483" s="1"/>
      <c r="C1483" s="1"/>
      <c r="D1483" s="1"/>
      <c r="E1483" s="1"/>
      <c r="F1483" s="1"/>
      <c r="G1483" s="3"/>
      <c r="H1483" s="1"/>
    </row>
    <row r="1484" spans="1:8" ht="13.2" x14ac:dyDescent="0.25">
      <c r="A1484" s="1"/>
      <c r="B1484" s="1"/>
      <c r="C1484" s="1"/>
      <c r="D1484" s="1"/>
      <c r="E1484" s="1"/>
      <c r="F1484" s="1"/>
      <c r="G1484" s="1"/>
      <c r="H1484" s="1"/>
    </row>
    <row r="1485" spans="1:8" ht="13.2" x14ac:dyDescent="0.25">
      <c r="A1485" s="1"/>
      <c r="B1485" s="1"/>
      <c r="C1485" s="1"/>
      <c r="D1485" s="1"/>
      <c r="E1485" s="1"/>
      <c r="F1485" s="1"/>
      <c r="G1485" s="3"/>
      <c r="H1485" s="1"/>
    </row>
    <row r="1486" spans="1:8" ht="13.2" x14ac:dyDescent="0.25">
      <c r="A1486" s="2"/>
      <c r="B1486" s="1"/>
      <c r="C1486" s="1"/>
      <c r="D1486" s="1"/>
      <c r="E1486" s="1"/>
      <c r="F1486" s="1"/>
      <c r="G1486" s="1"/>
      <c r="H1486" s="1"/>
    </row>
    <row r="1487" spans="1:8" ht="13.2" x14ac:dyDescent="0.25">
      <c r="A1487" s="1"/>
      <c r="B1487" s="1"/>
      <c r="C1487" s="1"/>
      <c r="D1487" s="1"/>
      <c r="E1487" s="1"/>
      <c r="F1487" s="1"/>
      <c r="G1487" s="3"/>
      <c r="H1487" s="1"/>
    </row>
    <row r="1488" spans="1:8" ht="13.2" x14ac:dyDescent="0.25">
      <c r="A1488" s="1"/>
      <c r="B1488" s="1"/>
      <c r="C1488" s="1"/>
      <c r="D1488" s="1"/>
      <c r="E1488" s="1"/>
      <c r="F1488" s="1"/>
      <c r="G1488" s="1"/>
      <c r="H1488" s="1"/>
    </row>
    <row r="1489" spans="1:8" ht="13.2" x14ac:dyDescent="0.25">
      <c r="A1489" s="1"/>
      <c r="B1489" s="1"/>
      <c r="C1489" s="1"/>
      <c r="D1489" s="1"/>
      <c r="E1489" s="1"/>
      <c r="F1489" s="1"/>
      <c r="G1489" s="3"/>
      <c r="H1489" s="1"/>
    </row>
    <row r="1490" spans="1:8" ht="13.2" x14ac:dyDescent="0.25">
      <c r="A1490" s="1"/>
      <c r="B1490" s="1"/>
      <c r="C1490" s="1"/>
      <c r="D1490" s="1"/>
      <c r="E1490" s="1"/>
      <c r="F1490" s="1"/>
      <c r="G1490" s="1"/>
      <c r="H1490" s="1"/>
    </row>
    <row r="1491" spans="1:8" ht="13.2" x14ac:dyDescent="0.25">
      <c r="A1491" s="1"/>
      <c r="B1491" s="1"/>
      <c r="C1491" s="1"/>
      <c r="D1491" s="1"/>
      <c r="E1491" s="1"/>
      <c r="F1491" s="1"/>
      <c r="G1491" s="3"/>
      <c r="H1491" s="1"/>
    </row>
    <row r="1492" spans="1:8" ht="13.2" x14ac:dyDescent="0.25">
      <c r="A1492" s="1"/>
      <c r="B1492" s="1"/>
      <c r="C1492" s="1"/>
      <c r="D1492" s="1"/>
      <c r="E1492" s="1"/>
      <c r="F1492" s="1"/>
      <c r="G1492" s="3"/>
      <c r="H1492" s="1"/>
    </row>
    <row r="1493" spans="1:8" ht="13.2" x14ac:dyDescent="0.25">
      <c r="A1493" s="1"/>
      <c r="B1493" s="1"/>
      <c r="C1493" s="1"/>
      <c r="D1493" s="1"/>
      <c r="E1493" s="1"/>
      <c r="F1493" s="1"/>
      <c r="G1493" s="3"/>
      <c r="H1493" s="1"/>
    </row>
    <row r="1494" spans="1:8" ht="13.2" x14ac:dyDescent="0.25">
      <c r="A1494" s="2"/>
      <c r="B1494" s="1"/>
      <c r="C1494" s="1"/>
      <c r="D1494" s="1"/>
      <c r="E1494" s="1"/>
      <c r="F1494" s="1"/>
      <c r="G1494" s="1"/>
      <c r="H1494" s="1"/>
    </row>
    <row r="1495" spans="1:8" ht="13.2" x14ac:dyDescent="0.25">
      <c r="A1495" s="2"/>
      <c r="B1495" s="1"/>
      <c r="C1495" s="1"/>
      <c r="D1495" s="1"/>
      <c r="E1495" s="1"/>
      <c r="F1495" s="1"/>
      <c r="G1495" s="3"/>
      <c r="H1495" s="1"/>
    </row>
    <row r="1496" spans="1:8" ht="13.2" x14ac:dyDescent="0.25">
      <c r="A1496" s="1"/>
      <c r="B1496" s="1"/>
      <c r="C1496" s="1"/>
      <c r="D1496" s="1"/>
      <c r="E1496" s="1"/>
      <c r="F1496" s="1"/>
      <c r="G1496" s="1"/>
      <c r="H1496" s="1"/>
    </row>
    <row r="1497" spans="1:8" ht="13.2" x14ac:dyDescent="0.25">
      <c r="A1497" s="1"/>
      <c r="B1497" s="1"/>
      <c r="C1497" s="1"/>
      <c r="D1497" s="1"/>
      <c r="E1497" s="1"/>
      <c r="F1497" s="1"/>
      <c r="G1497" s="3"/>
      <c r="H1497" s="1"/>
    </row>
    <row r="1498" spans="1:8" ht="13.2" x14ac:dyDescent="0.25">
      <c r="A1498" s="2"/>
      <c r="B1498" s="1"/>
      <c r="C1498" s="1"/>
      <c r="D1498" s="1"/>
      <c r="E1498" s="1"/>
      <c r="F1498" s="1"/>
      <c r="G1498" s="3"/>
      <c r="H1498" s="1"/>
    </row>
    <row r="1499" spans="1:8" ht="13.2" x14ac:dyDescent="0.25">
      <c r="A1499" s="1"/>
      <c r="B1499" s="1"/>
      <c r="C1499" s="1"/>
      <c r="D1499" s="1"/>
      <c r="E1499" s="1"/>
      <c r="F1499" s="1"/>
      <c r="G1499" s="1"/>
      <c r="H1499" s="1"/>
    </row>
    <row r="1500" spans="1:8" ht="13.2" x14ac:dyDescent="0.25">
      <c r="A1500" s="1"/>
      <c r="B1500" s="1"/>
      <c r="C1500" s="1"/>
      <c r="D1500" s="1"/>
      <c r="E1500" s="1"/>
      <c r="F1500" s="1"/>
      <c r="G1500" s="1"/>
      <c r="H1500" s="1"/>
    </row>
    <row r="1501" spans="1:8" ht="13.2" x14ac:dyDescent="0.25">
      <c r="A1501" s="1"/>
      <c r="B1501" s="1"/>
      <c r="C1501" s="1"/>
      <c r="D1501" s="1"/>
      <c r="E1501" s="1"/>
      <c r="F1501" s="1"/>
      <c r="G1501" s="1"/>
      <c r="H1501" s="1"/>
    </row>
    <row r="1502" spans="1:8" ht="13.2" x14ac:dyDescent="0.25">
      <c r="A1502" s="1"/>
      <c r="B1502" s="1"/>
      <c r="C1502" s="1"/>
      <c r="D1502" s="1"/>
      <c r="E1502" s="1"/>
      <c r="F1502" s="1"/>
      <c r="G1502" s="1"/>
      <c r="H1502" s="1"/>
    </row>
    <row r="1503" spans="1:8" ht="13.2" x14ac:dyDescent="0.25">
      <c r="A1503" s="1"/>
      <c r="B1503" s="1"/>
      <c r="C1503" s="1"/>
      <c r="D1503" s="1"/>
      <c r="E1503" s="1"/>
      <c r="F1503" s="1"/>
      <c r="G1503" s="3"/>
      <c r="H1503" s="1"/>
    </row>
    <row r="1504" spans="1:8" ht="13.2" x14ac:dyDescent="0.25">
      <c r="A1504" s="1"/>
      <c r="B1504" s="1"/>
      <c r="C1504" s="1"/>
      <c r="D1504" s="1"/>
      <c r="E1504" s="1"/>
      <c r="F1504" s="1"/>
      <c r="G1504" s="3"/>
      <c r="H1504" s="1"/>
    </row>
    <row r="1505" spans="1:8" ht="13.2" x14ac:dyDescent="0.25">
      <c r="A1505" s="1"/>
      <c r="B1505" s="1"/>
      <c r="C1505" s="1"/>
      <c r="D1505" s="1"/>
      <c r="E1505" s="1"/>
      <c r="F1505" s="1"/>
      <c r="G1505" s="3"/>
      <c r="H1505" s="1"/>
    </row>
    <row r="1506" spans="1:8" ht="13.2" x14ac:dyDescent="0.25">
      <c r="A1506" s="1"/>
      <c r="B1506" s="1"/>
      <c r="C1506" s="1"/>
      <c r="D1506" s="1"/>
      <c r="E1506" s="1"/>
      <c r="F1506" s="1"/>
      <c r="G1506" s="1"/>
      <c r="H1506" s="1"/>
    </row>
    <row r="1507" spans="1:8" ht="13.2" x14ac:dyDescent="0.25">
      <c r="A1507" s="1"/>
      <c r="B1507" s="1"/>
      <c r="C1507" s="1"/>
      <c r="D1507" s="1"/>
      <c r="E1507" s="1"/>
      <c r="F1507" s="1"/>
      <c r="G1507" s="3"/>
      <c r="H1507" s="1"/>
    </row>
    <row r="1508" spans="1:8" ht="13.2" x14ac:dyDescent="0.25">
      <c r="A1508" s="2"/>
      <c r="B1508" s="1"/>
      <c r="C1508" s="1"/>
      <c r="D1508" s="1"/>
      <c r="E1508" s="1"/>
      <c r="F1508" s="1"/>
      <c r="G1508" s="1"/>
      <c r="H1508" s="1"/>
    </row>
    <row r="1509" spans="1:8" ht="13.2" x14ac:dyDescent="0.25">
      <c r="A1509" s="2"/>
      <c r="B1509" s="1"/>
      <c r="C1509" s="1"/>
      <c r="D1509" s="1"/>
      <c r="E1509" s="1"/>
      <c r="F1509" s="1"/>
      <c r="G1509" s="3"/>
      <c r="H1509" s="1"/>
    </row>
    <row r="1510" spans="1:8" ht="13.2" x14ac:dyDescent="0.25">
      <c r="A1510" s="1"/>
      <c r="B1510" s="1"/>
      <c r="C1510" s="1"/>
      <c r="D1510" s="1"/>
      <c r="E1510" s="1"/>
      <c r="F1510" s="1"/>
      <c r="G1510" s="1"/>
      <c r="H1510" s="1"/>
    </row>
    <row r="1511" spans="1:8" ht="13.2" x14ac:dyDescent="0.25">
      <c r="A1511" s="2"/>
      <c r="B1511" s="1"/>
      <c r="C1511" s="1"/>
      <c r="D1511" s="1"/>
      <c r="E1511" s="1"/>
      <c r="F1511" s="1"/>
      <c r="G1511" s="3"/>
      <c r="H1511" s="1"/>
    </row>
    <row r="1512" spans="1:8" ht="13.2" x14ac:dyDescent="0.25">
      <c r="A1512" s="2"/>
      <c r="B1512" s="1"/>
      <c r="C1512" s="1"/>
      <c r="D1512" s="1"/>
      <c r="E1512" s="1"/>
      <c r="F1512" s="1"/>
      <c r="G1512" s="1"/>
      <c r="H1512" s="1"/>
    </row>
    <row r="1513" spans="1:8" ht="13.2" x14ac:dyDescent="0.25">
      <c r="A1513" s="1"/>
      <c r="B1513" s="1"/>
      <c r="C1513" s="1"/>
      <c r="D1513" s="1"/>
      <c r="E1513" s="1"/>
      <c r="F1513" s="1"/>
      <c r="G1513" s="3"/>
      <c r="H1513" s="1"/>
    </row>
    <row r="1514" spans="1:8" ht="13.2" x14ac:dyDescent="0.25">
      <c r="A1514" s="1"/>
      <c r="B1514" s="1"/>
      <c r="C1514" s="1"/>
      <c r="D1514" s="1"/>
      <c r="E1514" s="1"/>
      <c r="F1514" s="1"/>
      <c r="G1514" s="1"/>
      <c r="H1514" s="1"/>
    </row>
    <row r="1515" spans="1:8" ht="13.2" x14ac:dyDescent="0.25">
      <c r="A1515" s="1"/>
      <c r="B1515" s="1"/>
      <c r="C1515" s="1"/>
      <c r="D1515" s="1"/>
      <c r="E1515" s="1"/>
      <c r="F1515" s="1"/>
      <c r="G1515" s="3"/>
      <c r="H1515" s="1"/>
    </row>
    <row r="1516" spans="1:8" ht="13.2" x14ac:dyDescent="0.25">
      <c r="A1516" s="1"/>
      <c r="B1516" s="1"/>
      <c r="C1516" s="1"/>
      <c r="D1516" s="1"/>
      <c r="E1516" s="1"/>
      <c r="F1516" s="1"/>
      <c r="G1516" s="3"/>
      <c r="H1516" s="1"/>
    </row>
    <row r="1517" spans="1:8" ht="13.2" x14ac:dyDescent="0.25">
      <c r="A1517" s="1"/>
      <c r="B1517" s="1"/>
      <c r="C1517" s="1"/>
      <c r="D1517" s="1"/>
      <c r="E1517" s="1"/>
      <c r="F1517" s="1"/>
      <c r="G1517" s="3"/>
      <c r="H1517" s="1"/>
    </row>
    <row r="1518" spans="1:8" ht="13.2" x14ac:dyDescent="0.25">
      <c r="A1518" s="2"/>
      <c r="B1518" s="1"/>
      <c r="C1518" s="1"/>
      <c r="D1518" s="1"/>
      <c r="E1518" s="1"/>
      <c r="F1518" s="1"/>
      <c r="G1518" s="3"/>
      <c r="H1518" s="1"/>
    </row>
    <row r="1519" spans="1:8" ht="13.2" x14ac:dyDescent="0.25">
      <c r="A1519" s="1"/>
      <c r="B1519" s="1"/>
      <c r="C1519" s="1"/>
      <c r="D1519" s="1"/>
      <c r="E1519" s="1"/>
      <c r="F1519" s="1"/>
      <c r="G1519" s="3"/>
      <c r="H1519" s="1"/>
    </row>
    <row r="1520" spans="1:8" ht="13.2" x14ac:dyDescent="0.25">
      <c r="A1520" s="1"/>
      <c r="B1520" s="1"/>
      <c r="C1520" s="1"/>
      <c r="D1520" s="1"/>
      <c r="E1520" s="1"/>
      <c r="F1520" s="1"/>
      <c r="G1520" s="3"/>
      <c r="H1520" s="1"/>
    </row>
    <row r="1521" spans="1:8" ht="13.2" x14ac:dyDescent="0.25">
      <c r="A1521" s="1"/>
      <c r="B1521" s="1"/>
      <c r="C1521" s="1"/>
      <c r="D1521" s="1"/>
      <c r="E1521" s="1"/>
      <c r="F1521" s="1"/>
      <c r="G1521" s="3"/>
      <c r="H1521" s="1"/>
    </row>
    <row r="1522" spans="1:8" ht="13.2" x14ac:dyDescent="0.25">
      <c r="A1522" s="2"/>
      <c r="B1522" s="1"/>
      <c r="C1522" s="1"/>
      <c r="D1522" s="1"/>
      <c r="E1522" s="1"/>
      <c r="F1522" s="1"/>
      <c r="G1522" s="3"/>
      <c r="H1522" s="1"/>
    </row>
    <row r="1523" spans="1:8" ht="13.2" x14ac:dyDescent="0.25">
      <c r="A1523" s="1"/>
      <c r="B1523" s="1"/>
      <c r="C1523" s="1"/>
      <c r="D1523" s="1"/>
      <c r="E1523" s="1"/>
      <c r="F1523" s="1"/>
      <c r="G1523" s="3"/>
      <c r="H1523" s="1"/>
    </row>
    <row r="1524" spans="1:8" ht="13.2" x14ac:dyDescent="0.25">
      <c r="A1524" s="1"/>
      <c r="B1524" s="1"/>
      <c r="C1524" s="1"/>
      <c r="D1524" s="1"/>
      <c r="E1524" s="1"/>
      <c r="F1524" s="1"/>
      <c r="G1524" s="3"/>
      <c r="H1524" s="1"/>
    </row>
    <row r="1525" spans="1:8" ht="13.2" x14ac:dyDescent="0.25">
      <c r="A1525" s="2"/>
      <c r="B1525" s="1"/>
      <c r="C1525" s="1"/>
      <c r="D1525" s="1"/>
      <c r="E1525" s="1"/>
      <c r="F1525" s="1"/>
      <c r="G1525" s="1"/>
      <c r="H1525" s="1"/>
    </row>
    <row r="1526" spans="1:8" ht="13.2" x14ac:dyDescent="0.25">
      <c r="A1526" s="2"/>
      <c r="B1526" s="1"/>
      <c r="C1526" s="1"/>
      <c r="D1526" s="1"/>
      <c r="E1526" s="1"/>
      <c r="F1526" s="1"/>
      <c r="G1526" s="1"/>
      <c r="H1526" s="1"/>
    </row>
    <row r="1527" spans="1:8" ht="13.2" x14ac:dyDescent="0.25">
      <c r="A1527" s="2"/>
      <c r="B1527" s="1"/>
      <c r="C1527" s="1"/>
      <c r="D1527" s="1"/>
      <c r="E1527" s="1"/>
      <c r="F1527" s="1"/>
      <c r="G1527" s="1"/>
      <c r="H1527" s="1"/>
    </row>
    <row r="1528" spans="1:8" ht="13.2" x14ac:dyDescent="0.25">
      <c r="A1528" s="1"/>
      <c r="B1528" s="1"/>
      <c r="C1528" s="1"/>
      <c r="D1528" s="1"/>
      <c r="E1528" s="1"/>
      <c r="F1528" s="1"/>
      <c r="G1528" s="3"/>
      <c r="H1528" s="1"/>
    </row>
    <row r="1529" spans="1:8" ht="13.2" x14ac:dyDescent="0.25">
      <c r="A1529" s="1"/>
      <c r="B1529" s="1"/>
      <c r="C1529" s="1"/>
      <c r="D1529" s="1"/>
      <c r="E1529" s="1"/>
      <c r="F1529" s="1"/>
      <c r="G1529" s="3"/>
      <c r="H1529" s="1"/>
    </row>
    <row r="1530" spans="1:8" ht="13.2" x14ac:dyDescent="0.25">
      <c r="A1530" s="1"/>
      <c r="B1530" s="1"/>
      <c r="C1530" s="1"/>
      <c r="D1530" s="1"/>
      <c r="E1530" s="1"/>
      <c r="F1530" s="1"/>
      <c r="G1530" s="3"/>
      <c r="H1530" s="1"/>
    </row>
    <row r="1531" spans="1:8" ht="13.2" x14ac:dyDescent="0.25">
      <c r="A1531" s="1"/>
      <c r="B1531" s="1"/>
      <c r="C1531" s="1"/>
      <c r="D1531" s="1"/>
      <c r="E1531" s="1"/>
      <c r="F1531" s="1"/>
      <c r="G1531" s="1"/>
      <c r="H1531" s="1"/>
    </row>
    <row r="1532" spans="1:8" ht="13.2" x14ac:dyDescent="0.25">
      <c r="A1532" s="1"/>
      <c r="B1532" s="1"/>
      <c r="C1532" s="1"/>
      <c r="D1532" s="1"/>
      <c r="E1532" s="1"/>
      <c r="F1532" s="1"/>
      <c r="G1532" s="1"/>
      <c r="H1532" s="1"/>
    </row>
    <row r="1533" spans="1:8" ht="13.2" x14ac:dyDescent="0.25">
      <c r="A1533" s="1"/>
      <c r="B1533" s="1"/>
      <c r="C1533" s="1"/>
      <c r="D1533" s="1"/>
      <c r="E1533" s="1"/>
      <c r="F1533" s="1"/>
      <c r="G1533" s="3"/>
      <c r="H1533" s="1"/>
    </row>
    <row r="1534" spans="1:8" ht="13.2" x14ac:dyDescent="0.25">
      <c r="A1534" s="1"/>
      <c r="B1534" s="1"/>
      <c r="C1534" s="1"/>
      <c r="D1534" s="1"/>
      <c r="E1534" s="1"/>
      <c r="F1534" s="1"/>
      <c r="G1534" s="1"/>
      <c r="H1534" s="1"/>
    </row>
    <row r="1535" spans="1:8" ht="13.2" x14ac:dyDescent="0.25">
      <c r="A1535" s="1"/>
      <c r="B1535" s="1"/>
      <c r="C1535" s="1"/>
      <c r="D1535" s="1"/>
      <c r="E1535" s="1"/>
      <c r="F1535" s="1"/>
      <c r="G1535" s="3"/>
      <c r="H1535" s="1"/>
    </row>
    <row r="1536" spans="1:8" ht="13.2" x14ac:dyDescent="0.25">
      <c r="A1536" s="2"/>
      <c r="B1536" s="1"/>
      <c r="C1536" s="1"/>
      <c r="D1536" s="1"/>
      <c r="E1536" s="1"/>
      <c r="F1536" s="1"/>
      <c r="G1536" s="1"/>
      <c r="H1536" s="1"/>
    </row>
    <row r="1537" spans="1:8" ht="13.2" x14ac:dyDescent="0.25">
      <c r="A1537" s="2"/>
      <c r="B1537" s="1"/>
      <c r="C1537" s="1"/>
      <c r="D1537" s="1"/>
      <c r="E1537" s="1"/>
      <c r="F1537" s="1"/>
      <c r="G1537" s="3"/>
      <c r="H1537" s="1"/>
    </row>
    <row r="1538" spans="1:8" ht="13.2" x14ac:dyDescent="0.25">
      <c r="A1538" s="1"/>
      <c r="B1538" s="1"/>
      <c r="C1538" s="1"/>
      <c r="D1538" s="1"/>
      <c r="E1538" s="1"/>
      <c r="F1538" s="1"/>
      <c r="G1538" s="3"/>
      <c r="H1538" s="1"/>
    </row>
    <row r="1539" spans="1:8" ht="13.2" x14ac:dyDescent="0.25">
      <c r="A1539" s="1"/>
      <c r="B1539" s="1"/>
      <c r="C1539" s="1"/>
      <c r="D1539" s="1"/>
      <c r="E1539" s="1"/>
      <c r="F1539" s="1"/>
      <c r="G1539" s="1"/>
      <c r="H1539" s="1"/>
    </row>
    <row r="1540" spans="1:8" ht="13.2" x14ac:dyDescent="0.25">
      <c r="A1540" s="2"/>
      <c r="B1540" s="1"/>
      <c r="C1540" s="1"/>
      <c r="D1540" s="1"/>
      <c r="E1540" s="1"/>
      <c r="F1540" s="1"/>
      <c r="G1540" s="3"/>
      <c r="H1540" s="1"/>
    </row>
    <row r="1541" spans="1:8" ht="13.2" x14ac:dyDescent="0.25">
      <c r="A1541" s="1"/>
      <c r="B1541" s="1"/>
      <c r="C1541" s="1"/>
      <c r="D1541" s="1"/>
      <c r="E1541" s="1"/>
      <c r="F1541" s="1"/>
      <c r="G1541" s="1"/>
      <c r="H1541" s="1"/>
    </row>
    <row r="1542" spans="1:8" ht="13.2" x14ac:dyDescent="0.25">
      <c r="A1542" s="1"/>
      <c r="B1542" s="1"/>
      <c r="C1542" s="1"/>
      <c r="D1542" s="1"/>
      <c r="E1542" s="1"/>
      <c r="F1542" s="1"/>
      <c r="G1542" s="3"/>
      <c r="H1542" s="1"/>
    </row>
    <row r="1543" spans="1:8" ht="13.2" x14ac:dyDescent="0.25">
      <c r="A1543" s="2"/>
      <c r="B1543" s="1"/>
      <c r="C1543" s="1"/>
      <c r="D1543" s="1"/>
      <c r="E1543" s="1"/>
      <c r="F1543" s="1"/>
      <c r="G1543" s="3"/>
      <c r="H1543" s="1"/>
    </row>
    <row r="1544" spans="1:8" ht="13.2" x14ac:dyDescent="0.25">
      <c r="A1544" s="1"/>
      <c r="B1544" s="1"/>
      <c r="C1544" s="1"/>
      <c r="D1544" s="1"/>
      <c r="E1544" s="1"/>
      <c r="F1544" s="1"/>
      <c r="G1544" s="3"/>
      <c r="H1544" s="1"/>
    </row>
    <row r="1545" spans="1:8" ht="13.2" x14ac:dyDescent="0.25">
      <c r="A1545" s="1"/>
      <c r="B1545" s="1"/>
      <c r="C1545" s="1"/>
      <c r="D1545" s="1"/>
      <c r="E1545" s="1"/>
      <c r="F1545" s="1"/>
      <c r="G1545" s="3"/>
      <c r="H1545" s="1"/>
    </row>
    <row r="1546" spans="1:8" ht="13.2" x14ac:dyDescent="0.25">
      <c r="A1546" s="1"/>
      <c r="B1546" s="1"/>
      <c r="C1546" s="1"/>
      <c r="D1546" s="1"/>
      <c r="E1546" s="1"/>
      <c r="F1546" s="1"/>
      <c r="G1546" s="3"/>
      <c r="H1546" s="1"/>
    </row>
    <row r="1547" spans="1:8" ht="13.2" x14ac:dyDescent="0.25">
      <c r="A1547" s="1"/>
      <c r="B1547" s="1"/>
      <c r="C1547" s="1"/>
      <c r="D1547" s="1"/>
      <c r="E1547" s="1"/>
      <c r="F1547" s="1"/>
      <c r="G1547" s="1"/>
      <c r="H1547" s="1"/>
    </row>
    <row r="1548" spans="1:8" ht="13.2" x14ac:dyDescent="0.25">
      <c r="A1548" s="1"/>
      <c r="B1548" s="1"/>
      <c r="C1548" s="1"/>
      <c r="D1548" s="1"/>
      <c r="E1548" s="1"/>
      <c r="F1548" s="1"/>
      <c r="G1548" s="1"/>
      <c r="H1548" s="1"/>
    </row>
    <row r="1549" spans="1:8" ht="13.2" x14ac:dyDescent="0.25">
      <c r="A1549" s="1"/>
      <c r="B1549" s="1"/>
      <c r="C1549" s="1"/>
      <c r="D1549" s="1"/>
      <c r="E1549" s="1"/>
      <c r="F1549" s="1"/>
      <c r="G1549" s="1"/>
      <c r="H1549" s="1"/>
    </row>
    <row r="1550" spans="1:8" ht="13.2" x14ac:dyDescent="0.25">
      <c r="A1550" s="2"/>
      <c r="B1550" s="1"/>
      <c r="C1550" s="1"/>
      <c r="D1550" s="1"/>
      <c r="E1550" s="1"/>
      <c r="F1550" s="1"/>
      <c r="G1550" s="3"/>
      <c r="H1550" s="1"/>
    </row>
    <row r="1551" spans="1:8" ht="13.2" x14ac:dyDescent="0.25">
      <c r="A1551" s="1"/>
      <c r="B1551" s="1"/>
      <c r="C1551" s="1"/>
      <c r="D1551" s="1"/>
      <c r="E1551" s="1"/>
      <c r="F1551" s="1"/>
      <c r="G1551" s="3"/>
      <c r="H1551" s="1"/>
    </row>
    <row r="1552" spans="1:8" ht="13.2" x14ac:dyDescent="0.25">
      <c r="A1552" s="1"/>
      <c r="B1552" s="1"/>
      <c r="C1552" s="1"/>
      <c r="D1552" s="1"/>
      <c r="E1552" s="1"/>
      <c r="F1552" s="1"/>
      <c r="G1552" s="3"/>
      <c r="H1552" s="1"/>
    </row>
    <row r="1553" spans="1:8" ht="13.2" x14ac:dyDescent="0.25">
      <c r="A1553" s="2"/>
      <c r="B1553" s="1"/>
      <c r="C1553" s="1"/>
      <c r="D1553" s="1"/>
      <c r="E1553" s="1"/>
      <c r="F1553" s="1"/>
      <c r="G1553" s="3"/>
      <c r="H1553" s="1"/>
    </row>
    <row r="1554" spans="1:8" ht="13.2" x14ac:dyDescent="0.25">
      <c r="A1554" s="1"/>
      <c r="B1554" s="1"/>
      <c r="C1554" s="1"/>
      <c r="D1554" s="1"/>
      <c r="E1554" s="1"/>
      <c r="F1554" s="1"/>
      <c r="G1554" s="3"/>
      <c r="H1554" s="1"/>
    </row>
    <row r="1555" spans="1:8" ht="13.2" x14ac:dyDescent="0.25">
      <c r="A1555" s="1"/>
      <c r="B1555" s="1"/>
      <c r="C1555" s="1"/>
      <c r="D1555" s="1"/>
      <c r="E1555" s="1"/>
      <c r="F1555" s="1"/>
      <c r="G1555" s="1"/>
      <c r="H1555" s="1"/>
    </row>
    <row r="1556" spans="1:8" ht="13.2" x14ac:dyDescent="0.25">
      <c r="A1556" s="1"/>
      <c r="B1556" s="1"/>
      <c r="C1556" s="1"/>
      <c r="D1556" s="1"/>
      <c r="E1556" s="1"/>
      <c r="F1556" s="1"/>
      <c r="G1556" s="3"/>
      <c r="H1556" s="1"/>
    </row>
    <row r="1557" spans="1:8" ht="13.2" x14ac:dyDescent="0.25">
      <c r="A1557" s="1"/>
      <c r="B1557" s="1"/>
      <c r="C1557" s="1"/>
      <c r="D1557" s="1"/>
      <c r="E1557" s="1"/>
      <c r="F1557" s="1"/>
      <c r="G1557" s="1"/>
      <c r="H1557" s="1"/>
    </row>
    <row r="1558" spans="1:8" ht="13.2" x14ac:dyDescent="0.25">
      <c r="A1558" s="2"/>
      <c r="B1558" s="1"/>
      <c r="C1558" s="1"/>
      <c r="D1558" s="1"/>
      <c r="E1558" s="1"/>
      <c r="F1558" s="1"/>
      <c r="G1558" s="3"/>
      <c r="H1558" s="1"/>
    </row>
    <row r="1559" spans="1:8" ht="13.2" x14ac:dyDescent="0.25">
      <c r="A1559" s="2"/>
      <c r="B1559" s="1"/>
      <c r="C1559" s="1"/>
      <c r="D1559" s="1"/>
      <c r="E1559" s="1"/>
      <c r="F1559" s="1"/>
      <c r="G1559" s="3"/>
      <c r="H1559" s="1"/>
    </row>
    <row r="1560" spans="1:8" ht="13.2" x14ac:dyDescent="0.25">
      <c r="A1560" s="1"/>
      <c r="B1560" s="1"/>
      <c r="C1560" s="1"/>
      <c r="D1560" s="1"/>
      <c r="E1560" s="1"/>
      <c r="F1560" s="1"/>
      <c r="G1560" s="3"/>
      <c r="H1560" s="1"/>
    </row>
    <row r="1561" spans="1:8" ht="13.2" x14ac:dyDescent="0.25">
      <c r="A1561" s="1"/>
      <c r="B1561" s="1"/>
      <c r="C1561" s="1"/>
      <c r="D1561" s="1"/>
      <c r="E1561" s="1"/>
      <c r="F1561" s="1"/>
      <c r="G1561" s="3"/>
      <c r="H1561" s="1"/>
    </row>
    <row r="1562" spans="1:8" ht="13.2" x14ac:dyDescent="0.25">
      <c r="A1562" s="1"/>
      <c r="B1562" s="1"/>
      <c r="C1562" s="1"/>
      <c r="D1562" s="1"/>
      <c r="E1562" s="1"/>
      <c r="F1562" s="1"/>
      <c r="G1562" s="3"/>
      <c r="H1562" s="1"/>
    </row>
    <row r="1563" spans="1:8" ht="13.2" x14ac:dyDescent="0.25">
      <c r="A1563" s="1"/>
      <c r="B1563" s="1"/>
      <c r="C1563" s="1"/>
      <c r="D1563" s="1"/>
      <c r="E1563" s="1"/>
      <c r="F1563" s="1"/>
      <c r="G1563" s="3"/>
      <c r="H1563" s="1"/>
    </row>
    <row r="1564" spans="1:8" ht="13.2" x14ac:dyDescent="0.25">
      <c r="A1564" s="2"/>
      <c r="B1564" s="1"/>
      <c r="C1564" s="1"/>
      <c r="D1564" s="1"/>
      <c r="E1564" s="1"/>
      <c r="F1564" s="1"/>
      <c r="G1564" s="3"/>
      <c r="H1564" s="1"/>
    </row>
    <row r="1565" spans="1:8" ht="13.2" x14ac:dyDescent="0.25">
      <c r="A1565" s="1"/>
      <c r="B1565" s="1"/>
      <c r="C1565" s="1"/>
      <c r="D1565" s="1"/>
      <c r="E1565" s="1"/>
      <c r="F1565" s="1"/>
      <c r="G1565" s="3"/>
      <c r="H1565" s="1"/>
    </row>
    <row r="1566" spans="1:8" ht="13.2" x14ac:dyDescent="0.25">
      <c r="A1566" s="1"/>
      <c r="B1566" s="1"/>
      <c r="C1566" s="1"/>
      <c r="D1566" s="1"/>
      <c r="E1566" s="1"/>
      <c r="F1566" s="1"/>
      <c r="G1566" s="3"/>
      <c r="H1566" s="1"/>
    </row>
    <row r="1567" spans="1:8" ht="13.2" x14ac:dyDescent="0.25">
      <c r="A1567" s="1"/>
      <c r="B1567" s="1"/>
      <c r="C1567" s="1"/>
      <c r="D1567" s="1"/>
      <c r="E1567" s="1"/>
      <c r="F1567" s="1"/>
      <c r="G1567" s="3"/>
      <c r="H1567" s="1"/>
    </row>
    <row r="1568" spans="1:8" ht="13.2" x14ac:dyDescent="0.25">
      <c r="A1568" s="1"/>
      <c r="B1568" s="1"/>
      <c r="C1568" s="1"/>
      <c r="D1568" s="1"/>
      <c r="E1568" s="1"/>
      <c r="F1568" s="1"/>
      <c r="G1568" s="1"/>
      <c r="H1568" s="1"/>
    </row>
    <row r="1569" spans="1:8" ht="13.2" x14ac:dyDescent="0.25">
      <c r="A1569" s="2"/>
      <c r="B1569" s="1"/>
      <c r="C1569" s="1"/>
      <c r="D1569" s="1"/>
      <c r="E1569" s="1"/>
      <c r="F1569" s="1"/>
      <c r="G1569" s="1"/>
      <c r="H1569" s="1"/>
    </row>
    <row r="1570" spans="1:8" ht="13.2" x14ac:dyDescent="0.25">
      <c r="A1570" s="2"/>
      <c r="B1570" s="1"/>
      <c r="C1570" s="1"/>
      <c r="D1570" s="1"/>
      <c r="E1570" s="1"/>
      <c r="F1570" s="1"/>
      <c r="G1570" s="1"/>
      <c r="H1570" s="1"/>
    </row>
    <row r="1571" spans="1:8" ht="13.2" x14ac:dyDescent="0.25">
      <c r="A1571" s="1"/>
      <c r="B1571" s="1"/>
      <c r="C1571" s="1"/>
      <c r="D1571" s="1"/>
      <c r="E1571" s="1"/>
      <c r="F1571" s="1"/>
      <c r="G1571" s="1"/>
      <c r="H1571" s="1"/>
    </row>
    <row r="1572" spans="1:8" ht="13.2" x14ac:dyDescent="0.25">
      <c r="A1572" s="1"/>
      <c r="B1572" s="1"/>
      <c r="C1572" s="1"/>
      <c r="D1572" s="1"/>
      <c r="E1572" s="1"/>
      <c r="F1572" s="1"/>
      <c r="G1572" s="1"/>
      <c r="H1572" s="1"/>
    </row>
    <row r="1573" spans="1:8" ht="13.2" x14ac:dyDescent="0.25">
      <c r="A1573" s="1"/>
      <c r="B1573" s="1"/>
      <c r="C1573" s="1"/>
      <c r="D1573" s="1"/>
      <c r="E1573" s="1"/>
      <c r="F1573" s="1"/>
      <c r="G1573" s="3"/>
      <c r="H1573" s="1"/>
    </row>
    <row r="1574" spans="1:8" ht="13.2" x14ac:dyDescent="0.25">
      <c r="A1574" s="2"/>
      <c r="B1574" s="1"/>
      <c r="C1574" s="1"/>
      <c r="D1574" s="1"/>
      <c r="E1574" s="1"/>
      <c r="F1574" s="1"/>
      <c r="G1574" s="3"/>
      <c r="H1574" s="1"/>
    </row>
    <row r="1575" spans="1:8" ht="13.2" x14ac:dyDescent="0.25">
      <c r="A1575" s="2"/>
      <c r="B1575" s="1"/>
      <c r="C1575" s="1"/>
      <c r="D1575" s="1"/>
      <c r="E1575" s="1"/>
      <c r="F1575" s="1"/>
      <c r="G1575" s="1"/>
      <c r="H1575" s="1"/>
    </row>
    <row r="1576" spans="1:8" ht="13.2" x14ac:dyDescent="0.25">
      <c r="A1576" s="1"/>
      <c r="B1576" s="1"/>
      <c r="C1576" s="1"/>
      <c r="D1576" s="1"/>
      <c r="E1576" s="1"/>
      <c r="F1576" s="1"/>
      <c r="G1576" s="3"/>
      <c r="H1576" s="1"/>
    </row>
    <row r="1577" spans="1:8" ht="13.2" x14ac:dyDescent="0.25">
      <c r="A1577" s="2"/>
      <c r="B1577" s="1"/>
      <c r="C1577" s="1"/>
      <c r="D1577" s="1"/>
      <c r="E1577" s="1"/>
      <c r="F1577" s="1"/>
      <c r="G1577" s="3"/>
      <c r="H1577" s="1"/>
    </row>
    <row r="1578" spans="1:8" ht="13.2" x14ac:dyDescent="0.25">
      <c r="A1578" s="2"/>
      <c r="B1578" s="1"/>
      <c r="C1578" s="1"/>
      <c r="D1578" s="1"/>
      <c r="E1578" s="1"/>
      <c r="F1578" s="1"/>
      <c r="G1578" s="3"/>
      <c r="H1578" s="1"/>
    </row>
    <row r="1579" spans="1:8" ht="13.2" x14ac:dyDescent="0.25">
      <c r="A1579" s="2"/>
      <c r="B1579" s="1"/>
      <c r="C1579" s="1"/>
      <c r="D1579" s="1"/>
      <c r="E1579" s="1"/>
      <c r="F1579" s="1"/>
      <c r="G1579" s="1"/>
      <c r="H1579" s="1"/>
    </row>
    <row r="1580" spans="1:8" ht="13.2" x14ac:dyDescent="0.25">
      <c r="A1580" s="1"/>
      <c r="B1580" s="1"/>
      <c r="C1580" s="1"/>
      <c r="D1580" s="1"/>
      <c r="E1580" s="1"/>
      <c r="F1580" s="1"/>
      <c r="G1580" s="3"/>
      <c r="H1580" s="1"/>
    </row>
    <row r="1581" spans="1:8" ht="13.2" x14ac:dyDescent="0.25">
      <c r="A1581" s="1"/>
      <c r="B1581" s="1"/>
      <c r="C1581" s="1"/>
      <c r="D1581" s="1"/>
      <c r="E1581" s="1"/>
      <c r="F1581" s="1"/>
      <c r="G1581" s="1"/>
      <c r="H1581" s="1"/>
    </row>
    <row r="1582" spans="1:8" ht="13.2" x14ac:dyDescent="0.25">
      <c r="A1582" s="2"/>
      <c r="B1582" s="1"/>
      <c r="C1582" s="1"/>
      <c r="D1582" s="1"/>
      <c r="E1582" s="1"/>
      <c r="F1582" s="1"/>
      <c r="G1582" s="3"/>
      <c r="H1582" s="1"/>
    </row>
    <row r="1583" spans="1:8" ht="13.2" x14ac:dyDescent="0.25">
      <c r="A1583" s="2"/>
      <c r="B1583" s="1"/>
      <c r="C1583" s="1"/>
      <c r="D1583" s="1"/>
      <c r="E1583" s="1"/>
      <c r="F1583" s="1"/>
      <c r="G1583" s="1"/>
      <c r="H1583" s="1"/>
    </row>
    <row r="1584" spans="1:8" ht="13.2" x14ac:dyDescent="0.25">
      <c r="A1584" s="1"/>
      <c r="B1584" s="1"/>
      <c r="C1584" s="1"/>
      <c r="D1584" s="1"/>
      <c r="E1584" s="1"/>
      <c r="F1584" s="1"/>
      <c r="G1584" s="3"/>
      <c r="H1584" s="1"/>
    </row>
    <row r="1585" spans="1:8" ht="13.2" x14ac:dyDescent="0.25">
      <c r="A1585" s="1"/>
      <c r="B1585" s="1"/>
      <c r="C1585" s="1"/>
      <c r="D1585" s="1"/>
      <c r="E1585" s="1"/>
      <c r="F1585" s="1"/>
      <c r="G1585" s="1"/>
      <c r="H1585" s="1"/>
    </row>
    <row r="1586" spans="1:8" ht="13.2" x14ac:dyDescent="0.25">
      <c r="A1586" s="2"/>
      <c r="B1586" s="1"/>
      <c r="C1586" s="1"/>
      <c r="D1586" s="1"/>
      <c r="E1586" s="1"/>
      <c r="F1586" s="1"/>
      <c r="G1586" s="3"/>
      <c r="H1586" s="1"/>
    </row>
    <row r="1587" spans="1:8" ht="13.2" x14ac:dyDescent="0.25">
      <c r="A1587" s="1"/>
      <c r="B1587" s="1"/>
      <c r="C1587" s="1"/>
      <c r="D1587" s="1"/>
      <c r="E1587" s="1"/>
      <c r="F1587" s="1"/>
      <c r="G1587" s="1"/>
      <c r="H1587" s="1"/>
    </row>
    <row r="1588" spans="1:8" ht="13.2" x14ac:dyDescent="0.25">
      <c r="A1588" s="1"/>
      <c r="B1588" s="1"/>
      <c r="C1588" s="1"/>
      <c r="D1588" s="1"/>
      <c r="E1588" s="1"/>
      <c r="F1588" s="1"/>
      <c r="G1588" s="1"/>
      <c r="H1588" s="1"/>
    </row>
    <row r="1589" spans="1:8" ht="13.2" x14ac:dyDescent="0.25">
      <c r="A1589" s="1"/>
      <c r="B1589" s="1"/>
      <c r="C1589" s="1"/>
      <c r="D1589" s="1"/>
      <c r="E1589" s="1"/>
      <c r="F1589" s="1"/>
      <c r="G1589" s="1"/>
      <c r="H1589" s="1"/>
    </row>
    <row r="1590" spans="1:8" ht="13.2" x14ac:dyDescent="0.25">
      <c r="A1590" s="1"/>
      <c r="B1590" s="1"/>
      <c r="C1590" s="1"/>
      <c r="D1590" s="1"/>
      <c r="E1590" s="1"/>
      <c r="F1590" s="1"/>
      <c r="G1590" s="3"/>
      <c r="H1590" s="1"/>
    </row>
    <row r="1591" spans="1:8" ht="13.2" x14ac:dyDescent="0.25">
      <c r="A1591" s="1"/>
      <c r="B1591" s="1"/>
      <c r="C1591" s="1"/>
      <c r="D1591" s="1"/>
      <c r="E1591" s="1"/>
      <c r="F1591" s="1"/>
      <c r="G1591" s="3"/>
      <c r="H1591" s="1"/>
    </row>
    <row r="1592" spans="1:8" ht="13.2" x14ac:dyDescent="0.25">
      <c r="A1592" s="1"/>
      <c r="B1592" s="1"/>
      <c r="C1592" s="1"/>
      <c r="D1592" s="1"/>
      <c r="E1592" s="1"/>
      <c r="F1592" s="1"/>
      <c r="G1592" s="1"/>
      <c r="H1592" s="1"/>
    </row>
    <row r="1593" spans="1:8" ht="13.2" x14ac:dyDescent="0.25">
      <c r="A1593" s="1"/>
      <c r="B1593" s="1"/>
      <c r="C1593" s="1"/>
      <c r="D1593" s="1"/>
      <c r="E1593" s="1"/>
      <c r="F1593" s="1"/>
      <c r="G1593" s="1"/>
      <c r="H1593" s="1"/>
    </row>
    <row r="1594" spans="1:8" ht="13.2" x14ac:dyDescent="0.25">
      <c r="A1594" s="1"/>
      <c r="B1594" s="1"/>
      <c r="C1594" s="1"/>
      <c r="D1594" s="1"/>
      <c r="E1594" s="1"/>
      <c r="F1594" s="1"/>
      <c r="G1594" s="1"/>
      <c r="H1594" s="1"/>
    </row>
    <row r="1595" spans="1:8" ht="13.2" x14ac:dyDescent="0.25">
      <c r="A1595" s="1"/>
      <c r="B1595" s="1"/>
      <c r="C1595" s="1"/>
      <c r="D1595" s="1"/>
      <c r="E1595" s="1"/>
      <c r="F1595" s="1"/>
      <c r="G1595" s="1"/>
      <c r="H1595" s="1"/>
    </row>
    <row r="1596" spans="1:8" ht="13.2" x14ac:dyDescent="0.25">
      <c r="A1596" s="1"/>
      <c r="B1596" s="1"/>
      <c r="C1596" s="1"/>
      <c r="D1596" s="1"/>
      <c r="E1596" s="1"/>
      <c r="F1596" s="1"/>
      <c r="G1596" s="1"/>
      <c r="H1596" s="1"/>
    </row>
    <row r="1597" spans="1:8" ht="13.2" x14ac:dyDescent="0.25">
      <c r="A1597" s="2"/>
      <c r="B1597" s="1"/>
      <c r="C1597" s="1"/>
      <c r="D1597" s="1"/>
      <c r="E1597" s="1"/>
      <c r="F1597" s="1"/>
      <c r="G1597" s="1"/>
      <c r="H1597" s="1"/>
    </row>
    <row r="1598" spans="1:8" ht="13.2" x14ac:dyDescent="0.25">
      <c r="A1598" s="1"/>
      <c r="B1598" s="1"/>
      <c r="C1598" s="1"/>
      <c r="D1598" s="1"/>
      <c r="E1598" s="1"/>
      <c r="F1598" s="1"/>
      <c r="G1598" s="1"/>
      <c r="H1598" s="1"/>
    </row>
    <row r="1599" spans="1:8" ht="13.2" x14ac:dyDescent="0.25">
      <c r="A1599" s="1"/>
      <c r="B1599" s="1"/>
      <c r="C1599" s="1"/>
      <c r="D1599" s="1"/>
      <c r="E1599" s="1"/>
      <c r="F1599" s="1"/>
      <c r="G1599" s="3"/>
      <c r="H1599" s="1"/>
    </row>
    <row r="1600" spans="1:8" ht="13.2" x14ac:dyDescent="0.25">
      <c r="A1600" s="1"/>
      <c r="B1600" s="1"/>
      <c r="C1600" s="1"/>
      <c r="D1600" s="1"/>
      <c r="E1600" s="1"/>
      <c r="F1600" s="1"/>
      <c r="G1600" s="3"/>
      <c r="H1600" s="1"/>
    </row>
    <row r="1601" spans="1:8" ht="13.2" x14ac:dyDescent="0.25">
      <c r="A1601" s="1"/>
      <c r="B1601" s="1"/>
      <c r="C1601" s="1"/>
      <c r="D1601" s="1"/>
      <c r="E1601" s="1"/>
      <c r="F1601" s="1"/>
      <c r="G1601" s="1"/>
      <c r="H1601" s="1"/>
    </row>
    <row r="1602" spans="1:8" ht="13.2" x14ac:dyDescent="0.25">
      <c r="A1602" s="1"/>
      <c r="B1602" s="1"/>
      <c r="C1602" s="1"/>
      <c r="D1602" s="1"/>
      <c r="E1602" s="1"/>
      <c r="F1602" s="1"/>
      <c r="G1602" s="1"/>
      <c r="H1602" s="1"/>
    </row>
    <row r="1603" spans="1:8" ht="13.2" x14ac:dyDescent="0.25">
      <c r="A1603" s="1"/>
      <c r="B1603" s="1"/>
      <c r="C1603" s="1"/>
      <c r="D1603" s="1"/>
      <c r="E1603" s="1"/>
      <c r="F1603" s="1"/>
      <c r="G1603" s="1"/>
      <c r="H1603" s="1"/>
    </row>
    <row r="1604" spans="1:8" ht="13.2" x14ac:dyDescent="0.25">
      <c r="A1604" s="2"/>
      <c r="B1604" s="1"/>
      <c r="C1604" s="1"/>
      <c r="D1604" s="1"/>
      <c r="E1604" s="1"/>
      <c r="F1604" s="1"/>
      <c r="G1604" s="1"/>
      <c r="H1604" s="1"/>
    </row>
    <row r="1605" spans="1:8" ht="13.2" x14ac:dyDescent="0.25">
      <c r="A1605" s="1"/>
      <c r="B1605" s="1"/>
      <c r="C1605" s="1"/>
      <c r="D1605" s="1"/>
      <c r="E1605" s="1"/>
      <c r="F1605" s="1"/>
      <c r="G1605" s="1"/>
      <c r="H1605" s="1"/>
    </row>
    <row r="1606" spans="1:8" ht="13.2" x14ac:dyDescent="0.25">
      <c r="A1606" s="1"/>
      <c r="B1606" s="1"/>
      <c r="C1606" s="1"/>
      <c r="D1606" s="1"/>
      <c r="E1606" s="1"/>
      <c r="F1606" s="1"/>
      <c r="G1606" s="3"/>
      <c r="H1606" s="1"/>
    </row>
    <row r="1607" spans="1:8" ht="13.2" x14ac:dyDescent="0.25">
      <c r="A1607" s="1"/>
      <c r="B1607" s="1"/>
      <c r="C1607" s="1"/>
      <c r="D1607" s="1"/>
      <c r="E1607" s="1"/>
      <c r="F1607" s="1"/>
      <c r="G1607" s="1"/>
      <c r="H1607" s="1"/>
    </row>
    <row r="1608" spans="1:8" ht="13.2" x14ac:dyDescent="0.25">
      <c r="A1608" s="1"/>
      <c r="B1608" s="1"/>
      <c r="C1608" s="1"/>
      <c r="D1608" s="1"/>
      <c r="E1608" s="1"/>
      <c r="F1608" s="1"/>
      <c r="G1608" s="3"/>
      <c r="H1608" s="1"/>
    </row>
    <row r="1609" spans="1:8" ht="13.2" x14ac:dyDescent="0.25">
      <c r="A1609" s="1"/>
      <c r="B1609" s="1"/>
      <c r="C1609" s="1"/>
      <c r="D1609" s="1"/>
      <c r="E1609" s="1"/>
      <c r="F1609" s="1"/>
      <c r="G1609" s="3"/>
      <c r="H1609" s="1"/>
    </row>
    <row r="1610" spans="1:8" ht="13.2" x14ac:dyDescent="0.25">
      <c r="A1610" s="2"/>
      <c r="B1610" s="1"/>
      <c r="C1610" s="1"/>
      <c r="D1610" s="1"/>
      <c r="E1610" s="1"/>
      <c r="F1610" s="1"/>
      <c r="G1610" s="1"/>
      <c r="H1610" s="1"/>
    </row>
    <row r="1611" spans="1:8" ht="13.2" x14ac:dyDescent="0.25">
      <c r="A1611" s="1"/>
      <c r="B1611" s="1"/>
      <c r="C1611" s="1"/>
      <c r="D1611" s="1"/>
      <c r="E1611" s="1"/>
      <c r="F1611" s="1"/>
      <c r="G1611" s="3"/>
      <c r="H1611" s="1"/>
    </row>
    <row r="1612" spans="1:8" ht="13.2" x14ac:dyDescent="0.25">
      <c r="A1612" s="2"/>
      <c r="B1612" s="1"/>
      <c r="C1612" s="1"/>
      <c r="D1612" s="1"/>
      <c r="E1612" s="1"/>
      <c r="F1612" s="1"/>
      <c r="G1612" s="3"/>
      <c r="H1612" s="1"/>
    </row>
    <row r="1613" spans="1:8" ht="13.2" x14ac:dyDescent="0.25">
      <c r="A1613" s="2"/>
      <c r="B1613" s="1"/>
      <c r="C1613" s="1"/>
      <c r="D1613" s="1"/>
      <c r="E1613" s="1"/>
      <c r="F1613" s="1"/>
      <c r="G1613" s="3"/>
      <c r="H1613" s="1"/>
    </row>
    <row r="1614" spans="1:8" ht="13.2" x14ac:dyDescent="0.25">
      <c r="A1614" s="2"/>
      <c r="B1614" s="1"/>
      <c r="C1614" s="1"/>
      <c r="D1614" s="1"/>
      <c r="E1614" s="1"/>
      <c r="F1614" s="1"/>
      <c r="G1614" s="1"/>
      <c r="H1614" s="1"/>
    </row>
    <row r="1615" spans="1:8" ht="13.2" x14ac:dyDescent="0.25">
      <c r="A1615" s="1"/>
      <c r="B1615" s="1"/>
      <c r="C1615" s="1"/>
      <c r="D1615" s="1"/>
      <c r="E1615" s="1"/>
      <c r="F1615" s="1"/>
      <c r="G1615" s="3"/>
      <c r="H1615" s="1"/>
    </row>
    <row r="1616" spans="1:8" ht="13.2" x14ac:dyDescent="0.25">
      <c r="A1616" s="2"/>
      <c r="B1616" s="1"/>
      <c r="C1616" s="1"/>
      <c r="D1616" s="1"/>
      <c r="E1616" s="1"/>
      <c r="F1616" s="1"/>
      <c r="G1616" s="1"/>
      <c r="H1616" s="1"/>
    </row>
    <row r="1617" spans="1:8" ht="13.2" x14ac:dyDescent="0.25">
      <c r="A1617" s="1"/>
      <c r="B1617" s="1"/>
      <c r="C1617" s="1"/>
      <c r="D1617" s="1"/>
      <c r="E1617" s="1"/>
      <c r="F1617" s="1"/>
      <c r="G1617" s="1"/>
      <c r="H1617" s="1"/>
    </row>
    <row r="1618" spans="1:8" ht="13.2" x14ac:dyDescent="0.25">
      <c r="A1618" s="1"/>
      <c r="B1618" s="1"/>
      <c r="C1618" s="1"/>
      <c r="D1618" s="1"/>
      <c r="E1618" s="1"/>
      <c r="F1618" s="1"/>
      <c r="G1618" s="1"/>
      <c r="H1618" s="1"/>
    </row>
    <row r="1619" spans="1:8" ht="13.2" x14ac:dyDescent="0.25">
      <c r="A1619" s="1"/>
      <c r="B1619" s="1"/>
      <c r="C1619" s="1"/>
      <c r="D1619" s="1"/>
      <c r="E1619" s="1"/>
      <c r="F1619" s="1"/>
      <c r="G1619" s="3"/>
      <c r="H1619" s="1"/>
    </row>
    <row r="1620" spans="1:8" ht="13.2" x14ac:dyDescent="0.25">
      <c r="A1620" s="1"/>
      <c r="B1620" s="1"/>
      <c r="C1620" s="1"/>
      <c r="D1620" s="1"/>
      <c r="E1620" s="1"/>
      <c r="F1620" s="1"/>
      <c r="G1620" s="1"/>
      <c r="H1620" s="1"/>
    </row>
    <row r="1621" spans="1:8" ht="13.2" x14ac:dyDescent="0.25">
      <c r="A1621" s="1"/>
      <c r="B1621" s="1"/>
      <c r="C1621" s="1"/>
      <c r="D1621" s="1"/>
      <c r="E1621" s="1"/>
      <c r="F1621" s="1"/>
      <c r="G1621" s="1"/>
      <c r="H1621" s="1"/>
    </row>
    <row r="1622" spans="1:8" ht="13.2" x14ac:dyDescent="0.25">
      <c r="A1622" s="2"/>
      <c r="B1622" s="1"/>
      <c r="C1622" s="1"/>
      <c r="D1622" s="1"/>
      <c r="E1622" s="1"/>
      <c r="F1622" s="1"/>
      <c r="G1622" s="1"/>
      <c r="H1622" s="1"/>
    </row>
    <row r="1623" spans="1:8" ht="13.2" x14ac:dyDescent="0.25">
      <c r="A1623" s="2"/>
      <c r="B1623" s="1"/>
      <c r="C1623" s="1"/>
      <c r="D1623" s="1"/>
      <c r="E1623" s="1"/>
      <c r="F1623" s="1"/>
      <c r="G1623" s="1"/>
      <c r="H1623" s="1"/>
    </row>
    <row r="1624" spans="1:8" ht="13.2" x14ac:dyDescent="0.25">
      <c r="A1624" s="1"/>
      <c r="B1624" s="1"/>
      <c r="C1624" s="1"/>
      <c r="D1624" s="1"/>
      <c r="E1624" s="1"/>
      <c r="F1624" s="1"/>
      <c r="G1624" s="3"/>
      <c r="H1624" s="1"/>
    </row>
    <row r="1625" spans="1:8" ht="13.2" x14ac:dyDescent="0.25">
      <c r="A1625" s="2"/>
      <c r="B1625" s="1"/>
      <c r="C1625" s="1"/>
      <c r="D1625" s="1"/>
      <c r="E1625" s="1"/>
      <c r="F1625" s="1"/>
      <c r="G1625" s="1"/>
      <c r="H1625" s="1"/>
    </row>
    <row r="1626" spans="1:8" ht="13.2" x14ac:dyDescent="0.25">
      <c r="A1626" s="1"/>
      <c r="B1626" s="1"/>
      <c r="C1626" s="1"/>
      <c r="D1626" s="1"/>
      <c r="E1626" s="1"/>
      <c r="F1626" s="1"/>
      <c r="G1626" s="3"/>
      <c r="H1626" s="1"/>
    </row>
    <row r="1627" spans="1:8" ht="13.2" x14ac:dyDescent="0.25">
      <c r="A1627" s="1"/>
      <c r="B1627" s="1"/>
      <c r="C1627" s="1"/>
      <c r="D1627" s="1"/>
      <c r="E1627" s="1"/>
      <c r="F1627" s="1"/>
      <c r="G1627" s="1"/>
      <c r="H1627" s="1"/>
    </row>
    <row r="1628" spans="1:8" ht="13.2" x14ac:dyDescent="0.25">
      <c r="A1628" s="2"/>
      <c r="B1628" s="1"/>
      <c r="C1628" s="1"/>
      <c r="D1628" s="1"/>
      <c r="E1628" s="1"/>
      <c r="F1628" s="1"/>
      <c r="G1628" s="1"/>
      <c r="H1628" s="1"/>
    </row>
    <row r="1629" spans="1:8" ht="13.2" x14ac:dyDescent="0.25">
      <c r="A1629" s="2"/>
      <c r="B1629" s="1"/>
      <c r="C1629" s="1"/>
      <c r="D1629" s="1"/>
      <c r="E1629" s="1"/>
      <c r="F1629" s="1"/>
      <c r="G1629" s="1"/>
      <c r="H1629" s="1"/>
    </row>
    <row r="1630" spans="1:8" ht="13.2" x14ac:dyDescent="0.25">
      <c r="A1630" s="1"/>
      <c r="B1630" s="1"/>
      <c r="C1630" s="1"/>
      <c r="D1630" s="1"/>
      <c r="E1630" s="1"/>
      <c r="F1630" s="1"/>
      <c r="G1630" s="3"/>
      <c r="H1630" s="1"/>
    </row>
    <row r="1631" spans="1:8" ht="13.2" x14ac:dyDescent="0.25">
      <c r="A1631" s="1"/>
      <c r="B1631" s="1"/>
      <c r="C1631" s="1"/>
      <c r="D1631" s="1"/>
      <c r="E1631" s="1"/>
      <c r="F1631" s="1"/>
      <c r="G1631" s="1"/>
      <c r="H1631" s="1"/>
    </row>
    <row r="1632" spans="1:8" ht="13.2" x14ac:dyDescent="0.25">
      <c r="A1632" s="1"/>
      <c r="B1632" s="1"/>
      <c r="C1632" s="1"/>
      <c r="D1632" s="1"/>
      <c r="E1632" s="1"/>
      <c r="F1632" s="1"/>
      <c r="G1632" s="1"/>
      <c r="H1632" s="1"/>
    </row>
    <row r="1633" spans="1:8" ht="13.2" x14ac:dyDescent="0.25">
      <c r="A1633" s="1"/>
      <c r="B1633" s="1"/>
      <c r="C1633" s="1"/>
      <c r="D1633" s="1"/>
      <c r="E1633" s="1"/>
      <c r="F1633" s="1"/>
      <c r="G1633" s="1"/>
      <c r="H1633" s="1"/>
    </row>
    <row r="1634" spans="1:8" ht="13.2" x14ac:dyDescent="0.25">
      <c r="A1634" s="1"/>
      <c r="B1634" s="1"/>
      <c r="C1634" s="1"/>
      <c r="D1634" s="1"/>
      <c r="E1634" s="1"/>
      <c r="F1634" s="1"/>
      <c r="G1634" s="3"/>
      <c r="H1634" s="1"/>
    </row>
    <row r="1635" spans="1:8" ht="13.2" x14ac:dyDescent="0.25">
      <c r="A1635" s="1"/>
      <c r="B1635" s="1"/>
      <c r="C1635" s="1"/>
      <c r="D1635" s="1"/>
      <c r="E1635" s="1"/>
      <c r="F1635" s="1"/>
      <c r="G1635" s="3"/>
      <c r="H1635" s="1"/>
    </row>
    <row r="1636" spans="1:8" ht="13.2" x14ac:dyDescent="0.25">
      <c r="A1636" s="1"/>
      <c r="B1636" s="1"/>
      <c r="C1636" s="1"/>
      <c r="D1636" s="1"/>
      <c r="E1636" s="1"/>
      <c r="F1636" s="1"/>
      <c r="G1636" s="1"/>
      <c r="H1636" s="1"/>
    </row>
    <row r="1637" spans="1:8" ht="13.2" x14ac:dyDescent="0.25">
      <c r="A1637" s="2"/>
      <c r="B1637" s="1"/>
      <c r="C1637" s="1"/>
      <c r="D1637" s="1"/>
      <c r="E1637" s="1"/>
      <c r="F1637" s="1"/>
      <c r="G1637" s="1"/>
      <c r="H1637" s="1"/>
    </row>
    <row r="1638" spans="1:8" ht="13.2" x14ac:dyDescent="0.25">
      <c r="A1638" s="1"/>
      <c r="B1638" s="1"/>
      <c r="C1638" s="1"/>
      <c r="D1638" s="1"/>
      <c r="E1638" s="1"/>
      <c r="F1638" s="1"/>
      <c r="G1638" s="1"/>
      <c r="H1638" s="1"/>
    </row>
    <row r="1639" spans="1:8" ht="13.2" x14ac:dyDescent="0.25">
      <c r="A1639" s="1"/>
      <c r="B1639" s="1"/>
      <c r="C1639" s="1"/>
      <c r="D1639" s="1"/>
      <c r="E1639" s="1"/>
      <c r="F1639" s="1"/>
      <c r="G1639" s="1"/>
      <c r="H1639" s="1"/>
    </row>
    <row r="1640" spans="1:8" ht="13.2" x14ac:dyDescent="0.25">
      <c r="A1640" s="1"/>
      <c r="B1640" s="1"/>
      <c r="C1640" s="1"/>
      <c r="D1640" s="1"/>
      <c r="E1640" s="1"/>
      <c r="F1640" s="1"/>
      <c r="G1640" s="3"/>
      <c r="H1640" s="1"/>
    </row>
    <row r="1641" spans="1:8" ht="13.2" x14ac:dyDescent="0.25">
      <c r="A1641" s="2"/>
      <c r="B1641" s="1"/>
      <c r="C1641" s="1"/>
      <c r="D1641" s="1"/>
      <c r="E1641" s="1"/>
      <c r="F1641" s="1"/>
      <c r="G1641" s="1"/>
      <c r="H1641" s="1"/>
    </row>
    <row r="1642" spans="1:8" ht="13.2" x14ac:dyDescent="0.25">
      <c r="A1642" s="1"/>
      <c r="B1642" s="1"/>
      <c r="C1642" s="1"/>
      <c r="D1642" s="1"/>
      <c r="E1642" s="1"/>
      <c r="F1642" s="1"/>
      <c r="G1642" s="1"/>
      <c r="H1642" s="1"/>
    </row>
    <row r="1643" spans="1:8" ht="13.2" x14ac:dyDescent="0.25">
      <c r="A1643" s="1"/>
      <c r="B1643" s="1"/>
      <c r="C1643" s="1"/>
      <c r="D1643" s="1"/>
      <c r="E1643" s="1"/>
      <c r="F1643" s="1"/>
      <c r="G1643" s="3"/>
      <c r="H1643" s="1"/>
    </row>
    <row r="1644" spans="1:8" ht="13.2" x14ac:dyDescent="0.25">
      <c r="A1644" s="1"/>
      <c r="B1644" s="1"/>
      <c r="C1644" s="1"/>
      <c r="D1644" s="1"/>
      <c r="E1644" s="1"/>
      <c r="F1644" s="1"/>
      <c r="G1644" s="3"/>
      <c r="H1644" s="1"/>
    </row>
    <row r="1645" spans="1:8" ht="13.2" x14ac:dyDescent="0.25">
      <c r="A1645" s="1"/>
      <c r="B1645" s="1"/>
      <c r="C1645" s="1"/>
      <c r="D1645" s="1"/>
      <c r="E1645" s="1"/>
      <c r="F1645" s="1"/>
      <c r="G1645" s="3"/>
      <c r="H1645" s="1"/>
    </row>
    <row r="1646" spans="1:8" ht="13.2" x14ac:dyDescent="0.25">
      <c r="A1646" s="1"/>
      <c r="B1646" s="1"/>
      <c r="C1646" s="1"/>
      <c r="D1646" s="1"/>
      <c r="E1646" s="1"/>
      <c r="F1646" s="1"/>
      <c r="G1646" s="3"/>
      <c r="H1646" s="1"/>
    </row>
    <row r="1647" spans="1:8" ht="13.2" x14ac:dyDescent="0.25">
      <c r="A1647" s="1"/>
      <c r="B1647" s="1"/>
      <c r="C1647" s="1"/>
      <c r="D1647" s="1"/>
      <c r="E1647" s="1"/>
      <c r="F1647" s="1"/>
      <c r="G1647" s="3"/>
      <c r="H1647" s="1"/>
    </row>
    <row r="1648" spans="1:8" ht="13.2" x14ac:dyDescent="0.25">
      <c r="A1648" s="1"/>
      <c r="B1648" s="1"/>
      <c r="C1648" s="1"/>
      <c r="D1648" s="1"/>
      <c r="E1648" s="1"/>
      <c r="F1648" s="1"/>
      <c r="G1648" s="3"/>
      <c r="H1648" s="1"/>
    </row>
    <row r="1649" spans="1:8" ht="13.2" x14ac:dyDescent="0.25">
      <c r="A1649" s="1"/>
      <c r="B1649" s="1"/>
      <c r="C1649" s="1"/>
      <c r="D1649" s="1"/>
      <c r="E1649" s="1"/>
      <c r="F1649" s="1"/>
      <c r="G1649" s="3"/>
      <c r="H1649" s="1"/>
    </row>
    <row r="1650" spans="1:8" ht="13.2" x14ac:dyDescent="0.25">
      <c r="A1650" s="1"/>
      <c r="B1650" s="1"/>
      <c r="C1650" s="1"/>
      <c r="D1650" s="1"/>
      <c r="E1650" s="1"/>
      <c r="F1650" s="1"/>
      <c r="G1650" s="3"/>
      <c r="H1650" s="1"/>
    </row>
    <row r="1651" spans="1:8" ht="13.2" x14ac:dyDescent="0.25">
      <c r="A1651" s="1"/>
      <c r="B1651" s="1"/>
      <c r="C1651" s="1"/>
      <c r="D1651" s="1"/>
      <c r="E1651" s="1"/>
      <c r="F1651" s="1"/>
      <c r="G1651" s="1"/>
      <c r="H1651" s="1"/>
    </row>
    <row r="1652" spans="1:8" ht="13.2" x14ac:dyDescent="0.25">
      <c r="A1652" s="2"/>
      <c r="B1652" s="1"/>
      <c r="C1652" s="1"/>
      <c r="D1652" s="1"/>
      <c r="E1652" s="1"/>
      <c r="F1652" s="1"/>
      <c r="G1652" s="1"/>
      <c r="H1652" s="1"/>
    </row>
    <row r="1653" spans="1:8" ht="13.2" x14ac:dyDescent="0.25">
      <c r="A1653" s="1"/>
      <c r="B1653" s="1"/>
      <c r="C1653" s="1"/>
      <c r="D1653" s="1"/>
      <c r="E1653" s="1"/>
      <c r="F1653" s="1"/>
      <c r="G1653" s="1"/>
      <c r="H1653" s="1"/>
    </row>
    <row r="1654" spans="1:8" ht="13.2" x14ac:dyDescent="0.25">
      <c r="A1654" s="1"/>
      <c r="B1654" s="1"/>
      <c r="C1654" s="1"/>
      <c r="D1654" s="1"/>
      <c r="E1654" s="1"/>
      <c r="F1654" s="1"/>
      <c r="G1654" s="3"/>
      <c r="H1654" s="1"/>
    </row>
    <row r="1655" spans="1:8" ht="13.2" x14ac:dyDescent="0.25">
      <c r="A1655" s="1"/>
      <c r="B1655" s="1"/>
      <c r="C1655" s="1"/>
      <c r="D1655" s="1"/>
      <c r="E1655" s="1"/>
      <c r="F1655" s="1"/>
      <c r="G1655" s="3"/>
      <c r="H1655" s="1"/>
    </row>
    <row r="1656" spans="1:8" ht="13.2" x14ac:dyDescent="0.25">
      <c r="A1656" s="1"/>
      <c r="B1656" s="1"/>
      <c r="C1656" s="1"/>
      <c r="D1656" s="1"/>
      <c r="E1656" s="1"/>
      <c r="F1656" s="1"/>
      <c r="G1656" s="3"/>
      <c r="H1656" s="1"/>
    </row>
    <row r="1657" spans="1:8" ht="13.2" x14ac:dyDescent="0.25">
      <c r="A1657" s="2"/>
      <c r="B1657" s="1"/>
      <c r="C1657" s="1"/>
      <c r="D1657" s="1"/>
      <c r="E1657" s="1"/>
      <c r="F1657" s="1"/>
      <c r="G1657" s="3"/>
      <c r="H1657" s="1"/>
    </row>
    <row r="1658" spans="1:8" ht="13.2" x14ac:dyDescent="0.25">
      <c r="A1658" s="1"/>
      <c r="B1658" s="1"/>
      <c r="C1658" s="1"/>
      <c r="D1658" s="1"/>
      <c r="E1658" s="1"/>
      <c r="F1658" s="1"/>
      <c r="G1658" s="3"/>
      <c r="H1658" s="1"/>
    </row>
    <row r="1659" spans="1:8" ht="13.2" x14ac:dyDescent="0.25">
      <c r="A1659" s="1"/>
      <c r="B1659" s="1"/>
      <c r="C1659" s="1"/>
      <c r="D1659" s="1"/>
      <c r="E1659" s="1"/>
      <c r="F1659" s="1"/>
      <c r="G1659" s="3"/>
      <c r="H1659" s="1"/>
    </row>
    <row r="1660" spans="1:8" ht="13.2" x14ac:dyDescent="0.25">
      <c r="A1660" s="1"/>
      <c r="B1660" s="1"/>
      <c r="C1660" s="1"/>
      <c r="D1660" s="1"/>
      <c r="E1660" s="1"/>
      <c r="F1660" s="1"/>
      <c r="G1660" s="1"/>
      <c r="H1660" s="1"/>
    </row>
    <row r="1661" spans="1:8" ht="13.2" x14ac:dyDescent="0.25">
      <c r="A1661" s="1"/>
      <c r="B1661" s="1"/>
      <c r="C1661" s="1"/>
      <c r="D1661" s="1"/>
      <c r="E1661" s="1"/>
      <c r="F1661" s="1"/>
      <c r="G1661" s="3"/>
      <c r="H1661" s="1"/>
    </row>
    <row r="1662" spans="1:8" ht="13.2" x14ac:dyDescent="0.25">
      <c r="A1662" s="1"/>
      <c r="B1662" s="1"/>
      <c r="C1662" s="1"/>
      <c r="D1662" s="1"/>
      <c r="E1662" s="1"/>
      <c r="F1662" s="1"/>
      <c r="G1662" s="3"/>
      <c r="H1662" s="1"/>
    </row>
    <row r="1663" spans="1:8" ht="13.2" x14ac:dyDescent="0.25">
      <c r="A1663" s="1"/>
      <c r="B1663" s="1"/>
      <c r="C1663" s="1"/>
      <c r="D1663" s="1"/>
      <c r="E1663" s="1"/>
      <c r="F1663" s="1"/>
      <c r="G1663" s="3"/>
      <c r="H1663" s="1"/>
    </row>
    <row r="1664" spans="1:8" ht="13.2" x14ac:dyDescent="0.25">
      <c r="A1664" s="2"/>
      <c r="B1664" s="1"/>
      <c r="C1664" s="1"/>
      <c r="D1664" s="1"/>
      <c r="E1664" s="1"/>
      <c r="F1664" s="1"/>
      <c r="G1664" s="3"/>
      <c r="H1664" s="1"/>
    </row>
    <row r="1665" spans="1:8" ht="13.2" x14ac:dyDescent="0.25">
      <c r="A1665" s="1"/>
      <c r="B1665" s="1"/>
      <c r="C1665" s="1"/>
      <c r="D1665" s="1"/>
      <c r="E1665" s="1"/>
      <c r="F1665" s="1"/>
      <c r="G1665" s="3"/>
      <c r="H1665" s="1"/>
    </row>
    <row r="1666" spans="1:8" ht="13.2" x14ac:dyDescent="0.25">
      <c r="A1666" s="1"/>
      <c r="B1666" s="1"/>
      <c r="C1666" s="1"/>
      <c r="D1666" s="1"/>
      <c r="E1666" s="1"/>
      <c r="F1666" s="1"/>
      <c r="G1666" s="3"/>
      <c r="H1666" s="1"/>
    </row>
    <row r="1667" spans="1:8" ht="13.2" x14ac:dyDescent="0.25">
      <c r="A1667" s="2"/>
      <c r="B1667" s="1"/>
      <c r="C1667" s="1"/>
      <c r="D1667" s="1"/>
      <c r="E1667" s="1"/>
      <c r="F1667" s="1"/>
      <c r="G1667" s="1"/>
      <c r="H1667" s="1"/>
    </row>
    <row r="1668" spans="1:8" ht="13.2" x14ac:dyDescent="0.25">
      <c r="A1668" s="2"/>
      <c r="B1668" s="1"/>
      <c r="C1668" s="1"/>
      <c r="D1668" s="1"/>
      <c r="E1668" s="1"/>
      <c r="F1668" s="1"/>
      <c r="G1668" s="1"/>
      <c r="H1668" s="1"/>
    </row>
    <row r="1669" spans="1:8" ht="13.2" x14ac:dyDescent="0.25">
      <c r="A1669" s="1"/>
      <c r="B1669" s="1"/>
      <c r="C1669" s="1"/>
      <c r="D1669" s="1"/>
      <c r="E1669" s="1"/>
      <c r="F1669" s="1"/>
      <c r="G1669" s="3"/>
      <c r="H1669" s="1"/>
    </row>
    <row r="1670" spans="1:8" ht="13.2" x14ac:dyDescent="0.25">
      <c r="A1670" s="2"/>
      <c r="B1670" s="1"/>
      <c r="C1670" s="1"/>
      <c r="D1670" s="1"/>
      <c r="E1670" s="1"/>
      <c r="F1670" s="1"/>
      <c r="G1670" s="1"/>
      <c r="H1670" s="1"/>
    </row>
    <row r="1671" spans="1:8" ht="13.2" x14ac:dyDescent="0.25">
      <c r="A1671" s="1"/>
      <c r="B1671" s="1"/>
      <c r="C1671" s="1"/>
      <c r="D1671" s="1"/>
      <c r="E1671" s="1"/>
      <c r="F1671" s="1"/>
      <c r="G1671" s="3"/>
      <c r="H1671" s="1"/>
    </row>
    <row r="1672" spans="1:8" ht="13.2" x14ac:dyDescent="0.25">
      <c r="A1672" s="2"/>
      <c r="B1672" s="1"/>
      <c r="C1672" s="1"/>
      <c r="D1672" s="1"/>
      <c r="E1672" s="1"/>
      <c r="F1672" s="1"/>
      <c r="G1672" s="3"/>
      <c r="H1672" s="1"/>
    </row>
    <row r="1673" spans="1:8" ht="13.2" x14ac:dyDescent="0.25">
      <c r="A1673" s="1"/>
      <c r="B1673" s="1"/>
      <c r="C1673" s="1"/>
      <c r="D1673" s="1"/>
      <c r="E1673" s="1"/>
      <c r="F1673" s="1"/>
      <c r="G1673" s="1"/>
      <c r="H1673" s="1"/>
    </row>
    <row r="1674" spans="1:8" ht="13.2" x14ac:dyDescent="0.25">
      <c r="A1674" s="1"/>
      <c r="B1674" s="1"/>
      <c r="C1674" s="1"/>
      <c r="D1674" s="1"/>
      <c r="E1674" s="1"/>
      <c r="F1674" s="1"/>
      <c r="G1674" s="1"/>
      <c r="H1674" s="1"/>
    </row>
    <row r="1675" spans="1:8" ht="13.2" x14ac:dyDescent="0.25">
      <c r="A1675" s="1"/>
      <c r="B1675" s="1"/>
      <c r="C1675" s="1"/>
      <c r="D1675" s="1"/>
      <c r="E1675" s="1"/>
      <c r="F1675" s="1"/>
      <c r="G1675" s="1"/>
      <c r="H1675" s="1"/>
    </row>
    <row r="1676" spans="1:8" ht="13.2" x14ac:dyDescent="0.25">
      <c r="A1676" s="1"/>
      <c r="B1676" s="1"/>
      <c r="C1676" s="1"/>
      <c r="D1676" s="1"/>
      <c r="E1676" s="1"/>
      <c r="F1676" s="1"/>
      <c r="G1676" s="1"/>
      <c r="H1676" s="1"/>
    </row>
    <row r="1677" spans="1:8" ht="13.2" x14ac:dyDescent="0.25">
      <c r="A1677" s="1"/>
      <c r="B1677" s="1"/>
      <c r="C1677" s="1"/>
      <c r="D1677" s="1"/>
      <c r="E1677" s="1"/>
      <c r="F1677" s="1"/>
      <c r="G1677" s="3"/>
      <c r="H1677" s="1"/>
    </row>
    <row r="1678" spans="1:8" ht="13.2" x14ac:dyDescent="0.25">
      <c r="A1678" s="1"/>
      <c r="B1678" s="1"/>
      <c r="C1678" s="1"/>
      <c r="D1678" s="1"/>
      <c r="E1678" s="1"/>
      <c r="F1678" s="1"/>
      <c r="G1678" s="3"/>
      <c r="H1678" s="1"/>
    </row>
    <row r="1679" spans="1:8" ht="13.2" x14ac:dyDescent="0.25">
      <c r="A1679" s="2"/>
      <c r="B1679" s="1"/>
      <c r="C1679" s="1"/>
      <c r="D1679" s="1"/>
      <c r="E1679" s="1"/>
      <c r="F1679" s="1"/>
      <c r="G1679" s="1"/>
      <c r="H1679" s="1"/>
    </row>
    <row r="1680" spans="1:8" ht="13.2" x14ac:dyDescent="0.25">
      <c r="A1680" s="1"/>
      <c r="B1680" s="1"/>
      <c r="C1680" s="1"/>
      <c r="D1680" s="1"/>
      <c r="E1680" s="1"/>
      <c r="F1680" s="1"/>
      <c r="G1680" s="1"/>
      <c r="H1680" s="1"/>
    </row>
    <row r="1681" spans="1:8" ht="13.2" x14ac:dyDescent="0.25">
      <c r="A1681" s="2"/>
      <c r="B1681" s="1"/>
      <c r="C1681" s="1"/>
      <c r="D1681" s="1"/>
      <c r="E1681" s="1"/>
      <c r="F1681" s="1"/>
      <c r="G1681" s="3"/>
      <c r="H1681" s="1"/>
    </row>
    <row r="1682" spans="1:8" ht="13.2" x14ac:dyDescent="0.25">
      <c r="A1682" s="1"/>
      <c r="B1682" s="1"/>
      <c r="C1682" s="1"/>
      <c r="D1682" s="1"/>
      <c r="E1682" s="1"/>
      <c r="F1682" s="1"/>
      <c r="G1682" s="1"/>
      <c r="H1682" s="1"/>
    </row>
    <row r="1683" spans="1:8" ht="13.2" x14ac:dyDescent="0.25">
      <c r="A1683" s="1"/>
      <c r="B1683" s="1"/>
      <c r="C1683" s="1"/>
      <c r="D1683" s="1"/>
      <c r="E1683" s="1"/>
      <c r="F1683" s="1"/>
      <c r="G1683" s="1"/>
      <c r="H1683" s="1"/>
    </row>
    <row r="1684" spans="1:8" ht="13.2" x14ac:dyDescent="0.25">
      <c r="A1684" s="1"/>
      <c r="B1684" s="1"/>
      <c r="C1684" s="1"/>
      <c r="D1684" s="1"/>
      <c r="E1684" s="1"/>
      <c r="F1684" s="1"/>
      <c r="G1684" s="3"/>
      <c r="H1684" s="1"/>
    </row>
    <row r="1685" spans="1:8" ht="13.2" x14ac:dyDescent="0.25">
      <c r="A1685" s="1"/>
      <c r="B1685" s="1"/>
      <c r="C1685" s="1"/>
      <c r="D1685" s="1"/>
      <c r="E1685" s="1"/>
      <c r="F1685" s="1"/>
      <c r="G1685" s="1"/>
      <c r="H1685" s="1"/>
    </row>
    <row r="1686" spans="1:8" ht="13.2" x14ac:dyDescent="0.25">
      <c r="A1686" s="2"/>
      <c r="B1686" s="1"/>
      <c r="C1686" s="1"/>
      <c r="D1686" s="1"/>
      <c r="E1686" s="1"/>
      <c r="F1686" s="2"/>
      <c r="G1686" s="1"/>
      <c r="H1686" s="1"/>
    </row>
    <row r="1687" spans="1:8" ht="13.2" x14ac:dyDescent="0.25">
      <c r="A1687" s="2"/>
      <c r="B1687" s="1"/>
      <c r="C1687" s="1"/>
      <c r="D1687" s="1"/>
      <c r="E1687" s="1"/>
      <c r="F1687" s="1"/>
      <c r="G1687" s="1"/>
      <c r="H1687" s="1"/>
    </row>
    <row r="1688" spans="1:8" ht="13.2" x14ac:dyDescent="0.25">
      <c r="A1688" s="2"/>
      <c r="B1688" s="1"/>
      <c r="C1688" s="1"/>
      <c r="D1688" s="1"/>
      <c r="E1688" s="1"/>
      <c r="F1688" s="1"/>
      <c r="G1688" s="1"/>
      <c r="H1688" s="1"/>
    </row>
    <row r="1689" spans="1:8" ht="13.2" x14ac:dyDescent="0.25">
      <c r="A1689" s="1"/>
      <c r="B1689" s="1"/>
      <c r="C1689" s="1"/>
      <c r="D1689" s="1"/>
      <c r="E1689" s="1"/>
      <c r="F1689" s="1"/>
      <c r="G1689" s="1"/>
      <c r="H1689" s="1"/>
    </row>
    <row r="1690" spans="1:8" ht="13.2" x14ac:dyDescent="0.25">
      <c r="A1690" s="1"/>
      <c r="B1690" s="1"/>
      <c r="C1690" s="1"/>
      <c r="D1690" s="1"/>
      <c r="E1690" s="1"/>
      <c r="F1690" s="1"/>
      <c r="G1690" s="1"/>
      <c r="H1690" s="1"/>
    </row>
    <row r="1691" spans="1:8" ht="13.2" x14ac:dyDescent="0.25">
      <c r="A1691" s="1"/>
      <c r="B1691" s="1"/>
      <c r="C1691" s="1"/>
      <c r="D1691" s="1"/>
      <c r="E1691" s="1"/>
      <c r="F1691" s="1"/>
      <c r="G1691" s="3"/>
      <c r="H1691" s="1"/>
    </row>
    <row r="1692" spans="1:8" ht="13.2" x14ac:dyDescent="0.25">
      <c r="A1692" s="2"/>
      <c r="B1692" s="1"/>
      <c r="C1692" s="1"/>
      <c r="D1692" s="1"/>
      <c r="E1692" s="1"/>
      <c r="F1692" s="1"/>
      <c r="G1692" s="1"/>
      <c r="H1692" s="1"/>
    </row>
    <row r="1693" spans="1:8" ht="13.2" x14ac:dyDescent="0.25">
      <c r="A1693" s="2"/>
      <c r="B1693" s="1"/>
      <c r="C1693" s="1"/>
      <c r="D1693" s="1"/>
      <c r="E1693" s="1"/>
      <c r="F1693" s="1"/>
      <c r="G1693" s="1"/>
      <c r="H1693" s="1"/>
    </row>
    <row r="1694" spans="1:8" ht="13.2" x14ac:dyDescent="0.25">
      <c r="A1694" s="1"/>
      <c r="B1694" s="1"/>
      <c r="C1694" s="1"/>
      <c r="D1694" s="1"/>
      <c r="E1694" s="1"/>
      <c r="F1694" s="1"/>
      <c r="G1694" s="1"/>
      <c r="H1694" s="1"/>
    </row>
    <row r="1695" spans="1:8" ht="13.2" x14ac:dyDescent="0.25">
      <c r="A1695" s="2"/>
      <c r="B1695" s="1"/>
      <c r="C1695" s="1"/>
      <c r="D1695" s="1"/>
      <c r="E1695" s="1"/>
      <c r="F1695" s="1"/>
      <c r="G1695" s="3"/>
      <c r="H1695" s="1"/>
    </row>
    <row r="1696" spans="1:8" ht="13.2" x14ac:dyDescent="0.25">
      <c r="A1696" s="1"/>
      <c r="B1696" s="1"/>
      <c r="C1696" s="1"/>
      <c r="D1696" s="1"/>
      <c r="E1696" s="1"/>
      <c r="F1696" s="1"/>
      <c r="G1696" s="1"/>
      <c r="H1696" s="1"/>
    </row>
    <row r="1697" spans="1:8" ht="13.2" x14ac:dyDescent="0.25">
      <c r="A1697" s="2"/>
      <c r="B1697" s="1"/>
      <c r="C1697" s="1"/>
      <c r="D1697" s="1"/>
      <c r="E1697" s="1"/>
      <c r="F1697" s="1"/>
      <c r="G1697" s="3"/>
      <c r="H1697" s="1"/>
    </row>
    <row r="1698" spans="1:8" ht="13.2" x14ac:dyDescent="0.25">
      <c r="A1698" s="1"/>
      <c r="B1698" s="1"/>
      <c r="C1698" s="1"/>
      <c r="D1698" s="1"/>
      <c r="E1698" s="1"/>
      <c r="F1698" s="1"/>
      <c r="G1698" s="1"/>
      <c r="H1698" s="1"/>
    </row>
    <row r="1699" spans="1:8" ht="13.2" x14ac:dyDescent="0.25">
      <c r="A1699" s="2"/>
      <c r="B1699" s="1"/>
      <c r="C1699" s="1"/>
      <c r="D1699" s="1"/>
      <c r="E1699" s="1"/>
      <c r="F1699" s="1"/>
      <c r="G1699" s="3"/>
      <c r="H1699" s="1"/>
    </row>
    <row r="1700" spans="1:8" ht="13.2" x14ac:dyDescent="0.25">
      <c r="A1700" s="2"/>
      <c r="B1700" s="1"/>
      <c r="C1700" s="1"/>
      <c r="D1700" s="1"/>
      <c r="E1700" s="1"/>
      <c r="F1700" s="1"/>
      <c r="G1700" s="1"/>
      <c r="H1700" s="1"/>
    </row>
    <row r="1701" spans="1:8" ht="13.2" x14ac:dyDescent="0.25">
      <c r="A1701" s="1"/>
      <c r="B1701" s="1"/>
      <c r="C1701" s="1"/>
      <c r="D1701" s="1"/>
      <c r="E1701" s="1"/>
      <c r="F1701" s="1"/>
      <c r="G1701" s="3"/>
      <c r="H1701" s="1"/>
    </row>
    <row r="1702" spans="1:8" ht="13.2" x14ac:dyDescent="0.25">
      <c r="A1702" s="2"/>
      <c r="B1702" s="1"/>
      <c r="C1702" s="1"/>
      <c r="D1702" s="1"/>
      <c r="E1702" s="1"/>
      <c r="F1702" s="1"/>
      <c r="G1702" s="3"/>
      <c r="H1702" s="1"/>
    </row>
    <row r="1703" spans="1:8" ht="13.2" x14ac:dyDescent="0.25">
      <c r="A1703" s="2"/>
      <c r="B1703" s="1"/>
      <c r="C1703" s="1"/>
      <c r="D1703" s="1"/>
      <c r="E1703" s="1"/>
      <c r="F1703" s="1"/>
      <c r="G1703" s="3"/>
      <c r="H1703" s="1"/>
    </row>
    <row r="1704" spans="1:8" ht="13.2" x14ac:dyDescent="0.25">
      <c r="A1704" s="1"/>
      <c r="B1704" s="1"/>
      <c r="C1704" s="1"/>
      <c r="D1704" s="1"/>
      <c r="E1704" s="1"/>
      <c r="F1704" s="1"/>
      <c r="G1704" s="1"/>
      <c r="H1704" s="1"/>
    </row>
    <row r="1705" spans="1:8" ht="13.2" x14ac:dyDescent="0.25">
      <c r="A1705" s="1"/>
      <c r="B1705" s="1"/>
      <c r="C1705" s="1"/>
      <c r="D1705" s="1"/>
      <c r="E1705" s="1"/>
      <c r="F1705" s="1"/>
      <c r="G1705" s="3"/>
      <c r="H1705" s="1"/>
    </row>
    <row r="1706" spans="1:8" ht="13.2" x14ac:dyDescent="0.25">
      <c r="A1706" s="2"/>
      <c r="B1706" s="1"/>
      <c r="C1706" s="1"/>
      <c r="D1706" s="1"/>
      <c r="E1706" s="1"/>
      <c r="F1706" s="1"/>
      <c r="G1706" s="1"/>
      <c r="H1706" s="1"/>
    </row>
    <row r="1707" spans="1:8" ht="13.2" x14ac:dyDescent="0.25">
      <c r="A1707" s="1"/>
      <c r="B1707" s="1"/>
      <c r="C1707" s="1"/>
      <c r="D1707" s="1"/>
      <c r="E1707" s="1"/>
      <c r="F1707" s="1"/>
      <c r="G1707" s="3"/>
      <c r="H1707" s="1"/>
    </row>
    <row r="1708" spans="1:8" ht="13.2" x14ac:dyDescent="0.25">
      <c r="A1708" s="1"/>
      <c r="B1708" s="1"/>
      <c r="C1708" s="1"/>
      <c r="D1708" s="1"/>
      <c r="E1708" s="1"/>
      <c r="F1708" s="1"/>
      <c r="G1708" s="3"/>
      <c r="H1708" s="1"/>
    </row>
    <row r="1709" spans="1:8" ht="13.2" x14ac:dyDescent="0.25">
      <c r="A1709" s="1"/>
      <c r="B1709" s="1"/>
      <c r="C1709" s="1"/>
      <c r="D1709" s="1"/>
      <c r="E1709" s="1"/>
      <c r="F1709" s="1"/>
      <c r="G1709" s="3"/>
      <c r="H1709" s="1"/>
    </row>
    <row r="1710" spans="1:8" ht="13.2" x14ac:dyDescent="0.25">
      <c r="A1710" s="1"/>
      <c r="B1710" s="1"/>
      <c r="C1710" s="1"/>
      <c r="D1710" s="1"/>
      <c r="E1710" s="1"/>
      <c r="F1710" s="1"/>
      <c r="G1710" s="1"/>
      <c r="H1710" s="1"/>
    </row>
    <row r="1711" spans="1:8" ht="13.2" x14ac:dyDescent="0.25">
      <c r="A1711" s="2"/>
      <c r="B1711" s="1"/>
      <c r="C1711" s="1"/>
      <c r="D1711" s="1"/>
      <c r="E1711" s="1"/>
      <c r="F1711" s="1"/>
      <c r="G1711" s="1"/>
      <c r="H1711" s="1"/>
    </row>
    <row r="1712" spans="1:8" ht="13.2" x14ac:dyDescent="0.25">
      <c r="A1712" s="1"/>
      <c r="B1712" s="1"/>
      <c r="C1712" s="1"/>
      <c r="D1712" s="1"/>
      <c r="E1712" s="1"/>
      <c r="F1712" s="1"/>
      <c r="G1712" s="1"/>
      <c r="H1712" s="1"/>
    </row>
    <row r="1713" spans="1:8" ht="13.2" x14ac:dyDescent="0.25">
      <c r="A1713" s="1"/>
      <c r="B1713" s="1"/>
      <c r="C1713" s="1"/>
      <c r="D1713" s="1"/>
      <c r="E1713" s="1"/>
      <c r="F1713" s="1"/>
      <c r="G1713" s="3"/>
      <c r="H1713" s="1"/>
    </row>
    <row r="1714" spans="1:8" ht="13.2" x14ac:dyDescent="0.25">
      <c r="A1714" s="1"/>
      <c r="B1714" s="1"/>
      <c r="C1714" s="1"/>
      <c r="D1714" s="1"/>
      <c r="E1714" s="1"/>
      <c r="F1714" s="1"/>
      <c r="G1714" s="1"/>
      <c r="H1714" s="1"/>
    </row>
    <row r="1715" spans="1:8" ht="13.2" x14ac:dyDescent="0.25">
      <c r="A1715" s="1"/>
      <c r="B1715" s="1"/>
      <c r="C1715" s="1"/>
      <c r="D1715" s="1"/>
      <c r="E1715" s="1"/>
      <c r="F1715" s="1"/>
      <c r="G1715" s="3"/>
      <c r="H1715" s="1"/>
    </row>
    <row r="1716" spans="1:8" ht="13.2" x14ac:dyDescent="0.25">
      <c r="A1716" s="1"/>
      <c r="B1716" s="1"/>
      <c r="C1716" s="1"/>
      <c r="D1716" s="1"/>
      <c r="E1716" s="1"/>
      <c r="F1716" s="1"/>
      <c r="G1716" s="1"/>
      <c r="H1716" s="1"/>
    </row>
    <row r="1717" spans="1:8" ht="13.2" x14ac:dyDescent="0.25">
      <c r="A1717" s="1"/>
      <c r="B1717" s="1"/>
      <c r="C1717" s="1"/>
      <c r="D1717" s="1"/>
      <c r="E1717" s="1"/>
      <c r="F1717" s="1"/>
      <c r="G1717" s="1"/>
      <c r="H1717" s="1"/>
    </row>
    <row r="1718" spans="1:8" ht="13.2" x14ac:dyDescent="0.25">
      <c r="A1718" s="1"/>
      <c r="B1718" s="1"/>
      <c r="C1718" s="1"/>
      <c r="D1718" s="1"/>
      <c r="E1718" s="1"/>
      <c r="F1718" s="1"/>
      <c r="G1718" s="1"/>
      <c r="H1718" s="1"/>
    </row>
    <row r="1719" spans="1:8" ht="13.2" x14ac:dyDescent="0.25">
      <c r="A1719" s="1"/>
      <c r="B1719" s="1"/>
      <c r="C1719" s="1"/>
      <c r="D1719" s="1"/>
      <c r="E1719" s="1"/>
      <c r="F1719" s="1"/>
      <c r="G1719" s="3"/>
      <c r="H1719" s="1"/>
    </row>
    <row r="1720" spans="1:8" ht="13.2" x14ac:dyDescent="0.25">
      <c r="A1720" s="1"/>
      <c r="B1720" s="1"/>
      <c r="C1720" s="1"/>
      <c r="D1720" s="1"/>
      <c r="E1720" s="1"/>
      <c r="F1720" s="1"/>
      <c r="G1720" s="3"/>
      <c r="H1720" s="1"/>
    </row>
    <row r="1721" spans="1:8" ht="13.2" x14ac:dyDescent="0.25">
      <c r="A1721" s="1"/>
      <c r="B1721" s="1"/>
      <c r="C1721" s="1"/>
      <c r="D1721" s="1"/>
      <c r="E1721" s="1"/>
      <c r="F1721" s="1"/>
      <c r="G1721" s="3"/>
      <c r="H1721" s="1"/>
    </row>
    <row r="1722" spans="1:8" ht="13.2" x14ac:dyDescent="0.25">
      <c r="A1722" s="1"/>
      <c r="B1722" s="1"/>
      <c r="C1722" s="1"/>
      <c r="D1722" s="1"/>
      <c r="E1722" s="1"/>
      <c r="F1722" s="1"/>
      <c r="G1722" s="1"/>
      <c r="H1722" s="1"/>
    </row>
    <row r="1723" spans="1:8" ht="13.2" x14ac:dyDescent="0.25">
      <c r="A1723" s="1"/>
      <c r="B1723" s="1"/>
      <c r="C1723" s="1"/>
      <c r="D1723" s="1"/>
      <c r="E1723" s="1"/>
      <c r="F1723" s="1"/>
      <c r="G1723" s="1"/>
      <c r="H1723" s="1"/>
    </row>
    <row r="1724" spans="1:8" ht="13.2" x14ac:dyDescent="0.25">
      <c r="A1724" s="1"/>
      <c r="B1724" s="1"/>
      <c r="C1724" s="1"/>
      <c r="D1724" s="1"/>
      <c r="E1724" s="1"/>
      <c r="F1724" s="1"/>
      <c r="G1724" s="1"/>
      <c r="H1724" s="1"/>
    </row>
    <row r="1725" spans="1:8" ht="13.2" x14ac:dyDescent="0.25">
      <c r="A1725" s="1"/>
      <c r="B1725" s="1"/>
      <c r="C1725" s="1"/>
      <c r="D1725" s="1"/>
      <c r="E1725" s="1"/>
      <c r="F1725" s="1"/>
      <c r="G1725" s="3"/>
      <c r="H1725" s="1"/>
    </row>
    <row r="1726" spans="1:8" ht="13.2" x14ac:dyDescent="0.25">
      <c r="A1726" s="1"/>
      <c r="B1726" s="1"/>
      <c r="C1726" s="1"/>
      <c r="D1726" s="1"/>
      <c r="E1726" s="1"/>
      <c r="F1726" s="1"/>
      <c r="G1726" s="1"/>
      <c r="H1726" s="1"/>
    </row>
    <row r="1727" spans="1:8" ht="13.2" x14ac:dyDescent="0.25">
      <c r="A1727" s="1"/>
      <c r="B1727" s="1"/>
      <c r="C1727" s="1"/>
      <c r="D1727" s="1"/>
      <c r="E1727" s="1"/>
      <c r="F1727" s="1"/>
      <c r="G1727" s="1"/>
      <c r="H1727" s="1"/>
    </row>
    <row r="1728" spans="1:8" ht="13.2" x14ac:dyDescent="0.25">
      <c r="A1728" s="2"/>
      <c r="B1728" s="1"/>
      <c r="C1728" s="1"/>
      <c r="D1728" s="1"/>
      <c r="E1728" s="1"/>
      <c r="F1728" s="1"/>
      <c r="G1728" s="3"/>
      <c r="H1728" s="1"/>
    </row>
    <row r="1729" spans="1:8" ht="13.2" x14ac:dyDescent="0.25">
      <c r="A1729" s="1"/>
      <c r="B1729" s="1"/>
      <c r="C1729" s="1"/>
      <c r="D1729" s="1"/>
      <c r="E1729" s="1"/>
      <c r="F1729" s="1"/>
      <c r="G1729" s="1"/>
      <c r="H1729" s="1"/>
    </row>
    <row r="1730" spans="1:8" ht="13.2" x14ac:dyDescent="0.25">
      <c r="A1730" s="1"/>
      <c r="B1730" s="1"/>
      <c r="C1730" s="1"/>
      <c r="D1730" s="1"/>
      <c r="E1730" s="1"/>
      <c r="F1730" s="1"/>
      <c r="G1730" s="1"/>
      <c r="H1730" s="1"/>
    </row>
    <row r="1731" spans="1:8" ht="13.2" x14ac:dyDescent="0.25">
      <c r="A1731" s="1"/>
      <c r="B1731" s="1"/>
      <c r="C1731" s="1"/>
      <c r="D1731" s="1"/>
      <c r="E1731" s="1"/>
      <c r="F1731" s="1"/>
      <c r="G1731" s="1"/>
      <c r="H1731" s="1"/>
    </row>
    <row r="1732" spans="1:8" ht="13.2" x14ac:dyDescent="0.25">
      <c r="A1732" s="2"/>
      <c r="B1732" s="1"/>
      <c r="C1732" s="1"/>
      <c r="D1732" s="1"/>
      <c r="E1732" s="1"/>
      <c r="F1732" s="1"/>
      <c r="G1732" s="3"/>
      <c r="H1732" s="1"/>
    </row>
    <row r="1733" spans="1:8" ht="13.2" x14ac:dyDescent="0.25">
      <c r="A1733" s="1"/>
      <c r="B1733" s="1"/>
      <c r="C1733" s="1"/>
      <c r="D1733" s="1"/>
      <c r="E1733" s="1"/>
      <c r="F1733" s="1"/>
      <c r="G1733" s="1"/>
      <c r="H1733" s="1"/>
    </row>
    <row r="1734" spans="1:8" ht="13.2" x14ac:dyDescent="0.25">
      <c r="A1734" s="1"/>
      <c r="B1734" s="1"/>
      <c r="C1734" s="1"/>
      <c r="D1734" s="1"/>
      <c r="E1734" s="1"/>
      <c r="F1734" s="1"/>
      <c r="G1734" s="1"/>
      <c r="H1734" s="1"/>
    </row>
    <row r="1735" spans="1:8" ht="13.2" x14ac:dyDescent="0.25">
      <c r="A1735" s="1"/>
      <c r="B1735" s="1"/>
      <c r="C1735" s="1"/>
      <c r="D1735" s="1"/>
      <c r="E1735" s="1"/>
      <c r="F1735" s="1"/>
      <c r="G1735" s="1"/>
      <c r="H1735" s="1"/>
    </row>
    <row r="1736" spans="1:8" ht="13.2" x14ac:dyDescent="0.25">
      <c r="A1736" s="1"/>
      <c r="B1736" s="1"/>
      <c r="C1736" s="1"/>
      <c r="D1736" s="1"/>
      <c r="E1736" s="1"/>
      <c r="F1736" s="1"/>
      <c r="G1736" s="1"/>
      <c r="H1736" s="1"/>
    </row>
    <row r="1737" spans="1:8" ht="13.2" x14ac:dyDescent="0.25">
      <c r="A1737" s="1"/>
      <c r="B1737" s="1"/>
      <c r="C1737" s="1"/>
      <c r="D1737" s="1"/>
      <c r="E1737" s="1"/>
      <c r="F1737" s="1"/>
      <c r="G1737" s="1"/>
      <c r="H1737" s="1"/>
    </row>
    <row r="1738" spans="1:8" ht="13.2" x14ac:dyDescent="0.25">
      <c r="A1738" s="1"/>
      <c r="B1738" s="1"/>
      <c r="C1738" s="1"/>
      <c r="D1738" s="1"/>
      <c r="E1738" s="1"/>
      <c r="F1738" s="1"/>
      <c r="G1738" s="1"/>
      <c r="H1738" s="1"/>
    </row>
    <row r="1739" spans="1:8" ht="13.2" x14ac:dyDescent="0.25">
      <c r="A1739" s="2"/>
      <c r="B1739" s="1"/>
      <c r="C1739" s="1"/>
      <c r="D1739" s="1"/>
      <c r="E1739" s="1"/>
      <c r="F1739" s="1"/>
      <c r="G1739" s="1"/>
      <c r="H1739" s="1"/>
    </row>
    <row r="1740" spans="1:8" ht="13.2" x14ac:dyDescent="0.25">
      <c r="A1740" s="2"/>
      <c r="B1740" s="1"/>
      <c r="C1740" s="1"/>
      <c r="D1740" s="1"/>
      <c r="E1740" s="1"/>
      <c r="F1740" s="1"/>
      <c r="G1740" s="1"/>
      <c r="H1740" s="1"/>
    </row>
    <row r="1741" spans="1:8" ht="13.2" x14ac:dyDescent="0.25">
      <c r="A1741" s="1"/>
      <c r="B1741" s="1"/>
      <c r="C1741" s="1"/>
      <c r="D1741" s="1"/>
      <c r="E1741" s="1"/>
      <c r="F1741" s="1"/>
      <c r="G1741" s="3"/>
      <c r="H1741" s="1"/>
    </row>
    <row r="1742" spans="1:8" ht="13.2" x14ac:dyDescent="0.25">
      <c r="A1742" s="1"/>
      <c r="B1742" s="1"/>
      <c r="C1742" s="1"/>
      <c r="D1742" s="1"/>
      <c r="E1742" s="1"/>
      <c r="F1742" s="1"/>
      <c r="G1742" s="3"/>
      <c r="H1742" s="1"/>
    </row>
    <row r="1743" spans="1:8" ht="13.2" x14ac:dyDescent="0.25">
      <c r="A1743" s="2"/>
      <c r="B1743" s="1"/>
      <c r="C1743" s="1"/>
      <c r="D1743" s="1"/>
      <c r="E1743" s="1"/>
      <c r="F1743" s="1"/>
      <c r="G1743" s="3"/>
      <c r="H1743" s="1"/>
    </row>
    <row r="1744" spans="1:8" ht="13.2" x14ac:dyDescent="0.25">
      <c r="A1744" s="1"/>
      <c r="B1744" s="1"/>
      <c r="C1744" s="1"/>
      <c r="D1744" s="1"/>
      <c r="E1744" s="1"/>
      <c r="F1744" s="1"/>
      <c r="G1744" s="1"/>
      <c r="H1744" s="1"/>
    </row>
    <row r="1745" spans="1:8" ht="13.2" x14ac:dyDescent="0.25">
      <c r="A1745" s="1"/>
      <c r="B1745" s="1"/>
      <c r="C1745" s="1"/>
      <c r="D1745" s="1"/>
      <c r="E1745" s="1"/>
      <c r="F1745" s="1"/>
      <c r="G1745" s="1"/>
      <c r="H1745" s="1"/>
    </row>
    <row r="1746" spans="1:8" ht="13.2" x14ac:dyDescent="0.25">
      <c r="A1746" s="1"/>
      <c r="B1746" s="1"/>
      <c r="C1746" s="1"/>
      <c r="D1746" s="1"/>
      <c r="E1746" s="1"/>
      <c r="F1746" s="1"/>
      <c r="G1746" s="1"/>
      <c r="H1746" s="1"/>
    </row>
    <row r="1747" spans="1:8" ht="13.2" x14ac:dyDescent="0.25">
      <c r="A1747" s="2"/>
      <c r="B1747" s="1"/>
      <c r="C1747" s="1"/>
      <c r="D1747" s="1"/>
      <c r="E1747" s="1"/>
      <c r="F1747" s="1"/>
      <c r="G1747" s="1"/>
      <c r="H1747" s="1"/>
    </row>
    <row r="1748" spans="1:8" ht="13.2" x14ac:dyDescent="0.25">
      <c r="A1748" s="2"/>
      <c r="B1748" s="1"/>
      <c r="C1748" s="1"/>
      <c r="D1748" s="1"/>
      <c r="E1748" s="1"/>
      <c r="F1748" s="1"/>
      <c r="G1748" s="3"/>
      <c r="H1748" s="1"/>
    </row>
    <row r="1749" spans="1:8" ht="13.2" x14ac:dyDescent="0.25">
      <c r="A1749" s="1"/>
      <c r="B1749" s="1"/>
      <c r="C1749" s="1"/>
      <c r="D1749" s="1"/>
      <c r="E1749" s="1"/>
      <c r="F1749" s="1"/>
      <c r="G1749" s="1"/>
      <c r="H1749" s="1"/>
    </row>
    <row r="1750" spans="1:8" ht="13.2" x14ac:dyDescent="0.25">
      <c r="A1750" s="2"/>
      <c r="B1750" s="1"/>
      <c r="C1750" s="1"/>
      <c r="D1750" s="1"/>
      <c r="E1750" s="1"/>
      <c r="F1750" s="1"/>
      <c r="G1750" s="1"/>
      <c r="H1750" s="1"/>
    </row>
    <row r="1751" spans="1:8" ht="13.2" x14ac:dyDescent="0.25">
      <c r="A1751" s="1"/>
      <c r="B1751" s="1"/>
      <c r="C1751" s="1"/>
      <c r="D1751" s="1"/>
      <c r="E1751" s="1"/>
      <c r="F1751" s="1"/>
      <c r="G1751" s="1"/>
      <c r="H1751" s="1"/>
    </row>
    <row r="1752" spans="1:8" ht="13.2" x14ac:dyDescent="0.25">
      <c r="A1752" s="1"/>
      <c r="B1752" s="1"/>
      <c r="C1752" s="1"/>
      <c r="D1752" s="1"/>
      <c r="E1752" s="1"/>
      <c r="F1752" s="1"/>
      <c r="G1752" s="1"/>
      <c r="H1752" s="1"/>
    </row>
    <row r="1753" spans="1:8" ht="13.2" x14ac:dyDescent="0.25">
      <c r="A1753" s="1"/>
      <c r="B1753" s="1"/>
      <c r="C1753" s="1"/>
      <c r="D1753" s="1"/>
      <c r="E1753" s="1"/>
      <c r="F1753" s="1"/>
      <c r="G1753" s="1"/>
      <c r="H1753" s="1"/>
    </row>
    <row r="1754" spans="1:8" ht="13.2" x14ac:dyDescent="0.25">
      <c r="A1754" s="1"/>
      <c r="B1754" s="1"/>
      <c r="C1754" s="1"/>
      <c r="D1754" s="1"/>
      <c r="E1754" s="1"/>
      <c r="F1754" s="1"/>
      <c r="G1754" s="3"/>
      <c r="H1754" s="1"/>
    </row>
    <row r="1755" spans="1:8" ht="13.2" x14ac:dyDescent="0.25">
      <c r="A1755" s="1"/>
      <c r="B1755" s="1"/>
      <c r="C1755" s="1"/>
      <c r="D1755" s="1"/>
      <c r="E1755" s="1"/>
      <c r="F1755" s="1"/>
      <c r="G1755" s="1"/>
      <c r="H1755" s="1"/>
    </row>
    <row r="1756" spans="1:8" ht="13.2" x14ac:dyDescent="0.25">
      <c r="A1756" s="1"/>
      <c r="B1756" s="1"/>
      <c r="C1756" s="1"/>
      <c r="D1756" s="1"/>
      <c r="E1756" s="1"/>
      <c r="F1756" s="1"/>
      <c r="G1756" s="1"/>
      <c r="H1756" s="1"/>
    </row>
    <row r="1757" spans="1:8" ht="13.2" x14ac:dyDescent="0.25">
      <c r="A1757" s="1"/>
      <c r="B1757" s="1"/>
      <c r="C1757" s="1"/>
      <c r="D1757" s="1"/>
      <c r="E1757" s="1"/>
      <c r="F1757" s="1"/>
      <c r="G1757" s="3"/>
      <c r="H1757" s="1"/>
    </row>
    <row r="1758" spans="1:8" ht="13.2" x14ac:dyDescent="0.25">
      <c r="A1758" s="1"/>
      <c r="B1758" s="1"/>
      <c r="C1758" s="1"/>
      <c r="D1758" s="1"/>
      <c r="E1758" s="1"/>
      <c r="F1758" s="1"/>
      <c r="G1758" s="1"/>
      <c r="H1758" s="1"/>
    </row>
    <row r="1759" spans="1:8" ht="13.2" x14ac:dyDescent="0.25">
      <c r="A1759" s="1"/>
      <c r="B1759" s="1"/>
      <c r="C1759" s="1"/>
      <c r="D1759" s="1"/>
      <c r="E1759" s="1"/>
      <c r="F1759" s="1"/>
      <c r="G1759" s="3"/>
      <c r="H1759" s="1"/>
    </row>
    <row r="1760" spans="1:8" ht="13.2" x14ac:dyDescent="0.25">
      <c r="A1760" s="1"/>
      <c r="B1760" s="1"/>
      <c r="C1760" s="1"/>
      <c r="D1760" s="1"/>
      <c r="E1760" s="1"/>
      <c r="F1760" s="1"/>
      <c r="G1760" s="3"/>
      <c r="H1760" s="1"/>
    </row>
    <row r="1761" spans="1:8" ht="13.2" x14ac:dyDescent="0.25">
      <c r="A1761" s="1"/>
      <c r="B1761" s="1"/>
      <c r="C1761" s="1"/>
      <c r="D1761" s="1"/>
      <c r="E1761" s="1"/>
      <c r="F1761" s="1"/>
      <c r="G1761" s="1"/>
      <c r="H1761" s="1"/>
    </row>
    <row r="1762" spans="1:8" ht="13.2" x14ac:dyDescent="0.25">
      <c r="A1762" s="1"/>
      <c r="B1762" s="1"/>
      <c r="C1762" s="1"/>
      <c r="D1762" s="1"/>
      <c r="E1762" s="1"/>
      <c r="F1762" s="1"/>
      <c r="G1762" s="1"/>
      <c r="H1762" s="1"/>
    </row>
    <row r="1763" spans="1:8" ht="13.2" x14ac:dyDescent="0.25">
      <c r="A1763" s="1"/>
      <c r="B1763" s="1"/>
      <c r="C1763" s="1"/>
      <c r="D1763" s="1"/>
      <c r="E1763" s="1"/>
      <c r="F1763" s="1"/>
      <c r="G1763" s="1"/>
      <c r="H1763" s="1"/>
    </row>
    <row r="1764" spans="1:8" ht="13.2" x14ac:dyDescent="0.25">
      <c r="A1764" s="1"/>
      <c r="B1764" s="1"/>
      <c r="C1764" s="1"/>
      <c r="D1764" s="1"/>
      <c r="E1764" s="1"/>
      <c r="F1764" s="1"/>
      <c r="G1764" s="1"/>
      <c r="H1764" s="1"/>
    </row>
    <row r="1765" spans="1:8" ht="13.2" x14ac:dyDescent="0.25">
      <c r="A1765" s="1"/>
      <c r="B1765" s="1"/>
      <c r="C1765" s="1"/>
      <c r="D1765" s="1"/>
      <c r="E1765" s="1"/>
      <c r="F1765" s="1"/>
      <c r="G1765" s="3"/>
      <c r="H1765" s="1"/>
    </row>
    <row r="1766" spans="1:8" ht="13.2" x14ac:dyDescent="0.25">
      <c r="A1766" s="2"/>
      <c r="B1766" s="1"/>
      <c r="C1766" s="1"/>
      <c r="D1766" s="1"/>
      <c r="E1766" s="1"/>
      <c r="F1766" s="1"/>
      <c r="G1766" s="3"/>
      <c r="H1766" s="1"/>
    </row>
    <row r="1767" spans="1:8" ht="13.2" x14ac:dyDescent="0.25">
      <c r="A1767" s="1"/>
      <c r="B1767" s="1"/>
      <c r="C1767" s="1"/>
      <c r="D1767" s="1"/>
      <c r="E1767" s="1"/>
      <c r="F1767" s="1"/>
      <c r="G1767" s="3"/>
      <c r="H1767" s="1"/>
    </row>
    <row r="1768" spans="1:8" ht="13.2" x14ac:dyDescent="0.25">
      <c r="A1768" s="2"/>
      <c r="B1768" s="1"/>
      <c r="C1768" s="1"/>
      <c r="D1768" s="1"/>
      <c r="E1768" s="1"/>
      <c r="F1768" s="1"/>
      <c r="G1768" s="3"/>
      <c r="H1768" s="1"/>
    </row>
    <row r="1769" spans="1:8" ht="13.2" x14ac:dyDescent="0.25">
      <c r="A1769" s="1"/>
      <c r="B1769" s="1"/>
      <c r="C1769" s="1"/>
      <c r="D1769" s="1"/>
      <c r="E1769" s="1"/>
      <c r="F1769" s="1"/>
      <c r="G1769" s="1"/>
      <c r="H1769" s="1"/>
    </row>
    <row r="1770" spans="1:8" ht="13.2" x14ac:dyDescent="0.25">
      <c r="A1770" s="2"/>
      <c r="B1770" s="1"/>
      <c r="C1770" s="1"/>
      <c r="D1770" s="1"/>
      <c r="E1770" s="1"/>
      <c r="F1770" s="1"/>
      <c r="G1770" s="1"/>
      <c r="H1770" s="1"/>
    </row>
    <row r="1771" spans="1:8" ht="13.2" x14ac:dyDescent="0.25">
      <c r="A1771" s="1"/>
      <c r="B1771" s="1"/>
      <c r="C1771" s="1"/>
      <c r="D1771" s="1"/>
      <c r="E1771" s="1"/>
      <c r="F1771" s="1"/>
      <c r="G1771" s="3"/>
      <c r="H1771" s="1"/>
    </row>
    <row r="1772" spans="1:8" ht="13.2" x14ac:dyDescent="0.25">
      <c r="A1772" s="1"/>
      <c r="B1772" s="1"/>
      <c r="C1772" s="1"/>
      <c r="D1772" s="1"/>
      <c r="E1772" s="1"/>
      <c r="F1772" s="1"/>
      <c r="G1772" s="1"/>
      <c r="H1772" s="1"/>
    </row>
    <row r="1773" spans="1:8" ht="13.2" x14ac:dyDescent="0.25">
      <c r="A1773" s="1"/>
      <c r="B1773" s="1"/>
      <c r="C1773" s="1"/>
      <c r="D1773" s="1"/>
      <c r="E1773" s="1"/>
      <c r="F1773" s="1"/>
      <c r="G1773" s="3"/>
      <c r="H1773" s="1"/>
    </row>
    <row r="1774" spans="1:8" ht="13.2" x14ac:dyDescent="0.25">
      <c r="A1774" s="1"/>
      <c r="B1774" s="1"/>
      <c r="C1774" s="1"/>
      <c r="D1774" s="1"/>
      <c r="E1774" s="1"/>
      <c r="F1774" s="1"/>
      <c r="G1774" s="1"/>
      <c r="H1774" s="1"/>
    </row>
    <row r="1775" spans="1:8" ht="13.2" x14ac:dyDescent="0.25">
      <c r="A1775" s="1"/>
      <c r="B1775" s="1"/>
      <c r="C1775" s="1"/>
      <c r="D1775" s="1"/>
      <c r="E1775" s="1"/>
      <c r="F1775" s="1"/>
      <c r="G1775" s="1"/>
      <c r="H1775" s="1"/>
    </row>
    <row r="1776" spans="1:8" ht="13.2" x14ac:dyDescent="0.25">
      <c r="A1776" s="2"/>
      <c r="B1776" s="1"/>
      <c r="C1776" s="1"/>
      <c r="D1776" s="1"/>
      <c r="E1776" s="1"/>
      <c r="F1776" s="1"/>
      <c r="G1776" s="1"/>
      <c r="H1776" s="1"/>
    </row>
    <row r="1777" spans="1:8" ht="13.2" x14ac:dyDescent="0.25">
      <c r="A1777" s="1"/>
      <c r="B1777" s="1"/>
      <c r="C1777" s="1"/>
      <c r="D1777" s="1"/>
      <c r="E1777" s="1"/>
      <c r="F1777" s="1"/>
      <c r="G1777" s="3"/>
      <c r="H1777" s="1"/>
    </row>
    <row r="1778" spans="1:8" ht="13.2" x14ac:dyDescent="0.25">
      <c r="A1778" s="1"/>
      <c r="B1778" s="1"/>
      <c r="C1778" s="1"/>
      <c r="D1778" s="1"/>
      <c r="E1778" s="1"/>
      <c r="F1778" s="1"/>
      <c r="G1778" s="3"/>
      <c r="H1778" s="1"/>
    </row>
    <row r="1779" spans="1:8" ht="13.2" x14ac:dyDescent="0.25">
      <c r="A1779" s="1"/>
      <c r="B1779" s="1"/>
      <c r="C1779" s="1"/>
      <c r="D1779" s="1"/>
      <c r="E1779" s="1"/>
      <c r="F1779" s="1"/>
      <c r="G1779" s="3"/>
      <c r="H1779" s="1"/>
    </row>
    <row r="1780" spans="1:8" ht="13.2" x14ac:dyDescent="0.25">
      <c r="A1780" s="1"/>
      <c r="B1780" s="1"/>
      <c r="C1780" s="1"/>
      <c r="D1780" s="1"/>
      <c r="E1780" s="1"/>
      <c r="F1780" s="1"/>
      <c r="G1780" s="3"/>
      <c r="H1780" s="1"/>
    </row>
    <row r="1781" spans="1:8" ht="13.2" x14ac:dyDescent="0.25">
      <c r="A1781" s="1"/>
      <c r="B1781" s="1"/>
      <c r="C1781" s="1"/>
      <c r="D1781" s="1"/>
      <c r="E1781" s="1"/>
      <c r="F1781" s="1"/>
      <c r="G1781" s="1"/>
      <c r="H1781" s="1"/>
    </row>
    <row r="1782" spans="1:8" ht="13.2" x14ac:dyDescent="0.25">
      <c r="A1782" s="1"/>
      <c r="B1782" s="1"/>
      <c r="C1782" s="1"/>
      <c r="D1782" s="1"/>
      <c r="E1782" s="1"/>
      <c r="F1782" s="1"/>
      <c r="G1782" s="1"/>
      <c r="H1782" s="1"/>
    </row>
    <row r="1783" spans="1:8" ht="13.2" x14ac:dyDescent="0.25">
      <c r="A1783" s="1"/>
      <c r="B1783" s="1"/>
      <c r="C1783" s="1"/>
      <c r="D1783" s="1"/>
      <c r="E1783" s="1"/>
      <c r="F1783" s="1"/>
      <c r="G1783" s="1"/>
      <c r="H1783" s="1"/>
    </row>
    <row r="1784" spans="1:8" ht="13.2" x14ac:dyDescent="0.25">
      <c r="A1784" s="1"/>
      <c r="B1784" s="1"/>
      <c r="C1784" s="1"/>
      <c r="D1784" s="1"/>
      <c r="E1784" s="1"/>
      <c r="F1784" s="1"/>
      <c r="G1784" s="1"/>
      <c r="H1784" s="1"/>
    </row>
    <row r="1785" spans="1:8" ht="13.2" x14ac:dyDescent="0.25">
      <c r="A1785" s="1"/>
      <c r="B1785" s="1"/>
      <c r="C1785" s="1"/>
      <c r="D1785" s="1"/>
      <c r="E1785" s="1"/>
      <c r="F1785" s="1"/>
      <c r="G1785" s="1"/>
      <c r="H1785" s="1"/>
    </row>
    <row r="1786" spans="1:8" ht="13.2" x14ac:dyDescent="0.25">
      <c r="A1786" s="1"/>
      <c r="B1786" s="1"/>
      <c r="C1786" s="1"/>
      <c r="D1786" s="1"/>
      <c r="E1786" s="1"/>
      <c r="F1786" s="1"/>
      <c r="G1786" s="1"/>
      <c r="H1786" s="1"/>
    </row>
    <row r="1787" spans="1:8" ht="13.2" x14ac:dyDescent="0.25">
      <c r="A1787" s="1"/>
      <c r="B1787" s="1"/>
      <c r="C1787" s="1"/>
      <c r="D1787" s="1"/>
      <c r="E1787" s="1"/>
      <c r="F1787" s="1"/>
      <c r="G1787" s="3"/>
      <c r="H1787" s="1"/>
    </row>
    <row r="1788" spans="1:8" ht="13.2" x14ac:dyDescent="0.25">
      <c r="A1788" s="2"/>
      <c r="B1788" s="1"/>
      <c r="C1788" s="1"/>
      <c r="D1788" s="1"/>
      <c r="E1788" s="1"/>
      <c r="F1788" s="1"/>
      <c r="G1788" s="3"/>
      <c r="H1788" s="1"/>
    </row>
    <row r="1789" spans="1:8" ht="13.2" x14ac:dyDescent="0.25">
      <c r="A1789" s="2"/>
      <c r="B1789" s="1"/>
      <c r="C1789" s="1"/>
      <c r="D1789" s="1"/>
      <c r="E1789" s="1"/>
      <c r="F1789" s="1"/>
      <c r="G1789" s="3"/>
      <c r="H1789" s="1"/>
    </row>
    <row r="1790" spans="1:8" ht="13.2" x14ac:dyDescent="0.25">
      <c r="A1790" s="1"/>
      <c r="B1790" s="1"/>
      <c r="C1790" s="1"/>
      <c r="D1790" s="1"/>
      <c r="E1790" s="1"/>
      <c r="F1790" s="1"/>
      <c r="G1790" s="1"/>
      <c r="H1790" s="1"/>
    </row>
    <row r="1791" spans="1:8" ht="13.2" x14ac:dyDescent="0.25">
      <c r="A1791" s="1"/>
      <c r="B1791" s="1"/>
      <c r="C1791" s="1"/>
      <c r="D1791" s="1"/>
      <c r="E1791" s="1"/>
      <c r="F1791" s="1"/>
      <c r="G1791" s="1"/>
      <c r="H1791" s="1"/>
    </row>
    <row r="1792" spans="1:8" ht="13.2" x14ac:dyDescent="0.25">
      <c r="A1792" s="1"/>
      <c r="B1792" s="1"/>
      <c r="C1792" s="1"/>
      <c r="D1792" s="1"/>
      <c r="E1792" s="1"/>
      <c r="F1792" s="1"/>
      <c r="G1792" s="3"/>
      <c r="H1792" s="1"/>
    </row>
    <row r="1793" spans="1:8" ht="13.2" x14ac:dyDescent="0.25">
      <c r="A1793" s="1"/>
      <c r="B1793" s="1"/>
      <c r="C1793" s="1"/>
      <c r="D1793" s="1"/>
      <c r="E1793" s="1"/>
      <c r="F1793" s="1"/>
      <c r="G1793" s="3"/>
      <c r="H1793" s="1"/>
    </row>
    <row r="1794" spans="1:8" ht="13.2" x14ac:dyDescent="0.25">
      <c r="A1794" s="1"/>
      <c r="B1794" s="1"/>
      <c r="C1794" s="1"/>
      <c r="D1794" s="1"/>
      <c r="E1794" s="1"/>
      <c r="F1794" s="1"/>
      <c r="G1794" s="3"/>
      <c r="H1794" s="1"/>
    </row>
    <row r="1795" spans="1:8" ht="13.2" x14ac:dyDescent="0.25">
      <c r="A1795" s="1"/>
      <c r="B1795" s="1"/>
      <c r="C1795" s="1"/>
      <c r="D1795" s="1"/>
      <c r="E1795" s="1"/>
      <c r="F1795" s="1"/>
      <c r="G1795" s="1"/>
      <c r="H1795" s="1"/>
    </row>
    <row r="1796" spans="1:8" ht="13.2" x14ac:dyDescent="0.25">
      <c r="A1796" s="2"/>
      <c r="B1796" s="1"/>
      <c r="C1796" s="1"/>
      <c r="D1796" s="1"/>
      <c r="E1796" s="1"/>
      <c r="F1796" s="1"/>
      <c r="G1796" s="1"/>
      <c r="H1796" s="1"/>
    </row>
    <row r="1797" spans="1:8" ht="13.2" x14ac:dyDescent="0.25">
      <c r="A1797" s="2"/>
      <c r="B1797" s="1"/>
      <c r="C1797" s="1"/>
      <c r="D1797" s="1"/>
      <c r="E1797" s="1"/>
      <c r="F1797" s="1"/>
      <c r="G1797" s="1"/>
      <c r="H1797" s="1"/>
    </row>
    <row r="1798" spans="1:8" ht="13.2" x14ac:dyDescent="0.25">
      <c r="A1798" s="2"/>
      <c r="B1798" s="1"/>
      <c r="C1798" s="1"/>
      <c r="D1798" s="1"/>
      <c r="E1798" s="1"/>
      <c r="F1798" s="1"/>
      <c r="G1798" s="1"/>
      <c r="H1798" s="1"/>
    </row>
    <row r="1799" spans="1:8" ht="13.2" x14ac:dyDescent="0.25">
      <c r="A1799" s="2"/>
      <c r="B1799" s="1"/>
      <c r="C1799" s="1"/>
      <c r="D1799" s="1"/>
      <c r="E1799" s="1"/>
      <c r="F1799" s="1"/>
      <c r="G1799" s="1"/>
      <c r="H1799" s="1"/>
    </row>
    <row r="1800" spans="1:8" ht="13.2" x14ac:dyDescent="0.25">
      <c r="A1800" s="2"/>
      <c r="B1800" s="1"/>
      <c r="C1800" s="1"/>
      <c r="D1800" s="1"/>
      <c r="E1800" s="1"/>
      <c r="F1800" s="1"/>
      <c r="G1800" s="1"/>
      <c r="H1800" s="1"/>
    </row>
    <row r="1801" spans="1:8" ht="13.2" x14ac:dyDescent="0.25">
      <c r="A1801" s="2"/>
      <c r="B1801" s="1"/>
      <c r="C1801" s="1"/>
      <c r="D1801" s="1"/>
      <c r="E1801" s="1"/>
      <c r="F1801" s="1"/>
      <c r="G1801" s="1"/>
      <c r="H1801" s="1"/>
    </row>
    <row r="1802" spans="1:8" ht="13.2" x14ac:dyDescent="0.25">
      <c r="A1802" s="2"/>
      <c r="B1802" s="1"/>
      <c r="C1802" s="1"/>
      <c r="D1802" s="1"/>
      <c r="E1802" s="1"/>
      <c r="F1802" s="1"/>
      <c r="G1802" s="1"/>
      <c r="H1802" s="1"/>
    </row>
    <row r="1803" spans="1:8" ht="13.2" x14ac:dyDescent="0.25">
      <c r="A1803" s="2"/>
      <c r="B1803" s="1"/>
      <c r="C1803" s="1"/>
      <c r="D1803" s="1"/>
      <c r="E1803" s="1"/>
      <c r="F1803" s="1"/>
      <c r="G1803" s="1"/>
      <c r="H1803" s="1"/>
    </row>
    <row r="1804" spans="1:8" ht="13.2" x14ac:dyDescent="0.25">
      <c r="A1804" s="1"/>
      <c r="B1804" s="1"/>
      <c r="C1804" s="1"/>
      <c r="D1804" s="1"/>
      <c r="E1804" s="1"/>
      <c r="F1804" s="1"/>
      <c r="G1804" s="1"/>
      <c r="H1804" s="1"/>
    </row>
    <row r="1805" spans="1:8" ht="13.2" x14ac:dyDescent="0.25">
      <c r="A1805" s="2"/>
      <c r="B1805" s="1"/>
      <c r="C1805" s="1"/>
      <c r="D1805" s="1"/>
      <c r="E1805" s="1"/>
      <c r="F1805" s="1"/>
      <c r="G1805" s="3"/>
      <c r="H1805" s="1"/>
    </row>
    <row r="1806" spans="1:8" ht="13.2" x14ac:dyDescent="0.25">
      <c r="A1806" s="2"/>
      <c r="B1806" s="1"/>
      <c r="C1806" s="1"/>
      <c r="D1806" s="1"/>
      <c r="E1806" s="1"/>
      <c r="F1806" s="1"/>
      <c r="G1806" s="3"/>
      <c r="H1806" s="1"/>
    </row>
    <row r="1807" spans="1:8" ht="13.2" x14ac:dyDescent="0.25">
      <c r="A1807" s="2"/>
      <c r="B1807" s="1"/>
      <c r="C1807" s="1"/>
      <c r="D1807" s="1"/>
      <c r="E1807" s="1"/>
      <c r="F1807" s="1"/>
      <c r="G1807" s="1"/>
      <c r="H1807" s="1"/>
    </row>
    <row r="1808" spans="1:8" ht="13.2" x14ac:dyDescent="0.25">
      <c r="A1808" s="1"/>
      <c r="B1808" s="1"/>
      <c r="C1808" s="1"/>
      <c r="D1808" s="1"/>
      <c r="E1808" s="1"/>
      <c r="F1808" s="1"/>
      <c r="G1808" s="1"/>
      <c r="H1808" s="1"/>
    </row>
    <row r="1809" spans="1:8" ht="13.2" x14ac:dyDescent="0.25">
      <c r="A1809" s="1"/>
      <c r="B1809" s="1"/>
      <c r="C1809" s="1"/>
      <c r="D1809" s="1"/>
      <c r="E1809" s="1"/>
      <c r="F1809" s="1"/>
      <c r="G1809" s="1"/>
      <c r="H1809" s="1"/>
    </row>
    <row r="1810" spans="1:8" ht="13.2" x14ac:dyDescent="0.25">
      <c r="A1810" s="2"/>
      <c r="B1810" s="1"/>
      <c r="C1810" s="1"/>
      <c r="D1810" s="1"/>
      <c r="E1810" s="1"/>
      <c r="F1810" s="1"/>
      <c r="G1810" s="1"/>
      <c r="H1810" s="1"/>
    </row>
    <row r="1811" spans="1:8" ht="13.2" x14ac:dyDescent="0.25">
      <c r="A1811" s="2"/>
      <c r="B1811" s="1"/>
      <c r="C1811" s="1"/>
      <c r="D1811" s="1"/>
      <c r="E1811" s="1"/>
      <c r="F1811" s="1"/>
      <c r="G1811" s="1"/>
      <c r="H1811" s="1"/>
    </row>
    <row r="1812" spans="1:8" ht="13.2" x14ac:dyDescent="0.25">
      <c r="A1812" s="2"/>
      <c r="B1812" s="1"/>
      <c r="C1812" s="1"/>
      <c r="D1812" s="1"/>
      <c r="E1812" s="1"/>
      <c r="F1812" s="1"/>
      <c r="G1812" s="1"/>
      <c r="H1812" s="1"/>
    </row>
    <row r="1813" spans="1:8" ht="13.2" x14ac:dyDescent="0.25">
      <c r="A1813" s="2"/>
      <c r="B1813" s="1"/>
      <c r="C1813" s="1"/>
      <c r="D1813" s="1"/>
      <c r="E1813" s="1"/>
      <c r="F1813" s="1"/>
      <c r="G1813" s="1"/>
      <c r="H1813" s="1"/>
    </row>
    <row r="1814" spans="1:8" ht="13.2" x14ac:dyDescent="0.25">
      <c r="A1814" s="2"/>
      <c r="B1814" s="1"/>
      <c r="C1814" s="1"/>
      <c r="D1814" s="1"/>
      <c r="E1814" s="1"/>
      <c r="F1814" s="1"/>
      <c r="G1814" s="1"/>
      <c r="H1814" s="1"/>
    </row>
    <row r="1815" spans="1:8" ht="13.2" x14ac:dyDescent="0.25">
      <c r="A1815" s="2"/>
      <c r="B1815" s="1"/>
      <c r="C1815" s="1"/>
      <c r="D1815" s="1"/>
      <c r="E1815" s="1"/>
      <c r="F1815" s="1"/>
      <c r="G1815" s="1"/>
      <c r="H1815" s="1"/>
    </row>
    <row r="1816" spans="1:8" ht="13.2" x14ac:dyDescent="0.25">
      <c r="A1816" s="2"/>
      <c r="B1816" s="1"/>
      <c r="C1816" s="1"/>
      <c r="D1816" s="1"/>
      <c r="E1816" s="1"/>
      <c r="F1816" s="1"/>
      <c r="G1816" s="1"/>
      <c r="H1816" s="1"/>
    </row>
    <row r="1817" spans="1:8" ht="13.2" x14ac:dyDescent="0.25">
      <c r="A1817" s="2"/>
      <c r="B1817" s="1"/>
      <c r="C1817" s="1"/>
      <c r="D1817" s="1"/>
      <c r="E1817" s="1"/>
      <c r="F1817" s="1"/>
      <c r="G1817" s="3"/>
      <c r="H1817" s="1"/>
    </row>
    <row r="1818" spans="1:8" ht="13.2" x14ac:dyDescent="0.25">
      <c r="A1818" s="2"/>
      <c r="B1818" s="1"/>
      <c r="C1818" s="1"/>
      <c r="D1818" s="1"/>
      <c r="E1818" s="1"/>
      <c r="F1818" s="1"/>
      <c r="G1818" s="3"/>
      <c r="H1818" s="1"/>
    </row>
    <row r="1819" spans="1:8" ht="13.2" x14ac:dyDescent="0.25">
      <c r="A1819" s="1"/>
      <c r="B1819" s="1"/>
      <c r="C1819" s="1"/>
      <c r="D1819" s="1"/>
      <c r="E1819" s="1"/>
      <c r="F1819" s="1"/>
      <c r="G1819" s="1"/>
      <c r="H1819" s="1"/>
    </row>
    <row r="1820" spans="1:8" ht="13.2" x14ac:dyDescent="0.25">
      <c r="A1820" s="2"/>
      <c r="B1820" s="1"/>
      <c r="C1820" s="1"/>
      <c r="D1820" s="1"/>
      <c r="E1820" s="1"/>
      <c r="F1820" s="1"/>
      <c r="G1820" s="1"/>
      <c r="H1820" s="1"/>
    </row>
    <row r="1821" spans="1:8" ht="13.2" x14ac:dyDescent="0.25">
      <c r="A1821" s="1"/>
      <c r="B1821" s="1"/>
      <c r="C1821" s="1"/>
      <c r="D1821" s="1"/>
      <c r="E1821" s="1"/>
      <c r="F1821" s="1"/>
      <c r="G1821" s="3"/>
      <c r="H1821" s="1"/>
    </row>
    <row r="1822" spans="1:8" ht="13.2" x14ac:dyDescent="0.25">
      <c r="A1822" s="1"/>
      <c r="B1822" s="1"/>
      <c r="C1822" s="1"/>
      <c r="D1822" s="1"/>
      <c r="E1822" s="1"/>
      <c r="F1822" s="1"/>
      <c r="G1822" s="1"/>
      <c r="H1822" s="1"/>
    </row>
    <row r="1823" spans="1:8" ht="13.2" x14ac:dyDescent="0.25">
      <c r="A1823" s="1"/>
      <c r="B1823" s="1"/>
      <c r="C1823" s="1"/>
      <c r="D1823" s="1"/>
      <c r="E1823" s="1"/>
      <c r="F1823" s="1"/>
      <c r="G1823" s="1"/>
      <c r="H1823" s="1"/>
    </row>
    <row r="1824" spans="1:8" ht="13.2" x14ac:dyDescent="0.25">
      <c r="A1824" s="1"/>
      <c r="B1824" s="1"/>
      <c r="C1824" s="1"/>
      <c r="D1824" s="1"/>
      <c r="E1824" s="1"/>
      <c r="F1824" s="1"/>
      <c r="G1824" s="3"/>
      <c r="H1824" s="1"/>
    </row>
    <row r="1825" spans="1:8" ht="13.2" x14ac:dyDescent="0.25">
      <c r="A1825" s="1"/>
      <c r="B1825" s="1"/>
      <c r="C1825" s="1"/>
      <c r="D1825" s="1"/>
      <c r="E1825" s="1"/>
      <c r="F1825" s="1"/>
      <c r="G1825" s="1"/>
      <c r="H1825" s="1"/>
    </row>
    <row r="1826" spans="1:8" ht="13.2" x14ac:dyDescent="0.25">
      <c r="A1826" s="2"/>
      <c r="B1826" s="1"/>
      <c r="C1826" s="1"/>
      <c r="D1826" s="1"/>
      <c r="E1826" s="1"/>
      <c r="F1826" s="1"/>
      <c r="G1826" s="3"/>
      <c r="H1826" s="1"/>
    </row>
    <row r="1827" spans="1:8" ht="13.2" x14ac:dyDescent="0.25">
      <c r="A1827" s="1"/>
      <c r="B1827" s="1"/>
      <c r="C1827" s="1"/>
      <c r="D1827" s="1"/>
      <c r="E1827" s="1"/>
      <c r="F1827" s="1"/>
      <c r="G1827" s="3"/>
      <c r="H1827" s="1"/>
    </row>
    <row r="1828" spans="1:8" ht="13.2" x14ac:dyDescent="0.25">
      <c r="A1828" s="1"/>
      <c r="B1828" s="1"/>
      <c r="C1828" s="1"/>
      <c r="D1828" s="1"/>
      <c r="E1828" s="1"/>
      <c r="F1828" s="1"/>
      <c r="G1828" s="1"/>
      <c r="H1828" s="1"/>
    </row>
    <row r="1829" spans="1:8" ht="13.2" x14ac:dyDescent="0.25">
      <c r="A1829" s="1"/>
      <c r="B1829" s="1"/>
      <c r="C1829" s="1"/>
      <c r="D1829" s="1"/>
      <c r="E1829" s="1"/>
      <c r="F1829" s="1"/>
      <c r="G1829" s="3"/>
      <c r="H1829" s="1"/>
    </row>
    <row r="1830" spans="1:8" ht="13.2" x14ac:dyDescent="0.25">
      <c r="A1830" s="1"/>
      <c r="B1830" s="1"/>
      <c r="C1830" s="1"/>
      <c r="D1830" s="1"/>
      <c r="E1830" s="1"/>
      <c r="F1830" s="1"/>
      <c r="G1830" s="3"/>
      <c r="H1830" s="1"/>
    </row>
    <row r="1831" spans="1:8" ht="13.2" x14ac:dyDescent="0.25">
      <c r="A1831" s="2"/>
      <c r="B1831" s="1"/>
      <c r="C1831" s="1"/>
      <c r="D1831" s="1"/>
      <c r="E1831" s="1"/>
      <c r="F1831" s="1"/>
      <c r="G1831" s="3"/>
      <c r="H1831" s="1"/>
    </row>
    <row r="1832" spans="1:8" ht="13.2" x14ac:dyDescent="0.25">
      <c r="A1832" s="2"/>
      <c r="B1832" s="1"/>
      <c r="C1832" s="1"/>
      <c r="D1832" s="1"/>
      <c r="E1832" s="1"/>
      <c r="F1832" s="1"/>
      <c r="G1832" s="1"/>
      <c r="H1832" s="1"/>
    </row>
    <row r="1833" spans="1:8" ht="13.2" x14ac:dyDescent="0.25">
      <c r="A1833" s="1"/>
      <c r="B1833" s="1"/>
      <c r="C1833" s="1"/>
      <c r="D1833" s="1"/>
      <c r="E1833" s="1"/>
      <c r="F1833" s="1"/>
      <c r="G1833" s="1"/>
      <c r="H1833" s="1"/>
    </row>
    <row r="1834" spans="1:8" ht="13.2" x14ac:dyDescent="0.25">
      <c r="A1834" s="1"/>
      <c r="B1834" s="1"/>
      <c r="C1834" s="1"/>
      <c r="D1834" s="1"/>
      <c r="E1834" s="1"/>
      <c r="F1834" s="1"/>
      <c r="G1834" s="3"/>
      <c r="H1834" s="1"/>
    </row>
    <row r="1835" spans="1:8" ht="13.2" x14ac:dyDescent="0.25">
      <c r="A1835" s="1"/>
      <c r="B1835" s="1"/>
      <c r="C1835" s="1"/>
      <c r="D1835" s="1"/>
      <c r="E1835" s="1"/>
      <c r="F1835" s="1"/>
      <c r="G1835" s="3"/>
      <c r="H1835" s="1"/>
    </row>
    <row r="1836" spans="1:8" ht="13.2" x14ac:dyDescent="0.25">
      <c r="A1836" s="1"/>
      <c r="B1836" s="1"/>
      <c r="C1836" s="1"/>
      <c r="D1836" s="1"/>
      <c r="E1836" s="1"/>
      <c r="F1836" s="1"/>
      <c r="G1836" s="1"/>
      <c r="H1836" s="1"/>
    </row>
    <row r="1837" spans="1:8" ht="13.2" x14ac:dyDescent="0.25">
      <c r="A1837" s="1"/>
      <c r="B1837" s="1"/>
      <c r="C1837" s="1"/>
      <c r="D1837" s="1"/>
      <c r="E1837" s="1"/>
      <c r="F1837" s="1"/>
      <c r="G1837" s="1"/>
      <c r="H1837" s="1"/>
    </row>
    <row r="1838" spans="1:8" ht="13.2" x14ac:dyDescent="0.25">
      <c r="A1838" s="2"/>
      <c r="B1838" s="1"/>
      <c r="C1838" s="1"/>
      <c r="D1838" s="1"/>
      <c r="E1838" s="1"/>
      <c r="F1838" s="1"/>
      <c r="G1838" s="1"/>
      <c r="H1838" s="1"/>
    </row>
    <row r="1839" spans="1:8" ht="13.2" x14ac:dyDescent="0.25">
      <c r="A1839" s="1"/>
      <c r="B1839" s="1"/>
      <c r="C1839" s="1"/>
      <c r="D1839" s="1"/>
      <c r="E1839" s="1"/>
      <c r="F1839" s="1"/>
      <c r="G1839" s="1"/>
      <c r="H1839" s="1"/>
    </row>
    <row r="1840" spans="1:8" ht="13.2" x14ac:dyDescent="0.25">
      <c r="A1840" s="1"/>
      <c r="B1840" s="1"/>
      <c r="C1840" s="1"/>
      <c r="D1840" s="1"/>
      <c r="E1840" s="1"/>
      <c r="F1840" s="1"/>
      <c r="G1840" s="3"/>
      <c r="H1840" s="1"/>
    </row>
    <row r="1841" spans="1:8" ht="13.2" x14ac:dyDescent="0.25">
      <c r="A1841" s="1"/>
      <c r="B1841" s="1"/>
      <c r="C1841" s="1"/>
      <c r="D1841" s="1"/>
      <c r="E1841" s="1"/>
      <c r="F1841" s="1"/>
      <c r="G1841" s="1"/>
      <c r="H1841" s="1"/>
    </row>
    <row r="1842" spans="1:8" ht="13.2" x14ac:dyDescent="0.25">
      <c r="A1842" s="2"/>
      <c r="B1842" s="1"/>
      <c r="C1842" s="1"/>
      <c r="D1842" s="1"/>
      <c r="E1842" s="1"/>
      <c r="F1842" s="1"/>
      <c r="G1842" s="1"/>
      <c r="H1842" s="1"/>
    </row>
    <row r="1843" spans="1:8" ht="13.2" x14ac:dyDescent="0.25">
      <c r="A1843" s="2"/>
      <c r="B1843" s="1"/>
      <c r="C1843" s="1"/>
      <c r="D1843" s="1"/>
      <c r="E1843" s="1"/>
      <c r="F1843" s="1"/>
      <c r="G1843" s="1"/>
      <c r="H1843" s="1"/>
    </row>
    <row r="1844" spans="1:8" ht="13.2" x14ac:dyDescent="0.25">
      <c r="A1844" s="2"/>
      <c r="B1844" s="1"/>
      <c r="C1844" s="1"/>
      <c r="D1844" s="1"/>
      <c r="E1844" s="1"/>
      <c r="F1844" s="1"/>
      <c r="G1844" s="1"/>
      <c r="H1844" s="1"/>
    </row>
    <row r="1845" spans="1:8" ht="13.2" x14ac:dyDescent="0.25">
      <c r="A1845" s="1"/>
      <c r="B1845" s="1"/>
      <c r="C1845" s="1"/>
      <c r="D1845" s="1"/>
      <c r="E1845" s="1"/>
      <c r="F1845" s="1"/>
      <c r="G1845" s="3"/>
      <c r="H1845" s="1"/>
    </row>
    <row r="1846" spans="1:8" ht="13.2" x14ac:dyDescent="0.25">
      <c r="A1846" s="1"/>
      <c r="B1846" s="1"/>
      <c r="C1846" s="1"/>
      <c r="D1846" s="1"/>
      <c r="E1846" s="1"/>
      <c r="F1846" s="1"/>
      <c r="G1846" s="1"/>
      <c r="H1846" s="1"/>
    </row>
    <row r="1847" spans="1:8" ht="13.2" x14ac:dyDescent="0.25">
      <c r="A1847" s="2"/>
      <c r="B1847" s="1"/>
      <c r="C1847" s="1"/>
      <c r="D1847" s="1"/>
      <c r="E1847" s="1"/>
      <c r="F1847" s="1"/>
      <c r="G1847" s="1"/>
      <c r="H1847" s="1"/>
    </row>
    <row r="1848" spans="1:8" ht="13.2" x14ac:dyDescent="0.25">
      <c r="A1848" s="1"/>
      <c r="B1848" s="1"/>
      <c r="C1848" s="1"/>
      <c r="D1848" s="1"/>
      <c r="E1848" s="1"/>
      <c r="F1848" s="1"/>
      <c r="G1848" s="3"/>
      <c r="H1848" s="1"/>
    </row>
    <row r="1849" spans="1:8" ht="13.2" x14ac:dyDescent="0.25">
      <c r="A1849" s="1"/>
      <c r="B1849" s="1"/>
      <c r="C1849" s="1"/>
      <c r="D1849" s="1"/>
      <c r="E1849" s="1"/>
      <c r="F1849" s="1"/>
      <c r="G1849" s="1"/>
      <c r="H1849" s="1"/>
    </row>
    <row r="1850" spans="1:8" ht="13.2" x14ac:dyDescent="0.25">
      <c r="A1850" s="1"/>
      <c r="B1850" s="1"/>
      <c r="C1850" s="1"/>
      <c r="D1850" s="1"/>
      <c r="E1850" s="1"/>
      <c r="F1850" s="1"/>
      <c r="G1850" s="1"/>
      <c r="H1850" s="1"/>
    </row>
    <row r="1851" spans="1:8" ht="13.2" x14ac:dyDescent="0.25">
      <c r="A1851" s="1"/>
      <c r="B1851" s="1"/>
      <c r="C1851" s="1"/>
      <c r="D1851" s="1"/>
      <c r="E1851" s="1"/>
      <c r="F1851" s="1"/>
      <c r="G1851" s="1"/>
      <c r="H1851" s="1"/>
    </row>
    <row r="1852" spans="1:8" ht="13.2" x14ac:dyDescent="0.25">
      <c r="A1852" s="1"/>
      <c r="B1852" s="1"/>
      <c r="C1852" s="1"/>
      <c r="D1852" s="1"/>
      <c r="E1852" s="1"/>
      <c r="F1852" s="1"/>
      <c r="G1852" s="3"/>
      <c r="H1852" s="1"/>
    </row>
    <row r="1853" spans="1:8" ht="13.2" x14ac:dyDescent="0.25">
      <c r="A1853" s="1"/>
      <c r="B1853" s="1"/>
      <c r="C1853" s="1"/>
      <c r="D1853" s="1"/>
      <c r="E1853" s="1"/>
      <c r="F1853" s="1"/>
      <c r="G1853" s="1"/>
      <c r="H1853" s="1"/>
    </row>
    <row r="1854" spans="1:8" ht="13.2" x14ac:dyDescent="0.25">
      <c r="A1854" s="1"/>
      <c r="B1854" s="1"/>
      <c r="C1854" s="1"/>
      <c r="D1854" s="1"/>
      <c r="E1854" s="1"/>
      <c r="F1854" s="1"/>
      <c r="G1854" s="3"/>
      <c r="H1854" s="1"/>
    </row>
    <row r="1855" spans="1:8" ht="13.2" x14ac:dyDescent="0.25">
      <c r="A1855" s="1"/>
      <c r="B1855" s="1"/>
      <c r="C1855" s="1"/>
      <c r="D1855" s="1"/>
      <c r="E1855" s="1"/>
      <c r="F1855" s="1"/>
      <c r="G1855" s="1"/>
      <c r="H1855" s="1"/>
    </row>
    <row r="1856" spans="1:8" ht="13.2" x14ac:dyDescent="0.25">
      <c r="A1856" s="1"/>
      <c r="B1856" s="1"/>
      <c r="C1856" s="1"/>
      <c r="D1856" s="1"/>
      <c r="E1856" s="1"/>
      <c r="F1856" s="1"/>
      <c r="G1856" s="3"/>
      <c r="H1856" s="1"/>
    </row>
    <row r="1857" spans="1:8" ht="13.2" x14ac:dyDescent="0.25">
      <c r="A1857" s="1"/>
      <c r="B1857" s="1"/>
      <c r="C1857" s="1"/>
      <c r="D1857" s="1"/>
      <c r="E1857" s="1"/>
      <c r="F1857" s="1"/>
      <c r="G1857" s="3"/>
      <c r="H1857" s="1"/>
    </row>
    <row r="1858" spans="1:8" ht="13.2" x14ac:dyDescent="0.25">
      <c r="A1858" s="2"/>
      <c r="B1858" s="1"/>
      <c r="C1858" s="1"/>
      <c r="D1858" s="1"/>
      <c r="E1858" s="1"/>
      <c r="F1858" s="1"/>
      <c r="G1858" s="3"/>
      <c r="H1858" s="1"/>
    </row>
    <row r="1859" spans="1:8" ht="13.2" x14ac:dyDescent="0.25">
      <c r="A1859" s="1"/>
      <c r="B1859" s="1"/>
      <c r="C1859" s="1"/>
      <c r="D1859" s="1"/>
      <c r="E1859" s="1"/>
      <c r="F1859" s="1"/>
      <c r="G1859" s="3"/>
      <c r="H1859" s="1"/>
    </row>
    <row r="1860" spans="1:8" ht="13.2" x14ac:dyDescent="0.25">
      <c r="A1860" s="1"/>
      <c r="B1860" s="1"/>
      <c r="C1860" s="1"/>
      <c r="D1860" s="1"/>
      <c r="E1860" s="1"/>
      <c r="F1860" s="1"/>
      <c r="G1860" s="1"/>
      <c r="H1860" s="1"/>
    </row>
    <row r="1861" spans="1:8" ht="13.2" x14ac:dyDescent="0.25">
      <c r="A1861" s="1"/>
      <c r="B1861" s="1"/>
      <c r="C1861" s="1"/>
      <c r="D1861" s="1"/>
      <c r="E1861" s="1"/>
      <c r="F1861" s="1"/>
      <c r="G1861" s="1"/>
      <c r="H1861" s="1"/>
    </row>
    <row r="1862" spans="1:8" ht="13.2" x14ac:dyDescent="0.25">
      <c r="A1862" s="2"/>
      <c r="B1862" s="1"/>
      <c r="C1862" s="1"/>
      <c r="D1862" s="1"/>
      <c r="E1862" s="1"/>
      <c r="F1862" s="1"/>
      <c r="G1862" s="1"/>
      <c r="H1862" s="1"/>
    </row>
    <row r="1863" spans="1:8" ht="13.2" x14ac:dyDescent="0.25">
      <c r="A1863" s="1"/>
      <c r="B1863" s="1"/>
      <c r="C1863" s="1"/>
      <c r="D1863" s="1"/>
      <c r="E1863" s="1"/>
      <c r="F1863" s="1"/>
      <c r="G1863" s="3"/>
      <c r="H1863" s="1"/>
    </row>
    <row r="1864" spans="1:8" ht="13.2" x14ac:dyDescent="0.25">
      <c r="A1864" s="1"/>
      <c r="B1864" s="1"/>
      <c r="C1864" s="1"/>
      <c r="D1864" s="1"/>
      <c r="E1864" s="1"/>
      <c r="F1864" s="1"/>
      <c r="G1864" s="3"/>
      <c r="H1864" s="1"/>
    </row>
    <row r="1865" spans="1:8" ht="13.2" x14ac:dyDescent="0.25">
      <c r="A1865" s="1"/>
      <c r="B1865" s="1"/>
      <c r="C1865" s="1"/>
      <c r="D1865" s="1"/>
      <c r="E1865" s="1"/>
      <c r="F1865" s="1"/>
      <c r="G1865" s="1"/>
      <c r="H1865" s="1"/>
    </row>
    <row r="1866" spans="1:8" ht="13.2" x14ac:dyDescent="0.25">
      <c r="A1866" s="1"/>
      <c r="B1866" s="1"/>
      <c r="C1866" s="1"/>
      <c r="D1866" s="1"/>
      <c r="E1866" s="1"/>
      <c r="F1866" s="1"/>
      <c r="G1866" s="3"/>
      <c r="H1866" s="1"/>
    </row>
    <row r="1867" spans="1:8" ht="13.2" x14ac:dyDescent="0.25">
      <c r="A1867" s="1"/>
      <c r="B1867" s="1"/>
      <c r="C1867" s="1"/>
      <c r="D1867" s="1"/>
      <c r="E1867" s="1"/>
      <c r="F1867" s="1"/>
      <c r="G1867" s="3"/>
      <c r="H1867" s="1"/>
    </row>
    <row r="1868" spans="1:8" ht="13.2" x14ac:dyDescent="0.25">
      <c r="A1868" s="2"/>
      <c r="B1868" s="1"/>
      <c r="C1868" s="1"/>
      <c r="D1868" s="1"/>
      <c r="E1868" s="1"/>
      <c r="F1868" s="1"/>
      <c r="G1868" s="1"/>
      <c r="H1868" s="1"/>
    </row>
    <row r="1869" spans="1:8" ht="13.2" x14ac:dyDescent="0.25">
      <c r="A1869" s="1"/>
      <c r="B1869" s="1"/>
      <c r="C1869" s="1"/>
      <c r="D1869" s="1"/>
      <c r="E1869" s="1"/>
      <c r="F1869" s="1"/>
      <c r="G1869" s="1"/>
      <c r="H1869" s="1"/>
    </row>
    <row r="1870" spans="1:8" ht="13.2" x14ac:dyDescent="0.25">
      <c r="A1870" s="1"/>
      <c r="B1870" s="1"/>
      <c r="C1870" s="1"/>
      <c r="D1870" s="1"/>
      <c r="E1870" s="1"/>
      <c r="F1870" s="1"/>
      <c r="G1870" s="3"/>
      <c r="H1870" s="1"/>
    </row>
    <row r="1871" spans="1:8" ht="13.2" x14ac:dyDescent="0.25">
      <c r="A1871" s="1"/>
      <c r="B1871" s="1"/>
      <c r="C1871" s="1"/>
      <c r="D1871" s="1"/>
      <c r="E1871" s="1"/>
      <c r="F1871" s="1"/>
      <c r="G1871" s="3"/>
      <c r="H1871" s="1"/>
    </row>
    <row r="1872" spans="1:8" ht="13.2" x14ac:dyDescent="0.25">
      <c r="A1872" s="2"/>
      <c r="B1872" s="1"/>
      <c r="C1872" s="1"/>
      <c r="D1872" s="1"/>
      <c r="E1872" s="1"/>
      <c r="F1872" s="1"/>
      <c r="G1872" s="1"/>
      <c r="H1872" s="1"/>
    </row>
    <row r="1873" spans="1:8" ht="13.2" x14ac:dyDescent="0.25">
      <c r="A1873" s="1"/>
      <c r="B1873" s="1"/>
      <c r="C1873" s="1"/>
      <c r="D1873" s="1"/>
      <c r="E1873" s="1"/>
      <c r="F1873" s="1"/>
      <c r="G1873" s="3"/>
      <c r="H1873" s="1"/>
    </row>
    <row r="1874" spans="1:8" ht="13.2" x14ac:dyDescent="0.25">
      <c r="A1874" s="1"/>
      <c r="B1874" s="1"/>
      <c r="C1874" s="1"/>
      <c r="D1874" s="1"/>
      <c r="E1874" s="1"/>
      <c r="F1874" s="1"/>
      <c r="G1874" s="3"/>
      <c r="H1874" s="1"/>
    </row>
    <row r="1875" spans="1:8" ht="13.2" x14ac:dyDescent="0.25">
      <c r="A1875" s="2"/>
      <c r="B1875" s="1"/>
      <c r="C1875" s="1"/>
      <c r="D1875" s="1"/>
      <c r="E1875" s="1"/>
      <c r="F1875" s="1"/>
      <c r="G1875" s="1"/>
      <c r="H1875" s="1"/>
    </row>
    <row r="1876" spans="1:8" ht="13.2" x14ac:dyDescent="0.25">
      <c r="A1876" s="1"/>
      <c r="B1876" s="1"/>
      <c r="C1876" s="1"/>
      <c r="D1876" s="1"/>
      <c r="E1876" s="1"/>
      <c r="F1876" s="1"/>
      <c r="G1876" s="1"/>
      <c r="H1876" s="1"/>
    </row>
    <row r="1877" spans="1:8" ht="13.2" x14ac:dyDescent="0.25">
      <c r="A1877" s="1"/>
      <c r="B1877" s="1"/>
      <c r="C1877" s="1"/>
      <c r="D1877" s="1"/>
      <c r="E1877" s="1"/>
      <c r="F1877" s="1"/>
      <c r="G1877" s="3"/>
      <c r="H1877" s="1"/>
    </row>
    <row r="1878" spans="1:8" ht="13.2" x14ac:dyDescent="0.25">
      <c r="A1878" s="1"/>
      <c r="B1878" s="1"/>
      <c r="C1878" s="1"/>
      <c r="D1878" s="1"/>
      <c r="E1878" s="1"/>
      <c r="F1878" s="1"/>
      <c r="G1878" s="3"/>
      <c r="H1878" s="1"/>
    </row>
    <row r="1879" spans="1:8" ht="13.2" x14ac:dyDescent="0.25">
      <c r="A1879" s="1"/>
      <c r="B1879" s="1"/>
      <c r="C1879" s="1"/>
      <c r="D1879" s="1"/>
      <c r="E1879" s="1"/>
      <c r="F1879" s="1"/>
      <c r="G1879" s="3"/>
      <c r="H1879" s="1"/>
    </row>
    <row r="1880" spans="1:8" ht="13.2" x14ac:dyDescent="0.25">
      <c r="A1880" s="1"/>
      <c r="B1880" s="1"/>
      <c r="C1880" s="1"/>
      <c r="D1880" s="1"/>
      <c r="E1880" s="1"/>
      <c r="F1880" s="1"/>
      <c r="G1880" s="3"/>
      <c r="H1880" s="1"/>
    </row>
    <row r="1881" spans="1:8" ht="13.2" x14ac:dyDescent="0.25">
      <c r="A1881" s="1"/>
      <c r="B1881" s="1"/>
      <c r="C1881" s="1"/>
      <c r="D1881" s="1"/>
      <c r="E1881" s="1"/>
      <c r="F1881" s="1"/>
      <c r="G1881" s="1"/>
      <c r="H1881" s="1"/>
    </row>
    <row r="1882" spans="1:8" ht="13.2" x14ac:dyDescent="0.25">
      <c r="A1882" s="1"/>
      <c r="B1882" s="1"/>
      <c r="C1882" s="1"/>
      <c r="D1882" s="1"/>
      <c r="E1882" s="1"/>
      <c r="F1882" s="1"/>
      <c r="G1882" s="3"/>
      <c r="H1882" s="1"/>
    </row>
    <row r="1883" spans="1:8" ht="13.2" x14ac:dyDescent="0.25">
      <c r="A1883" s="1"/>
      <c r="B1883" s="1"/>
      <c r="C1883" s="1"/>
      <c r="D1883" s="1"/>
      <c r="E1883" s="1"/>
      <c r="F1883" s="1"/>
      <c r="G1883" s="3"/>
      <c r="H1883" s="1"/>
    </row>
    <row r="1884" spans="1:8" ht="13.2" x14ac:dyDescent="0.25">
      <c r="A1884" s="1"/>
      <c r="B1884" s="1"/>
      <c r="C1884" s="1"/>
      <c r="D1884" s="1"/>
      <c r="E1884" s="1"/>
      <c r="F1884" s="1"/>
      <c r="G1884" s="3"/>
      <c r="H1884" s="1"/>
    </row>
    <row r="1885" spans="1:8" ht="13.2" x14ac:dyDescent="0.25">
      <c r="A1885" s="1"/>
      <c r="B1885" s="1"/>
      <c r="C1885" s="1"/>
      <c r="D1885" s="1"/>
      <c r="E1885" s="1"/>
      <c r="F1885" s="1"/>
      <c r="G1885" s="3"/>
      <c r="H1885" s="1"/>
    </row>
    <row r="1886" spans="1:8" ht="13.2" x14ac:dyDescent="0.25">
      <c r="A1886" s="2"/>
      <c r="B1886" s="1"/>
      <c r="C1886" s="1"/>
      <c r="D1886" s="1"/>
      <c r="E1886" s="1"/>
      <c r="F1886" s="1"/>
      <c r="G1886" s="3"/>
      <c r="H1886" s="1"/>
    </row>
    <row r="1887" spans="1:8" ht="13.2" x14ac:dyDescent="0.25">
      <c r="A1887" s="2"/>
      <c r="B1887" s="1"/>
      <c r="C1887" s="1"/>
      <c r="D1887" s="1"/>
      <c r="E1887" s="1"/>
      <c r="F1887" s="1"/>
      <c r="G1887" s="3"/>
      <c r="H1887" s="1"/>
    </row>
    <row r="1888" spans="1:8" ht="13.2" x14ac:dyDescent="0.25">
      <c r="A1888" s="2"/>
      <c r="B1888" s="1"/>
      <c r="C1888" s="1"/>
      <c r="D1888" s="1"/>
      <c r="E1888" s="1"/>
      <c r="F1888" s="1"/>
      <c r="G1888" s="1"/>
      <c r="H1888" s="1"/>
    </row>
    <row r="1889" spans="1:8" ht="13.2" x14ac:dyDescent="0.25">
      <c r="A1889" s="1"/>
      <c r="B1889" s="1"/>
      <c r="C1889" s="1"/>
      <c r="D1889" s="1"/>
      <c r="E1889" s="1"/>
      <c r="F1889" s="1"/>
      <c r="G1889" s="3"/>
      <c r="H1889" s="1"/>
    </row>
    <row r="1890" spans="1:8" ht="13.2" x14ac:dyDescent="0.25">
      <c r="A1890" s="1"/>
      <c r="B1890" s="1"/>
      <c r="C1890" s="1"/>
      <c r="D1890" s="1"/>
      <c r="E1890" s="1"/>
      <c r="F1890" s="1"/>
      <c r="G1890" s="1"/>
      <c r="H1890" s="1"/>
    </row>
    <row r="1891" spans="1:8" ht="13.2" x14ac:dyDescent="0.25">
      <c r="A1891" s="2"/>
      <c r="B1891" s="1"/>
      <c r="C1891" s="1"/>
      <c r="D1891" s="1"/>
      <c r="E1891" s="1"/>
      <c r="F1891" s="1"/>
      <c r="G1891" s="1"/>
      <c r="H1891" s="1"/>
    </row>
    <row r="1892" spans="1:8" ht="13.2" x14ac:dyDescent="0.25">
      <c r="A1892" s="1"/>
      <c r="B1892" s="1"/>
      <c r="C1892" s="1"/>
      <c r="D1892" s="1"/>
      <c r="E1892" s="1"/>
      <c r="F1892" s="1"/>
      <c r="G1892" s="1"/>
      <c r="H1892" s="1"/>
    </row>
    <row r="1893" spans="1:8" ht="13.2" x14ac:dyDescent="0.25">
      <c r="A1893" s="1"/>
      <c r="B1893" s="1"/>
      <c r="C1893" s="1"/>
      <c r="D1893" s="1"/>
      <c r="E1893" s="1"/>
      <c r="F1893" s="1"/>
      <c r="G1893" s="3"/>
      <c r="H1893" s="1"/>
    </row>
    <row r="1894" spans="1:8" ht="13.2" x14ac:dyDescent="0.25">
      <c r="A1894" s="2"/>
      <c r="B1894" s="1"/>
      <c r="C1894" s="1"/>
      <c r="D1894" s="1"/>
      <c r="E1894" s="1"/>
      <c r="F1894" s="1"/>
      <c r="G1894" s="1"/>
      <c r="H1894" s="1"/>
    </row>
    <row r="1895" spans="1:8" ht="13.2" x14ac:dyDescent="0.25">
      <c r="A1895" s="1"/>
      <c r="B1895" s="1"/>
      <c r="C1895" s="1"/>
      <c r="D1895" s="1"/>
      <c r="E1895" s="1"/>
      <c r="F1895" s="1"/>
      <c r="G1895" s="1"/>
      <c r="H1895" s="1"/>
    </row>
    <row r="1896" spans="1:8" ht="13.2" x14ac:dyDescent="0.25">
      <c r="A1896" s="2"/>
      <c r="B1896" s="1"/>
      <c r="C1896" s="1"/>
      <c r="D1896" s="1"/>
      <c r="E1896" s="1"/>
      <c r="F1896" s="1"/>
      <c r="G1896" s="1"/>
      <c r="H1896" s="1"/>
    </row>
    <row r="1897" spans="1:8" ht="13.2" x14ac:dyDescent="0.25">
      <c r="A1897" s="2"/>
      <c r="B1897" s="1"/>
      <c r="C1897" s="1"/>
      <c r="D1897" s="1"/>
      <c r="E1897" s="1"/>
      <c r="F1897" s="1"/>
      <c r="G1897" s="3"/>
      <c r="H1897" s="1"/>
    </row>
    <row r="1898" spans="1:8" ht="13.2" x14ac:dyDescent="0.25">
      <c r="A1898" s="2"/>
      <c r="B1898" s="1"/>
      <c r="C1898" s="1"/>
      <c r="D1898" s="1"/>
      <c r="E1898" s="1"/>
      <c r="F1898" s="1"/>
      <c r="G1898" s="1"/>
      <c r="H1898" s="1"/>
    </row>
    <row r="1899" spans="1:8" ht="13.2" x14ac:dyDescent="0.25">
      <c r="A1899" s="1"/>
      <c r="B1899" s="1"/>
      <c r="C1899" s="1"/>
      <c r="D1899" s="1"/>
      <c r="E1899" s="1"/>
      <c r="F1899" s="1"/>
      <c r="G1899" s="1"/>
      <c r="H1899" s="1"/>
    </row>
    <row r="1900" spans="1:8" ht="13.2" x14ac:dyDescent="0.25">
      <c r="A1900" s="1"/>
      <c r="B1900" s="1"/>
      <c r="C1900" s="1"/>
      <c r="D1900" s="1"/>
      <c r="E1900" s="1"/>
      <c r="F1900" s="1"/>
      <c r="G1900" s="1"/>
      <c r="H1900" s="1"/>
    </row>
    <row r="1901" spans="1:8" ht="13.2" x14ac:dyDescent="0.25">
      <c r="A1901" s="1"/>
      <c r="B1901" s="1"/>
      <c r="C1901" s="1"/>
      <c r="D1901" s="1"/>
      <c r="E1901" s="1"/>
      <c r="F1901" s="1"/>
      <c r="G1901" s="1"/>
      <c r="H1901" s="1"/>
    </row>
    <row r="1902" spans="1:8" ht="13.2" x14ac:dyDescent="0.25">
      <c r="A1902" s="2"/>
      <c r="B1902" s="1"/>
      <c r="C1902" s="1"/>
      <c r="D1902" s="1"/>
      <c r="E1902" s="1"/>
      <c r="F1902" s="1"/>
      <c r="G1902" s="1"/>
      <c r="H1902" s="1"/>
    </row>
    <row r="1903" spans="1:8" ht="13.2" x14ac:dyDescent="0.25">
      <c r="A1903" s="2"/>
      <c r="B1903" s="1"/>
      <c r="C1903" s="1"/>
      <c r="D1903" s="1"/>
      <c r="E1903" s="1"/>
      <c r="F1903" s="1"/>
      <c r="G1903" s="1"/>
      <c r="H1903" s="1"/>
    </row>
    <row r="1904" spans="1:8" ht="13.2" x14ac:dyDescent="0.25">
      <c r="A1904" s="1"/>
      <c r="B1904" s="1"/>
      <c r="C1904" s="1"/>
      <c r="D1904" s="1"/>
      <c r="E1904" s="1"/>
      <c r="F1904" s="1"/>
      <c r="G1904" s="1"/>
      <c r="H1904" s="1"/>
    </row>
    <row r="1905" spans="1:8" ht="13.2" x14ac:dyDescent="0.25">
      <c r="A1905" s="1"/>
      <c r="B1905" s="1"/>
      <c r="C1905" s="1"/>
      <c r="D1905" s="1"/>
      <c r="E1905" s="1"/>
      <c r="F1905" s="1"/>
      <c r="G1905" s="1"/>
      <c r="H1905" s="1"/>
    </row>
    <row r="1906" spans="1:8" ht="13.2" x14ac:dyDescent="0.25">
      <c r="A1906" s="1"/>
      <c r="B1906" s="1"/>
      <c r="C1906" s="1"/>
      <c r="D1906" s="1"/>
      <c r="E1906" s="1"/>
      <c r="F1906" s="1"/>
      <c r="G1906" s="3"/>
      <c r="H1906" s="1"/>
    </row>
    <row r="1907" spans="1:8" ht="13.2" x14ac:dyDescent="0.25">
      <c r="A1907" s="1"/>
      <c r="B1907" s="1"/>
      <c r="C1907" s="1"/>
      <c r="D1907" s="1"/>
      <c r="E1907" s="1"/>
      <c r="F1907" s="1"/>
      <c r="G1907" s="3"/>
      <c r="H1907" s="1"/>
    </row>
    <row r="1908" spans="1:8" ht="13.2" x14ac:dyDescent="0.25">
      <c r="A1908" s="1"/>
      <c r="B1908" s="1"/>
      <c r="C1908" s="1"/>
      <c r="D1908" s="1"/>
      <c r="E1908" s="1"/>
      <c r="F1908" s="1"/>
      <c r="G1908" s="3"/>
      <c r="H1908" s="1"/>
    </row>
    <row r="1909" spans="1:8" ht="13.2" x14ac:dyDescent="0.25">
      <c r="A1909" s="1"/>
      <c r="B1909" s="1"/>
      <c r="C1909" s="1"/>
      <c r="D1909" s="1"/>
      <c r="E1909" s="1"/>
      <c r="F1909" s="1"/>
      <c r="G1909" s="1"/>
      <c r="H1909" s="1"/>
    </row>
    <row r="1910" spans="1:8" ht="13.2" x14ac:dyDescent="0.25">
      <c r="A1910" s="1"/>
      <c r="B1910" s="1"/>
      <c r="C1910" s="1"/>
      <c r="D1910" s="1"/>
      <c r="E1910" s="1"/>
      <c r="F1910" s="1"/>
      <c r="G1910" s="3"/>
      <c r="H1910" s="1"/>
    </row>
    <row r="1911" spans="1:8" ht="13.2" x14ac:dyDescent="0.25">
      <c r="A1911" s="1"/>
      <c r="B1911" s="1"/>
      <c r="C1911" s="1"/>
      <c r="D1911" s="1"/>
      <c r="E1911" s="1"/>
      <c r="F1911" s="1"/>
      <c r="G1911" s="1"/>
      <c r="H1911" s="1"/>
    </row>
    <row r="1912" spans="1:8" ht="13.2" x14ac:dyDescent="0.25">
      <c r="A1912" s="2"/>
      <c r="B1912" s="1"/>
      <c r="C1912" s="1"/>
      <c r="D1912" s="1"/>
      <c r="E1912" s="1"/>
      <c r="F1912" s="1"/>
      <c r="G1912" s="1"/>
      <c r="H1912" s="1"/>
    </row>
    <row r="1913" spans="1:8" ht="13.2" x14ac:dyDescent="0.25">
      <c r="A1913" s="2"/>
      <c r="B1913" s="1"/>
      <c r="C1913" s="1"/>
      <c r="D1913" s="1"/>
      <c r="E1913" s="1"/>
      <c r="F1913" s="1"/>
      <c r="G1913" s="1"/>
      <c r="H1913" s="1"/>
    </row>
    <row r="1914" spans="1:8" ht="13.2" x14ac:dyDescent="0.25">
      <c r="A1914" s="1"/>
      <c r="B1914" s="1"/>
      <c r="C1914" s="1"/>
      <c r="D1914" s="1"/>
      <c r="E1914" s="1"/>
      <c r="F1914" s="1"/>
      <c r="G1914" s="3"/>
      <c r="H1914" s="1"/>
    </row>
    <row r="1915" spans="1:8" ht="13.2" x14ac:dyDescent="0.25">
      <c r="A1915" s="1"/>
      <c r="B1915" s="1"/>
      <c r="C1915" s="1"/>
      <c r="D1915" s="1"/>
      <c r="E1915" s="1"/>
      <c r="F1915" s="1"/>
      <c r="G1915" s="1"/>
      <c r="H1915" s="1"/>
    </row>
    <row r="1916" spans="1:8" ht="13.2" x14ac:dyDescent="0.25">
      <c r="A1916" s="1"/>
      <c r="B1916" s="1"/>
      <c r="C1916" s="1"/>
      <c r="D1916" s="1"/>
      <c r="E1916" s="1"/>
      <c r="F1916" s="1"/>
      <c r="G1916" s="1"/>
      <c r="H1916" s="1"/>
    </row>
    <row r="1917" spans="1:8" ht="13.2" x14ac:dyDescent="0.25">
      <c r="A1917" s="1"/>
      <c r="B1917" s="1"/>
      <c r="C1917" s="1"/>
      <c r="D1917" s="1"/>
      <c r="E1917" s="1"/>
      <c r="F1917" s="1"/>
      <c r="G1917" s="3"/>
      <c r="H1917" s="1"/>
    </row>
    <row r="1918" spans="1:8" ht="13.2" x14ac:dyDescent="0.25">
      <c r="A1918" s="1"/>
      <c r="B1918" s="1"/>
      <c r="C1918" s="1"/>
      <c r="D1918" s="1"/>
      <c r="E1918" s="1"/>
      <c r="F1918" s="1"/>
      <c r="G1918" s="1"/>
      <c r="H1918" s="1"/>
    </row>
    <row r="1919" spans="1:8" ht="13.2" x14ac:dyDescent="0.25">
      <c r="A1919" s="1"/>
      <c r="B1919" s="1"/>
      <c r="C1919" s="1"/>
      <c r="D1919" s="1"/>
      <c r="E1919" s="1"/>
      <c r="F1919" s="1"/>
      <c r="G1919" s="1"/>
      <c r="H1919" s="1"/>
    </row>
    <row r="1920" spans="1:8" ht="13.2" x14ac:dyDescent="0.25">
      <c r="A1920" s="2"/>
      <c r="B1920" s="1"/>
      <c r="C1920" s="1"/>
      <c r="D1920" s="1"/>
      <c r="E1920" s="1"/>
      <c r="F1920" s="1"/>
      <c r="G1920" s="3"/>
      <c r="H1920" s="1"/>
    </row>
    <row r="1921" spans="1:8" ht="13.2" x14ac:dyDescent="0.25">
      <c r="A1921" s="1"/>
      <c r="B1921" s="1"/>
      <c r="C1921" s="1"/>
      <c r="D1921" s="1"/>
      <c r="E1921" s="1"/>
      <c r="F1921" s="1"/>
      <c r="G1921" s="1"/>
      <c r="H1921" s="1"/>
    </row>
    <row r="1922" spans="1:8" ht="13.2" x14ac:dyDescent="0.25">
      <c r="A1922" s="1"/>
      <c r="B1922" s="1"/>
      <c r="C1922" s="1"/>
      <c r="D1922" s="1"/>
      <c r="E1922" s="1"/>
      <c r="F1922" s="1"/>
      <c r="G1922" s="3"/>
      <c r="H1922" s="1"/>
    </row>
    <row r="1923" spans="1:8" ht="13.2" x14ac:dyDescent="0.25">
      <c r="A1923" s="2"/>
      <c r="B1923" s="1"/>
      <c r="C1923" s="1"/>
      <c r="D1923" s="1"/>
      <c r="E1923" s="1"/>
      <c r="F1923" s="1"/>
      <c r="G1923" s="1"/>
      <c r="H1923" s="1"/>
    </row>
    <row r="1924" spans="1:8" ht="13.2" x14ac:dyDescent="0.25">
      <c r="A1924" s="2"/>
      <c r="B1924" s="1"/>
      <c r="C1924" s="1"/>
      <c r="D1924" s="1"/>
      <c r="E1924" s="1"/>
      <c r="F1924" s="1"/>
      <c r="G1924" s="3"/>
      <c r="H1924" s="1"/>
    </row>
    <row r="1925" spans="1:8" ht="13.2" x14ac:dyDescent="0.25">
      <c r="A1925" s="2"/>
      <c r="B1925" s="1"/>
      <c r="C1925" s="1"/>
      <c r="D1925" s="1"/>
      <c r="E1925" s="1"/>
      <c r="F1925" s="1"/>
      <c r="G1925" s="1"/>
      <c r="H1925" s="1"/>
    </row>
    <row r="1926" spans="1:8" ht="13.2" x14ac:dyDescent="0.25">
      <c r="A1926" s="1"/>
      <c r="B1926" s="1"/>
      <c r="C1926" s="1"/>
      <c r="D1926" s="1"/>
      <c r="E1926" s="1"/>
      <c r="F1926" s="1"/>
      <c r="G1926" s="3"/>
      <c r="H1926" s="1"/>
    </row>
    <row r="1927" spans="1:8" ht="13.2" x14ac:dyDescent="0.25">
      <c r="A1927" s="2"/>
      <c r="B1927" s="1"/>
      <c r="C1927" s="1"/>
      <c r="D1927" s="1"/>
      <c r="E1927" s="1"/>
      <c r="F1927" s="1"/>
      <c r="G1927" s="3"/>
      <c r="H1927" s="1"/>
    </row>
    <row r="1928" spans="1:8" ht="13.2" x14ac:dyDescent="0.25">
      <c r="A1928" s="2"/>
      <c r="B1928" s="1"/>
      <c r="C1928" s="1"/>
      <c r="D1928" s="1"/>
      <c r="E1928" s="1"/>
      <c r="F1928" s="1"/>
      <c r="G1928" s="1"/>
      <c r="H1928" s="1"/>
    </row>
    <row r="1929" spans="1:8" ht="13.2" x14ac:dyDescent="0.25">
      <c r="A1929" s="1"/>
      <c r="B1929" s="1"/>
      <c r="C1929" s="1"/>
      <c r="D1929" s="1"/>
      <c r="E1929" s="1"/>
      <c r="F1929" s="1"/>
      <c r="G1929" s="3"/>
      <c r="H1929" s="1"/>
    </row>
    <row r="1930" spans="1:8" ht="13.2" x14ac:dyDescent="0.25">
      <c r="A1930" s="1"/>
      <c r="B1930" s="1"/>
      <c r="C1930" s="1"/>
      <c r="D1930" s="1"/>
      <c r="E1930" s="1"/>
      <c r="F1930" s="1"/>
      <c r="G1930" s="1"/>
      <c r="H1930" s="1"/>
    </row>
    <row r="1931" spans="1:8" ht="13.2" x14ac:dyDescent="0.25">
      <c r="A1931" s="1"/>
      <c r="B1931" s="1"/>
      <c r="C1931" s="1"/>
      <c r="D1931" s="1"/>
      <c r="E1931" s="1"/>
      <c r="F1931" s="1"/>
      <c r="G1931" s="3"/>
      <c r="H1931" s="1"/>
    </row>
    <row r="1932" spans="1:8" ht="13.2" x14ac:dyDescent="0.25">
      <c r="A1932" s="1"/>
      <c r="B1932" s="1"/>
      <c r="C1932" s="1"/>
      <c r="D1932" s="1"/>
      <c r="E1932" s="1"/>
      <c r="F1932" s="1"/>
      <c r="G1932" s="1"/>
      <c r="H1932" s="1"/>
    </row>
    <row r="1933" spans="1:8" ht="13.2" x14ac:dyDescent="0.25">
      <c r="A1933" s="1"/>
      <c r="B1933" s="1"/>
      <c r="C1933" s="1"/>
      <c r="D1933" s="1"/>
      <c r="E1933" s="1"/>
      <c r="F1933" s="1"/>
      <c r="G1933" s="3"/>
      <c r="H1933" s="1"/>
    </row>
    <row r="1934" spans="1:8" ht="13.2" x14ac:dyDescent="0.25">
      <c r="A1934" s="1"/>
      <c r="B1934" s="1"/>
      <c r="C1934" s="1"/>
      <c r="D1934" s="1"/>
      <c r="E1934" s="1"/>
      <c r="F1934" s="1"/>
      <c r="G1934" s="3"/>
      <c r="H1934" s="1"/>
    </row>
    <row r="1935" spans="1:8" ht="13.2" x14ac:dyDescent="0.25">
      <c r="A1935" s="1"/>
      <c r="B1935" s="1"/>
      <c r="C1935" s="1"/>
      <c r="D1935" s="1"/>
      <c r="E1935" s="1"/>
      <c r="F1935" s="1"/>
      <c r="G1935" s="1"/>
      <c r="H1935" s="1"/>
    </row>
    <row r="1936" spans="1:8" ht="13.2" x14ac:dyDescent="0.25">
      <c r="A1936" s="1"/>
      <c r="B1936" s="1"/>
      <c r="C1936" s="1"/>
      <c r="D1936" s="1"/>
      <c r="E1936" s="1"/>
      <c r="F1936" s="1"/>
      <c r="G1936" s="3"/>
      <c r="H1936" s="1"/>
    </row>
    <row r="1937" spans="1:8" ht="13.2" x14ac:dyDescent="0.25">
      <c r="A1937" s="1"/>
      <c r="B1937" s="1"/>
      <c r="C1937" s="1"/>
      <c r="D1937" s="1"/>
      <c r="E1937" s="1"/>
      <c r="F1937" s="1"/>
      <c r="G1937" s="3"/>
      <c r="H1937" s="1"/>
    </row>
    <row r="1938" spans="1:8" ht="13.2" x14ac:dyDescent="0.25">
      <c r="A1938" s="1"/>
      <c r="B1938" s="1"/>
      <c r="C1938" s="1"/>
      <c r="D1938" s="1"/>
      <c r="E1938" s="1"/>
      <c r="F1938" s="1"/>
      <c r="G1938" s="1"/>
      <c r="H1938" s="1"/>
    </row>
    <row r="1939" spans="1:8" ht="13.2" x14ac:dyDescent="0.25">
      <c r="A1939" s="1"/>
      <c r="B1939" s="1"/>
      <c r="C1939" s="1"/>
      <c r="D1939" s="1"/>
      <c r="E1939" s="1"/>
      <c r="F1939" s="1"/>
      <c r="G1939" s="3"/>
      <c r="H1939" s="1"/>
    </row>
    <row r="1940" spans="1:8" ht="13.2" x14ac:dyDescent="0.25">
      <c r="A1940" s="1"/>
      <c r="B1940" s="1"/>
      <c r="C1940" s="1"/>
      <c r="D1940" s="1"/>
      <c r="E1940" s="1"/>
      <c r="F1940" s="1"/>
      <c r="G1940" s="1"/>
      <c r="H1940" s="1"/>
    </row>
    <row r="1941" spans="1:8" ht="13.2" x14ac:dyDescent="0.25">
      <c r="A1941" s="2"/>
      <c r="B1941" s="1"/>
      <c r="C1941" s="1"/>
      <c r="D1941" s="1"/>
      <c r="E1941" s="1"/>
      <c r="F1941" s="1"/>
      <c r="G1941" s="3"/>
      <c r="H1941" s="1"/>
    </row>
    <row r="1942" spans="1:8" ht="13.2" x14ac:dyDescent="0.25">
      <c r="A1942" s="2"/>
      <c r="B1942" s="1"/>
      <c r="C1942" s="1"/>
      <c r="D1942" s="1"/>
      <c r="E1942" s="1"/>
      <c r="F1942" s="1"/>
      <c r="G1942" s="3"/>
      <c r="H1942" s="1"/>
    </row>
    <row r="1943" spans="1:8" ht="13.2" x14ac:dyDescent="0.25">
      <c r="A1943" s="1"/>
      <c r="B1943" s="1"/>
      <c r="C1943" s="1"/>
      <c r="D1943" s="1"/>
      <c r="E1943" s="1"/>
      <c r="F1943" s="1"/>
      <c r="G1943" s="3"/>
      <c r="H1943" s="1"/>
    </row>
    <row r="1944" spans="1:8" ht="13.2" x14ac:dyDescent="0.25">
      <c r="A1944" s="1"/>
      <c r="B1944" s="1"/>
      <c r="C1944" s="1"/>
      <c r="D1944" s="1"/>
      <c r="E1944" s="1"/>
      <c r="F1944" s="1"/>
      <c r="G1944" s="3"/>
      <c r="H1944" s="1"/>
    </row>
    <row r="1945" spans="1:8" ht="13.2" x14ac:dyDescent="0.25">
      <c r="A1945" s="1"/>
      <c r="B1945" s="1"/>
      <c r="C1945" s="1"/>
      <c r="D1945" s="1"/>
      <c r="E1945" s="1"/>
      <c r="F1945" s="1"/>
      <c r="G1945" s="1"/>
      <c r="H1945" s="1"/>
    </row>
    <row r="1946" spans="1:8" ht="13.2" x14ac:dyDescent="0.25">
      <c r="A1946" s="2"/>
      <c r="B1946" s="1"/>
      <c r="C1946" s="1"/>
      <c r="D1946" s="1"/>
      <c r="E1946" s="1"/>
      <c r="F1946" s="1"/>
      <c r="G1946" s="3"/>
      <c r="H1946" s="1"/>
    </row>
    <row r="1947" spans="1:8" ht="13.2" x14ac:dyDescent="0.25">
      <c r="A1947" s="2"/>
      <c r="B1947" s="1"/>
      <c r="C1947" s="1"/>
      <c r="D1947" s="1"/>
      <c r="E1947" s="1"/>
      <c r="F1947" s="1"/>
      <c r="G1947" s="1"/>
      <c r="H1947" s="1"/>
    </row>
    <row r="1948" spans="1:8" ht="13.2" x14ac:dyDescent="0.25">
      <c r="A1948" s="2"/>
      <c r="B1948" s="1"/>
      <c r="C1948" s="1"/>
      <c r="D1948" s="1"/>
      <c r="E1948" s="1"/>
      <c r="F1948" s="1"/>
      <c r="G1948" s="1"/>
      <c r="H1948" s="1"/>
    </row>
    <row r="1949" spans="1:8" ht="13.2" x14ac:dyDescent="0.25">
      <c r="A1949" s="2"/>
      <c r="B1949" s="1"/>
      <c r="C1949" s="1"/>
      <c r="D1949" s="1"/>
      <c r="E1949" s="1"/>
      <c r="F1949" s="1"/>
      <c r="G1949" s="1"/>
      <c r="H1949" s="1"/>
    </row>
    <row r="1950" spans="1:8" ht="13.2" x14ac:dyDescent="0.25">
      <c r="A1950" s="2"/>
      <c r="B1950" s="1"/>
      <c r="C1950" s="1"/>
      <c r="D1950" s="1"/>
      <c r="E1950" s="1"/>
      <c r="F1950" s="1"/>
      <c r="G1950" s="1"/>
      <c r="H1950" s="1"/>
    </row>
    <row r="1951" spans="1:8" ht="13.2" x14ac:dyDescent="0.25">
      <c r="A1951" s="2"/>
      <c r="B1951" s="1"/>
      <c r="C1951" s="1"/>
      <c r="D1951" s="1"/>
      <c r="E1951" s="1"/>
      <c r="F1951" s="1"/>
      <c r="G1951" s="1"/>
      <c r="H1951" s="1"/>
    </row>
    <row r="1952" spans="1:8" ht="13.2" x14ac:dyDescent="0.25">
      <c r="A1952" s="2"/>
      <c r="B1952" s="1"/>
      <c r="C1952" s="1"/>
      <c r="D1952" s="1"/>
      <c r="E1952" s="1"/>
      <c r="F1952" s="1"/>
      <c r="G1952" s="1"/>
      <c r="H1952" s="1"/>
    </row>
    <row r="1953" spans="1:8" ht="13.2" x14ac:dyDescent="0.25">
      <c r="A1953" s="2"/>
      <c r="B1953" s="1"/>
      <c r="C1953" s="1"/>
      <c r="D1953" s="1"/>
      <c r="E1953" s="1"/>
      <c r="F1953" s="1"/>
      <c r="G1953" s="1"/>
      <c r="H1953" s="1"/>
    </row>
    <row r="1954" spans="1:8" ht="13.2" x14ac:dyDescent="0.25">
      <c r="A1954" s="2"/>
      <c r="B1954" s="1"/>
      <c r="C1954" s="1"/>
      <c r="D1954" s="1"/>
      <c r="E1954" s="1"/>
      <c r="F1954" s="1"/>
      <c r="G1954" s="1"/>
      <c r="H1954" s="1"/>
    </row>
    <row r="1955" spans="1:8" ht="13.2" x14ac:dyDescent="0.25">
      <c r="A1955" s="2"/>
      <c r="B1955" s="1"/>
      <c r="C1955" s="1"/>
      <c r="D1955" s="1"/>
      <c r="E1955" s="1"/>
      <c r="F1955" s="1"/>
      <c r="G1955" s="1"/>
      <c r="H1955" s="1"/>
    </row>
    <row r="1956" spans="1:8" ht="13.2" x14ac:dyDescent="0.25">
      <c r="A1956" s="2"/>
      <c r="B1956" s="1"/>
      <c r="C1956" s="1"/>
      <c r="D1956" s="1"/>
      <c r="E1956" s="1"/>
      <c r="F1956" s="1"/>
      <c r="G1956" s="1"/>
      <c r="H1956" s="1"/>
    </row>
    <row r="1957" spans="1:8" ht="13.2" x14ac:dyDescent="0.25">
      <c r="A1957" s="2"/>
      <c r="B1957" s="1"/>
      <c r="C1957" s="1"/>
      <c r="D1957" s="1"/>
      <c r="E1957" s="1"/>
      <c r="F1957" s="1"/>
      <c r="G1957" s="1"/>
      <c r="H1957" s="1"/>
    </row>
    <row r="1958" spans="1:8" ht="13.2" x14ac:dyDescent="0.25">
      <c r="A1958" s="2"/>
      <c r="B1958" s="1"/>
      <c r="C1958" s="1"/>
      <c r="D1958" s="1"/>
      <c r="E1958" s="1"/>
      <c r="F1958" s="1"/>
      <c r="G1958" s="1"/>
      <c r="H1958" s="1"/>
    </row>
    <row r="1959" spans="1:8" ht="13.2" x14ac:dyDescent="0.25">
      <c r="A1959" s="2"/>
      <c r="B1959" s="1"/>
      <c r="C1959" s="1"/>
      <c r="D1959" s="1"/>
      <c r="E1959" s="1"/>
      <c r="F1959" s="1"/>
      <c r="G1959" s="1"/>
      <c r="H1959" s="1"/>
    </row>
    <row r="1960" spans="1:8" ht="13.2" x14ac:dyDescent="0.25">
      <c r="A1960" s="2"/>
      <c r="B1960" s="1"/>
      <c r="C1960" s="1"/>
      <c r="D1960" s="1"/>
      <c r="E1960" s="1"/>
      <c r="F1960" s="1"/>
      <c r="G1960" s="1"/>
      <c r="H1960" s="1"/>
    </row>
    <row r="1961" spans="1:8" ht="13.2" x14ac:dyDescent="0.25">
      <c r="A1961" s="2"/>
      <c r="B1961" s="1"/>
      <c r="C1961" s="1"/>
      <c r="D1961" s="1"/>
      <c r="E1961" s="1"/>
      <c r="F1961" s="1"/>
      <c r="G1961" s="1"/>
      <c r="H1961" s="1"/>
    </row>
    <row r="1962" spans="1:8" ht="13.2" x14ac:dyDescent="0.25">
      <c r="A1962" s="1"/>
      <c r="B1962" s="1"/>
      <c r="C1962" s="1"/>
      <c r="D1962" s="1"/>
      <c r="E1962" s="1"/>
      <c r="F1962" s="1"/>
      <c r="G1962" s="1"/>
      <c r="H1962" s="1"/>
    </row>
    <row r="1963" spans="1:8" ht="13.2" x14ac:dyDescent="0.25">
      <c r="A1963" s="2"/>
      <c r="B1963" s="1"/>
      <c r="C1963" s="1"/>
      <c r="D1963" s="1"/>
      <c r="E1963" s="1"/>
      <c r="F1963" s="1"/>
      <c r="G1963" s="1"/>
      <c r="H1963" s="1"/>
    </row>
    <row r="1964" spans="1:8" ht="13.2" x14ac:dyDescent="0.25">
      <c r="A1964" s="1"/>
      <c r="B1964" s="1"/>
      <c r="C1964" s="1"/>
      <c r="D1964" s="1"/>
      <c r="E1964" s="1"/>
      <c r="F1964" s="1"/>
      <c r="G1964" s="3"/>
      <c r="H1964" s="1"/>
    </row>
    <row r="1965" spans="1:8" ht="13.2" x14ac:dyDescent="0.25">
      <c r="A1965" s="1"/>
      <c r="B1965" s="1"/>
      <c r="C1965" s="1"/>
      <c r="D1965" s="1"/>
      <c r="E1965" s="1"/>
      <c r="F1965" s="1"/>
      <c r="G1965" s="1"/>
      <c r="H1965" s="1"/>
    </row>
    <row r="1966" spans="1:8" ht="13.2" x14ac:dyDescent="0.25">
      <c r="A1966" s="2"/>
      <c r="B1966" s="1"/>
      <c r="C1966" s="1"/>
      <c r="D1966" s="1"/>
      <c r="E1966" s="1"/>
      <c r="F1966" s="1"/>
      <c r="G1966" s="1"/>
      <c r="H1966" s="1"/>
    </row>
    <row r="1967" spans="1:8" ht="13.2" x14ac:dyDescent="0.25">
      <c r="A1967" s="2"/>
      <c r="B1967" s="1"/>
      <c r="C1967" s="1"/>
      <c r="D1967" s="1"/>
      <c r="E1967" s="1"/>
      <c r="F1967" s="1"/>
      <c r="G1967" s="1"/>
      <c r="H1967" s="1"/>
    </row>
    <row r="1968" spans="1:8" ht="13.2" x14ac:dyDescent="0.25">
      <c r="A1968" s="1"/>
      <c r="B1968" s="1"/>
      <c r="C1968" s="1"/>
      <c r="D1968" s="1"/>
      <c r="E1968" s="1"/>
      <c r="F1968" s="1"/>
      <c r="G1968" s="1"/>
      <c r="H1968" s="1"/>
    </row>
    <row r="1969" spans="1:8" ht="13.2" x14ac:dyDescent="0.25">
      <c r="A1969" s="2"/>
      <c r="B1969" s="1"/>
      <c r="C1969" s="1"/>
      <c r="D1969" s="1"/>
      <c r="E1969" s="1"/>
      <c r="F1969" s="1"/>
      <c r="G1969" s="1"/>
      <c r="H1969" s="1"/>
    </row>
    <row r="1970" spans="1:8" ht="13.2" x14ac:dyDescent="0.25">
      <c r="A1970" s="2"/>
      <c r="B1970" s="1"/>
      <c r="C1970" s="1"/>
      <c r="D1970" s="1"/>
      <c r="E1970" s="1"/>
      <c r="F1970" s="1"/>
      <c r="G1970" s="1"/>
      <c r="H1970" s="1"/>
    </row>
    <row r="1971" spans="1:8" ht="13.2" x14ac:dyDescent="0.25">
      <c r="A1971" s="1"/>
      <c r="B1971" s="1"/>
      <c r="C1971" s="1"/>
      <c r="D1971" s="1"/>
      <c r="E1971" s="1"/>
      <c r="F1971" s="1"/>
      <c r="G1971" s="1"/>
      <c r="H1971" s="1"/>
    </row>
    <row r="1972" spans="1:8" ht="13.2" x14ac:dyDescent="0.25">
      <c r="A1972" s="1"/>
      <c r="B1972" s="1"/>
      <c r="C1972" s="1"/>
      <c r="D1972" s="1"/>
      <c r="E1972" s="1"/>
      <c r="F1972" s="1"/>
      <c r="G1972" s="3"/>
      <c r="H1972" s="1"/>
    </row>
    <row r="1973" spans="1:8" ht="13.2" x14ac:dyDescent="0.25">
      <c r="A1973" s="1"/>
      <c r="B1973" s="1"/>
      <c r="C1973" s="1"/>
      <c r="D1973" s="1"/>
      <c r="E1973" s="1"/>
      <c r="F1973" s="1"/>
      <c r="G1973" s="3"/>
      <c r="H1973" s="1"/>
    </row>
    <row r="1974" spans="1:8" ht="13.2" x14ac:dyDescent="0.25">
      <c r="A1974" s="2"/>
      <c r="B1974" s="1"/>
      <c r="C1974" s="1"/>
      <c r="D1974" s="1"/>
      <c r="E1974" s="1"/>
      <c r="F1974" s="1"/>
      <c r="G1974" s="3"/>
      <c r="H1974" s="1"/>
    </row>
    <row r="1975" spans="1:8" ht="13.2" x14ac:dyDescent="0.25">
      <c r="A1975" s="1"/>
      <c r="B1975" s="1"/>
      <c r="C1975" s="1"/>
      <c r="D1975" s="1"/>
      <c r="E1975" s="1"/>
      <c r="F1975" s="1"/>
      <c r="G1975" s="1"/>
      <c r="H1975" s="1"/>
    </row>
    <row r="1976" spans="1:8" ht="13.2" x14ac:dyDescent="0.25">
      <c r="A1976" s="1"/>
      <c r="B1976" s="1"/>
      <c r="C1976" s="1"/>
      <c r="D1976" s="1"/>
      <c r="E1976" s="1"/>
      <c r="F1976" s="1"/>
      <c r="G1976" s="3"/>
      <c r="H1976" s="1"/>
    </row>
    <row r="1977" spans="1:8" ht="13.2" x14ac:dyDescent="0.25">
      <c r="A1977" s="1"/>
      <c r="B1977" s="1"/>
      <c r="C1977" s="1"/>
      <c r="D1977" s="1"/>
      <c r="E1977" s="1"/>
      <c r="F1977" s="1"/>
      <c r="G1977" s="3"/>
      <c r="H1977" s="1"/>
    </row>
    <row r="1978" spans="1:8" ht="13.2" x14ac:dyDescent="0.25">
      <c r="A1978" s="1"/>
      <c r="B1978" s="1"/>
      <c r="C1978" s="1"/>
      <c r="D1978" s="1"/>
      <c r="E1978" s="1"/>
      <c r="F1978" s="1"/>
      <c r="G1978" s="3"/>
      <c r="H1978" s="1"/>
    </row>
    <row r="1979" spans="1:8" ht="13.2" x14ac:dyDescent="0.25">
      <c r="A1979" s="1"/>
      <c r="B1979" s="1"/>
      <c r="C1979" s="1"/>
      <c r="D1979" s="1"/>
      <c r="E1979" s="1"/>
      <c r="F1979" s="1"/>
      <c r="G1979" s="3"/>
      <c r="H1979" s="1"/>
    </row>
    <row r="1980" spans="1:8" ht="13.2" x14ac:dyDescent="0.25">
      <c r="A1980" s="2"/>
      <c r="B1980" s="1"/>
      <c r="C1980" s="1"/>
      <c r="D1980" s="1"/>
      <c r="E1980" s="1"/>
      <c r="F1980" s="1"/>
      <c r="G1980" s="3"/>
      <c r="H1980" s="1"/>
    </row>
    <row r="1981" spans="1:8" ht="13.2" x14ac:dyDescent="0.25">
      <c r="A1981" s="2"/>
      <c r="B1981" s="1"/>
      <c r="C1981" s="1"/>
      <c r="D1981" s="1"/>
      <c r="E1981" s="1"/>
      <c r="F1981" s="1"/>
      <c r="G1981" s="3"/>
      <c r="H1981" s="1"/>
    </row>
    <row r="1982" spans="1:8" ht="13.2" x14ac:dyDescent="0.25">
      <c r="A1982" s="1"/>
      <c r="B1982" s="1"/>
      <c r="C1982" s="1"/>
      <c r="D1982" s="1"/>
      <c r="E1982" s="1"/>
      <c r="F1982" s="1"/>
      <c r="G1982" s="3"/>
      <c r="H1982" s="1"/>
    </row>
    <row r="1983" spans="1:8" ht="13.2" x14ac:dyDescent="0.25">
      <c r="A1983" s="1"/>
      <c r="B1983" s="1"/>
      <c r="C1983" s="1"/>
      <c r="D1983" s="1"/>
      <c r="E1983" s="1"/>
      <c r="F1983" s="1"/>
      <c r="G1983" s="1"/>
      <c r="H1983" s="1"/>
    </row>
    <row r="1984" spans="1:8" ht="13.2" x14ac:dyDescent="0.25">
      <c r="A1984" s="1"/>
      <c r="B1984" s="1"/>
      <c r="C1984" s="1"/>
      <c r="D1984" s="1"/>
      <c r="E1984" s="1"/>
      <c r="F1984" s="1"/>
      <c r="G1984" s="1"/>
      <c r="H1984" s="1"/>
    </row>
    <row r="1985" spans="1:8" ht="13.2" x14ac:dyDescent="0.25">
      <c r="A1985" s="1"/>
      <c r="B1985" s="1"/>
      <c r="C1985" s="1"/>
      <c r="D1985" s="1"/>
      <c r="E1985" s="1"/>
      <c r="F1985" s="1"/>
      <c r="G1985" s="3"/>
      <c r="H1985" s="1"/>
    </row>
    <row r="1986" spans="1:8" ht="13.2" x14ac:dyDescent="0.25">
      <c r="A1986" s="1"/>
      <c r="B1986" s="1"/>
      <c r="C1986" s="1"/>
      <c r="D1986" s="1"/>
      <c r="E1986" s="1"/>
      <c r="F1986" s="1"/>
      <c r="G1986" s="3"/>
      <c r="H1986" s="1"/>
    </row>
    <row r="1987" spans="1:8" ht="13.2" x14ac:dyDescent="0.25">
      <c r="A1987" s="1"/>
      <c r="B1987" s="1"/>
      <c r="C1987" s="1"/>
      <c r="D1987" s="1"/>
      <c r="E1987" s="1"/>
      <c r="F1987" s="1"/>
      <c r="G1987" s="1"/>
      <c r="H1987" s="1"/>
    </row>
    <row r="1988" spans="1:8" ht="13.2" x14ac:dyDescent="0.25">
      <c r="A1988" s="1"/>
      <c r="B1988" s="1"/>
      <c r="C1988" s="1"/>
      <c r="D1988" s="1"/>
      <c r="E1988" s="1"/>
      <c r="F1988" s="1"/>
      <c r="G1988" s="3"/>
      <c r="H1988" s="1"/>
    </row>
    <row r="1989" spans="1:8" ht="13.2" x14ac:dyDescent="0.25">
      <c r="A1989" s="1"/>
      <c r="B1989" s="1"/>
      <c r="C1989" s="1"/>
      <c r="D1989" s="1"/>
      <c r="E1989" s="1"/>
      <c r="F1989" s="1"/>
      <c r="G1989" s="1"/>
      <c r="H1989" s="1"/>
    </row>
    <row r="1990" spans="1:8" ht="13.2" x14ac:dyDescent="0.25">
      <c r="A1990" s="1"/>
      <c r="B1990" s="1"/>
      <c r="C1990" s="1"/>
      <c r="D1990" s="1"/>
      <c r="E1990" s="1"/>
      <c r="F1990" s="1"/>
      <c r="G1990" s="1"/>
      <c r="H1990" s="1"/>
    </row>
    <row r="1991" spans="1:8" ht="13.2" x14ac:dyDescent="0.25">
      <c r="A1991" s="1"/>
      <c r="B1991" s="1"/>
      <c r="C1991" s="1"/>
      <c r="D1991" s="1"/>
      <c r="E1991" s="1"/>
      <c r="F1991" s="1"/>
      <c r="G1991" s="3"/>
      <c r="H1991" s="1"/>
    </row>
    <row r="1992" spans="1:8" ht="13.2" x14ac:dyDescent="0.25">
      <c r="A1992" s="1"/>
      <c r="B1992" s="1"/>
      <c r="C1992" s="1"/>
      <c r="D1992" s="1"/>
      <c r="E1992" s="1"/>
      <c r="F1992" s="1"/>
      <c r="G1992" s="1"/>
      <c r="H1992" s="1"/>
    </row>
    <row r="1993" spans="1:8" ht="13.2" x14ac:dyDescent="0.25">
      <c r="A1993" s="1"/>
      <c r="B1993" s="1"/>
      <c r="C1993" s="1"/>
      <c r="D1993" s="1"/>
      <c r="E1993" s="1"/>
      <c r="F1993" s="1"/>
      <c r="G1993" s="3"/>
      <c r="H1993" s="1"/>
    </row>
    <row r="1994" spans="1:8" ht="13.2" x14ac:dyDescent="0.25">
      <c r="A1994" s="2"/>
      <c r="B1994" s="1"/>
      <c r="C1994" s="1"/>
      <c r="D1994" s="1"/>
      <c r="E1994" s="1"/>
      <c r="F1994" s="1"/>
      <c r="G1994" s="1"/>
      <c r="H1994" s="1"/>
    </row>
    <row r="1995" spans="1:8" ht="13.2" x14ac:dyDescent="0.25">
      <c r="A1995" s="1"/>
      <c r="B1995" s="1"/>
      <c r="C1995" s="1"/>
      <c r="D1995" s="1"/>
      <c r="E1995" s="1"/>
      <c r="F1995" s="1"/>
      <c r="G1995" s="3"/>
      <c r="H1995" s="1"/>
    </row>
    <row r="1996" spans="1:8" ht="13.2" x14ac:dyDescent="0.25">
      <c r="A1996" s="1"/>
      <c r="B1996" s="1"/>
      <c r="C1996" s="1"/>
      <c r="D1996" s="1"/>
      <c r="E1996" s="1"/>
      <c r="F1996" s="1"/>
      <c r="G1996" s="1"/>
      <c r="H1996" s="1"/>
    </row>
    <row r="1997" spans="1:8" ht="13.2" x14ac:dyDescent="0.25">
      <c r="A1997" s="1"/>
      <c r="B1997" s="1"/>
      <c r="C1997" s="1"/>
      <c r="D1997" s="1"/>
      <c r="E1997" s="1"/>
      <c r="F1997" s="1"/>
      <c r="G1997" s="3"/>
      <c r="H1997" s="1"/>
    </row>
    <row r="1998" spans="1:8" ht="13.2" x14ac:dyDescent="0.25">
      <c r="A1998" s="1"/>
      <c r="B1998" s="1"/>
      <c r="C1998" s="1"/>
      <c r="D1998" s="1"/>
      <c r="E1998" s="1"/>
      <c r="F1998" s="1"/>
      <c r="G1998" s="3"/>
      <c r="H1998" s="1"/>
    </row>
    <row r="1999" spans="1:8" ht="13.2" x14ac:dyDescent="0.25">
      <c r="A1999" s="1"/>
      <c r="B1999" s="1"/>
      <c r="C1999" s="1"/>
      <c r="D1999" s="1"/>
      <c r="E1999" s="1"/>
      <c r="F1999" s="1"/>
      <c r="G1999" s="3"/>
      <c r="H1999" s="1"/>
    </row>
    <row r="2000" spans="1:8" ht="13.2" x14ac:dyDescent="0.25">
      <c r="A2000" s="1"/>
      <c r="B2000" s="1"/>
      <c r="C2000" s="1"/>
      <c r="D2000" s="1"/>
      <c r="E2000" s="1"/>
      <c r="F2000" s="1"/>
      <c r="G2000" s="3"/>
      <c r="H2000" s="1"/>
    </row>
    <row r="2001" spans="1:8" ht="13.2" x14ac:dyDescent="0.25">
      <c r="A2001" s="1"/>
      <c r="B2001" s="1"/>
      <c r="C2001" s="1"/>
      <c r="D2001" s="1"/>
      <c r="E2001" s="1"/>
      <c r="F2001" s="1"/>
      <c r="G2001" s="3"/>
      <c r="H2001" s="1"/>
    </row>
    <row r="2002" spans="1:8" ht="13.2" x14ac:dyDescent="0.25">
      <c r="A2002" s="2"/>
      <c r="B2002" s="1"/>
      <c r="C2002" s="1"/>
      <c r="D2002" s="1"/>
      <c r="E2002" s="1"/>
      <c r="F2002" s="1"/>
      <c r="G2002" s="3"/>
      <c r="H2002" s="1"/>
    </row>
    <row r="2003" spans="1:8" ht="13.2" x14ac:dyDescent="0.25">
      <c r="A2003" s="1"/>
      <c r="B2003" s="1"/>
      <c r="C2003" s="1"/>
      <c r="D2003" s="1"/>
      <c r="E2003" s="1"/>
      <c r="F2003" s="1"/>
      <c r="G2003" s="1"/>
      <c r="H2003" s="1"/>
    </row>
    <row r="2004" spans="1:8" ht="13.2" x14ac:dyDescent="0.25">
      <c r="A2004" s="1"/>
      <c r="B2004" s="1"/>
      <c r="C2004" s="1"/>
      <c r="D2004" s="1"/>
      <c r="E2004" s="1"/>
      <c r="F2004" s="1"/>
      <c r="G2004" s="1"/>
      <c r="H2004" s="1"/>
    </row>
    <row r="2005" spans="1:8" ht="13.2" x14ac:dyDescent="0.25">
      <c r="A2005" s="2"/>
      <c r="B2005" s="1"/>
      <c r="C2005" s="1"/>
      <c r="D2005" s="1"/>
      <c r="E2005" s="1"/>
      <c r="F2005" s="1"/>
      <c r="G2005" s="3"/>
      <c r="H2005" s="1"/>
    </row>
    <row r="2006" spans="1:8" ht="13.2" x14ac:dyDescent="0.25">
      <c r="A2006" s="2"/>
      <c r="B2006" s="1"/>
      <c r="C2006" s="1"/>
      <c r="D2006" s="1"/>
      <c r="E2006" s="1"/>
      <c r="F2006" s="1"/>
      <c r="G2006" s="1"/>
      <c r="H2006" s="1"/>
    </row>
    <row r="2007" spans="1:8" ht="13.2" x14ac:dyDescent="0.25">
      <c r="A2007" s="1"/>
      <c r="B2007" s="1"/>
      <c r="C2007" s="1"/>
      <c r="D2007" s="1"/>
      <c r="E2007" s="1"/>
      <c r="F2007" s="1"/>
      <c r="G2007" s="1"/>
      <c r="H2007" s="1"/>
    </row>
    <row r="2008" spans="1:8" ht="13.2" x14ac:dyDescent="0.25">
      <c r="A2008" s="1"/>
      <c r="B2008" s="1"/>
      <c r="C2008" s="1"/>
      <c r="D2008" s="1"/>
      <c r="E2008" s="1"/>
      <c r="F2008" s="1"/>
      <c r="G2008" s="1"/>
      <c r="H2008" s="1"/>
    </row>
    <row r="2009" spans="1:8" ht="13.2" x14ac:dyDescent="0.25">
      <c r="A2009" s="2"/>
      <c r="B2009" s="1"/>
      <c r="C2009" s="1"/>
      <c r="D2009" s="1"/>
      <c r="E2009" s="1"/>
      <c r="F2009" s="1"/>
      <c r="G2009" s="1"/>
      <c r="H2009" s="1"/>
    </row>
    <row r="2010" spans="1:8" ht="13.2" x14ac:dyDescent="0.25">
      <c r="A2010" s="2"/>
      <c r="B2010" s="1"/>
      <c r="C2010" s="1"/>
      <c r="D2010" s="1"/>
      <c r="E2010" s="1"/>
      <c r="F2010" s="1"/>
      <c r="G2010" s="1"/>
      <c r="H2010" s="1"/>
    </row>
    <row r="2011" spans="1:8" ht="13.2" x14ac:dyDescent="0.25">
      <c r="A2011" s="1"/>
      <c r="B2011" s="1"/>
      <c r="C2011" s="1"/>
      <c r="D2011" s="1"/>
      <c r="E2011" s="1"/>
      <c r="F2011" s="1"/>
      <c r="G2011" s="1"/>
      <c r="H2011" s="1"/>
    </row>
    <row r="2012" spans="1:8" ht="13.2" x14ac:dyDescent="0.25">
      <c r="A2012" s="1"/>
      <c r="B2012" s="1"/>
      <c r="C2012" s="1"/>
      <c r="D2012" s="1"/>
      <c r="E2012" s="1"/>
      <c r="F2012" s="1"/>
      <c r="G2012" s="3"/>
      <c r="H2012" s="1"/>
    </row>
    <row r="2013" spans="1:8" ht="13.2" x14ac:dyDescent="0.25">
      <c r="A2013" s="2"/>
      <c r="B2013" s="1"/>
      <c r="C2013" s="1"/>
      <c r="D2013" s="1"/>
      <c r="E2013" s="1"/>
      <c r="F2013" s="1"/>
      <c r="G2013" s="1"/>
      <c r="H2013" s="1"/>
    </row>
    <row r="2014" spans="1:8" ht="13.2" x14ac:dyDescent="0.25">
      <c r="A2014" s="1"/>
      <c r="B2014" s="1"/>
      <c r="C2014" s="1"/>
      <c r="D2014" s="1"/>
      <c r="E2014" s="1"/>
      <c r="F2014" s="1"/>
      <c r="G2014" s="1"/>
      <c r="H2014" s="1"/>
    </row>
    <row r="2015" spans="1:8" ht="13.2" x14ac:dyDescent="0.25">
      <c r="A2015" s="1"/>
      <c r="B2015" s="1"/>
      <c r="C2015" s="1"/>
      <c r="D2015" s="1"/>
      <c r="E2015" s="1"/>
      <c r="F2015" s="1"/>
      <c r="G2015" s="1"/>
      <c r="H2015" s="1"/>
    </row>
    <row r="2016" spans="1:8" ht="13.2" x14ac:dyDescent="0.25">
      <c r="A2016" s="1"/>
      <c r="B2016" s="1"/>
      <c r="C2016" s="1"/>
      <c r="D2016" s="1"/>
      <c r="E2016" s="1"/>
      <c r="F2016" s="1"/>
      <c r="G2016" s="3"/>
      <c r="H2016" s="1"/>
    </row>
    <row r="2017" spans="1:8" ht="13.2" x14ac:dyDescent="0.25">
      <c r="A2017" s="2"/>
      <c r="B2017" s="1"/>
      <c r="C2017" s="1"/>
      <c r="D2017" s="1"/>
      <c r="E2017" s="1"/>
      <c r="F2017" s="1"/>
      <c r="G2017" s="1"/>
      <c r="H2017" s="1"/>
    </row>
    <row r="2018" spans="1:8" ht="13.2" x14ac:dyDescent="0.25">
      <c r="A2018" s="1"/>
      <c r="B2018" s="1"/>
      <c r="C2018" s="1"/>
      <c r="D2018" s="1"/>
      <c r="E2018" s="1"/>
      <c r="F2018" s="1"/>
      <c r="G2018" s="1"/>
      <c r="H2018" s="1"/>
    </row>
    <row r="2019" spans="1:8" ht="13.2" x14ac:dyDescent="0.25">
      <c r="A2019" s="1"/>
      <c r="B2019" s="1"/>
      <c r="C2019" s="1"/>
      <c r="D2019" s="1"/>
      <c r="E2019" s="1"/>
      <c r="F2019" s="1"/>
      <c r="G2019" s="3"/>
      <c r="H2019" s="1"/>
    </row>
    <row r="2020" spans="1:8" ht="13.2" x14ac:dyDescent="0.25">
      <c r="A2020" s="1"/>
      <c r="B2020" s="1"/>
      <c r="C2020" s="1"/>
      <c r="D2020" s="1"/>
      <c r="E2020" s="1"/>
      <c r="F2020" s="1"/>
      <c r="G2020" s="1"/>
      <c r="H2020" s="1"/>
    </row>
    <row r="2021" spans="1:8" ht="13.2" x14ac:dyDescent="0.25">
      <c r="A2021" s="1"/>
      <c r="B2021" s="1"/>
      <c r="C2021" s="1"/>
      <c r="D2021" s="1"/>
      <c r="E2021" s="1"/>
      <c r="F2021" s="1"/>
      <c r="G2021" s="1"/>
      <c r="H2021" s="1"/>
    </row>
    <row r="2022" spans="1:8" ht="13.2" x14ac:dyDescent="0.25">
      <c r="A2022" s="1"/>
      <c r="B2022" s="1"/>
      <c r="C2022" s="1"/>
      <c r="D2022" s="1"/>
      <c r="E2022" s="1"/>
      <c r="F2022" s="1"/>
      <c r="G2022" s="1"/>
      <c r="H2022" s="1"/>
    </row>
    <row r="2023" spans="1:8" ht="13.2" x14ac:dyDescent="0.25">
      <c r="A2023" s="2"/>
      <c r="B2023" s="1"/>
      <c r="C2023" s="1"/>
      <c r="D2023" s="1"/>
      <c r="E2023" s="1"/>
      <c r="F2023" s="1"/>
      <c r="G2023" s="1"/>
      <c r="H2023" s="1"/>
    </row>
    <row r="2024" spans="1:8" ht="13.2" x14ac:dyDescent="0.25">
      <c r="A2024" s="1"/>
      <c r="B2024" s="1"/>
      <c r="C2024" s="1"/>
      <c r="D2024" s="1"/>
      <c r="E2024" s="1"/>
      <c r="F2024" s="1"/>
      <c r="G2024" s="1"/>
      <c r="H2024" s="1"/>
    </row>
    <row r="2025" spans="1:8" ht="13.2" x14ac:dyDescent="0.25">
      <c r="A2025" s="1"/>
      <c r="B2025" s="1"/>
      <c r="C2025" s="1"/>
      <c r="D2025" s="1"/>
      <c r="E2025" s="1"/>
      <c r="F2025" s="1"/>
      <c r="G2025" s="1"/>
      <c r="H2025" s="1"/>
    </row>
    <row r="2026" spans="1:8" ht="13.2" x14ac:dyDescent="0.25">
      <c r="A2026" s="1"/>
      <c r="B2026" s="1"/>
      <c r="C2026" s="1"/>
      <c r="D2026" s="1"/>
      <c r="E2026" s="1"/>
      <c r="F2026" s="1"/>
      <c r="G2026" s="1"/>
      <c r="H2026" s="1"/>
    </row>
    <row r="2027" spans="1:8" ht="13.2" x14ac:dyDescent="0.25">
      <c r="A2027" s="2"/>
      <c r="B2027" s="1"/>
      <c r="C2027" s="1"/>
      <c r="D2027" s="1"/>
      <c r="E2027" s="1"/>
      <c r="F2027" s="1"/>
      <c r="G2027" s="3"/>
      <c r="H2027" s="1"/>
    </row>
    <row r="2028" spans="1:8" ht="13.2" x14ac:dyDescent="0.25">
      <c r="A2028" s="2"/>
      <c r="B2028" s="1"/>
      <c r="C2028" s="1"/>
      <c r="D2028" s="1"/>
      <c r="E2028" s="1"/>
      <c r="F2028" s="1"/>
      <c r="G2028" s="3"/>
      <c r="H2028" s="1"/>
    </row>
    <row r="2029" spans="1:8" ht="13.2" x14ac:dyDescent="0.25">
      <c r="A2029" s="1"/>
      <c r="B2029" s="1"/>
      <c r="C2029" s="1"/>
      <c r="D2029" s="1"/>
      <c r="E2029" s="1"/>
      <c r="F2029" s="1"/>
      <c r="G2029" s="3"/>
      <c r="H2029" s="1"/>
    </row>
    <row r="2030" spans="1:8" ht="13.2" x14ac:dyDescent="0.25">
      <c r="A2030" s="2"/>
      <c r="B2030" s="1"/>
      <c r="C2030" s="1"/>
      <c r="D2030" s="1"/>
      <c r="E2030" s="1"/>
      <c r="F2030" s="1"/>
      <c r="G2030" s="3"/>
      <c r="H2030" s="1"/>
    </row>
    <row r="2031" spans="1:8" ht="13.2" x14ac:dyDescent="0.25">
      <c r="A2031" s="1"/>
      <c r="B2031" s="1"/>
      <c r="C2031" s="1"/>
      <c r="D2031" s="1"/>
      <c r="E2031" s="1"/>
      <c r="F2031" s="1"/>
      <c r="G2031" s="3"/>
      <c r="H2031" s="1"/>
    </row>
    <row r="2032" spans="1:8" ht="13.2" x14ac:dyDescent="0.25">
      <c r="A2032" s="1"/>
      <c r="B2032" s="1"/>
      <c r="C2032" s="1"/>
      <c r="D2032" s="1"/>
      <c r="E2032" s="1"/>
      <c r="F2032" s="1"/>
      <c r="G2032" s="1"/>
      <c r="H2032" s="1"/>
    </row>
    <row r="2033" spans="1:8" ht="13.2" x14ac:dyDescent="0.25">
      <c r="A2033" s="2"/>
      <c r="B2033" s="1"/>
      <c r="C2033" s="1"/>
      <c r="D2033" s="1"/>
      <c r="E2033" s="1"/>
      <c r="F2033" s="1"/>
      <c r="G2033" s="1"/>
      <c r="H2033" s="1"/>
    </row>
    <row r="2034" spans="1:8" ht="13.2" x14ac:dyDescent="0.25">
      <c r="A2034" s="2"/>
      <c r="B2034" s="1"/>
      <c r="C2034" s="1"/>
      <c r="D2034" s="1"/>
      <c r="E2034" s="1"/>
      <c r="F2034" s="1"/>
      <c r="G2034" s="1"/>
      <c r="H2034" s="1"/>
    </row>
    <row r="2035" spans="1:8" ht="13.2" x14ac:dyDescent="0.25">
      <c r="A2035" s="1"/>
      <c r="B2035" s="1"/>
      <c r="C2035" s="1"/>
      <c r="D2035" s="1"/>
      <c r="E2035" s="1"/>
      <c r="F2035" s="1"/>
      <c r="G2035" s="1"/>
      <c r="H2035" s="1"/>
    </row>
    <row r="2036" spans="1:8" ht="13.2" x14ac:dyDescent="0.25">
      <c r="A2036" s="1"/>
      <c r="B2036" s="1"/>
      <c r="C2036" s="1"/>
      <c r="D2036" s="1"/>
      <c r="E2036" s="1"/>
      <c r="F2036" s="1"/>
      <c r="G2036" s="1"/>
      <c r="H2036" s="1"/>
    </row>
    <row r="2037" spans="1:8" ht="13.2" x14ac:dyDescent="0.25">
      <c r="A2037" s="1"/>
      <c r="B2037" s="1"/>
      <c r="C2037" s="1"/>
      <c r="D2037" s="1"/>
      <c r="E2037" s="1"/>
      <c r="F2037" s="1"/>
      <c r="G2037" s="1"/>
      <c r="H2037" s="1"/>
    </row>
    <row r="2038" spans="1:8" ht="13.2" x14ac:dyDescent="0.25">
      <c r="A2038" s="2"/>
      <c r="B2038" s="1"/>
      <c r="C2038" s="1"/>
      <c r="D2038" s="1"/>
      <c r="E2038" s="1"/>
      <c r="F2038" s="1"/>
      <c r="G2038" s="3"/>
      <c r="H2038" s="1"/>
    </row>
    <row r="2039" spans="1:8" ht="13.2" x14ac:dyDescent="0.25">
      <c r="A2039" s="2"/>
      <c r="B2039" s="1"/>
      <c r="C2039" s="1"/>
      <c r="D2039" s="1"/>
      <c r="E2039" s="1"/>
      <c r="F2039" s="1"/>
      <c r="G2039" s="3"/>
      <c r="H2039" s="1"/>
    </row>
    <row r="2040" spans="1:8" ht="13.2" x14ac:dyDescent="0.25">
      <c r="A2040" s="2"/>
      <c r="B2040" s="1"/>
      <c r="C2040" s="1"/>
      <c r="D2040" s="1"/>
      <c r="E2040" s="1"/>
      <c r="F2040" s="1"/>
      <c r="G2040" s="3"/>
      <c r="H2040" s="1"/>
    </row>
    <row r="2041" spans="1:8" ht="13.2" x14ac:dyDescent="0.25">
      <c r="A2041" s="2"/>
      <c r="B2041" s="1"/>
      <c r="C2041" s="1"/>
      <c r="D2041" s="1"/>
      <c r="E2041" s="1"/>
      <c r="F2041" s="1"/>
      <c r="G2041" s="3"/>
      <c r="H2041" s="1"/>
    </row>
    <row r="2042" spans="1:8" ht="13.2" x14ac:dyDescent="0.25">
      <c r="A2042" s="2"/>
      <c r="B2042" s="1"/>
      <c r="C2042" s="1"/>
      <c r="D2042" s="1"/>
      <c r="E2042" s="1"/>
      <c r="F2042" s="1"/>
      <c r="G2042" s="3"/>
      <c r="H2042" s="1"/>
    </row>
    <row r="2043" spans="1:8" ht="13.2" x14ac:dyDescent="0.25">
      <c r="A2043" s="2"/>
      <c r="B2043" s="1"/>
      <c r="C2043" s="1"/>
      <c r="D2043" s="1"/>
      <c r="E2043" s="1"/>
      <c r="F2043" s="1"/>
      <c r="G2043" s="3"/>
      <c r="H2043" s="1"/>
    </row>
    <row r="2044" spans="1:8" ht="13.2" x14ac:dyDescent="0.25">
      <c r="A2044" s="2"/>
      <c r="B2044" s="1"/>
      <c r="C2044" s="1"/>
      <c r="D2044" s="1"/>
      <c r="E2044" s="1"/>
      <c r="F2044" s="1"/>
      <c r="G2044" s="1"/>
      <c r="H2044" s="1"/>
    </row>
    <row r="2045" spans="1:8" ht="13.2" x14ac:dyDescent="0.25">
      <c r="A2045" s="2"/>
      <c r="B2045" s="1"/>
      <c r="C2045" s="1"/>
      <c r="D2045" s="1"/>
      <c r="E2045" s="1"/>
      <c r="F2045" s="1"/>
      <c r="G2045" s="3"/>
      <c r="H2045" s="1"/>
    </row>
    <row r="2046" spans="1:8" ht="13.2" x14ac:dyDescent="0.25">
      <c r="A2046" s="1"/>
      <c r="B2046" s="1"/>
      <c r="C2046" s="1"/>
      <c r="D2046" s="1"/>
      <c r="E2046" s="1"/>
      <c r="F2046" s="1"/>
      <c r="G2046" s="1"/>
      <c r="H2046" s="1"/>
    </row>
    <row r="2047" spans="1:8" ht="13.2" x14ac:dyDescent="0.25">
      <c r="A2047" s="2"/>
      <c r="B2047" s="1"/>
      <c r="C2047" s="1"/>
      <c r="D2047" s="1"/>
      <c r="E2047" s="1"/>
      <c r="F2047" s="1"/>
      <c r="G2047" s="3"/>
      <c r="H2047" s="1"/>
    </row>
    <row r="2048" spans="1:8" ht="13.2" x14ac:dyDescent="0.25">
      <c r="A2048" s="1"/>
      <c r="B2048" s="1"/>
      <c r="C2048" s="1"/>
      <c r="D2048" s="1"/>
      <c r="E2048" s="1"/>
      <c r="F2048" s="1"/>
      <c r="G2048" s="1"/>
      <c r="H2048" s="1"/>
    </row>
    <row r="2049" spans="1:8" ht="13.2" x14ac:dyDescent="0.25">
      <c r="A2049" s="1"/>
      <c r="B2049" s="1"/>
      <c r="C2049" s="1"/>
      <c r="D2049" s="1"/>
      <c r="E2049" s="1"/>
      <c r="F2049" s="1"/>
      <c r="G2049" s="1"/>
      <c r="H2049" s="1"/>
    </row>
    <row r="2050" spans="1:8" ht="13.2" x14ac:dyDescent="0.25">
      <c r="A2050" s="1"/>
      <c r="B2050" s="1"/>
      <c r="C2050" s="1"/>
      <c r="D2050" s="1"/>
      <c r="E2050" s="1"/>
      <c r="F2050" s="1"/>
      <c r="G2050" s="1"/>
      <c r="H2050" s="1"/>
    </row>
    <row r="2051" spans="1:8" ht="13.2" x14ac:dyDescent="0.25">
      <c r="A2051" s="2"/>
      <c r="B2051" s="1"/>
      <c r="C2051" s="1"/>
      <c r="D2051" s="1"/>
      <c r="E2051" s="1"/>
      <c r="F2051" s="1"/>
      <c r="G2051" s="3"/>
      <c r="H2051" s="1"/>
    </row>
    <row r="2052" spans="1:8" ht="13.2" x14ac:dyDescent="0.25">
      <c r="A2052" s="2"/>
      <c r="B2052" s="1"/>
      <c r="C2052" s="1"/>
      <c r="D2052" s="1"/>
      <c r="E2052" s="1"/>
      <c r="F2052" s="1"/>
      <c r="G2052" s="1"/>
      <c r="H2052" s="1"/>
    </row>
    <row r="2053" spans="1:8" ht="13.2" x14ac:dyDescent="0.25">
      <c r="A2053" s="2"/>
      <c r="B2053" s="1"/>
      <c r="C2053" s="1"/>
      <c r="D2053" s="1"/>
      <c r="E2053" s="1"/>
      <c r="F2053" s="1"/>
      <c r="G2053" s="3"/>
      <c r="H2053" s="1"/>
    </row>
    <row r="2054" spans="1:8" ht="13.2" x14ac:dyDescent="0.25">
      <c r="A2054" s="2"/>
      <c r="B2054" s="1"/>
      <c r="C2054" s="1"/>
      <c r="D2054" s="1"/>
      <c r="E2054" s="1"/>
      <c r="F2054" s="1"/>
      <c r="G2054" s="1"/>
      <c r="H2054" s="1"/>
    </row>
    <row r="2055" spans="1:8" ht="13.2" x14ac:dyDescent="0.25">
      <c r="A2055" s="2"/>
      <c r="B2055" s="1"/>
      <c r="C2055" s="1"/>
      <c r="D2055" s="1"/>
      <c r="E2055" s="1"/>
      <c r="F2055" s="1"/>
      <c r="G2055" s="1"/>
      <c r="H2055" s="1"/>
    </row>
    <row r="2056" spans="1:8" ht="13.2" x14ac:dyDescent="0.25">
      <c r="A2056" s="2"/>
      <c r="B2056" s="1"/>
      <c r="C2056" s="1"/>
      <c r="D2056" s="1"/>
      <c r="E2056" s="1"/>
      <c r="F2056" s="1"/>
      <c r="G2056" s="1"/>
      <c r="H2056" s="1"/>
    </row>
    <row r="2057" spans="1:8" ht="13.2" x14ac:dyDescent="0.25">
      <c r="A2057" s="2"/>
      <c r="B2057" s="1"/>
      <c r="C2057" s="1"/>
      <c r="D2057" s="1"/>
      <c r="E2057" s="1"/>
      <c r="F2057" s="1"/>
      <c r="G2057" s="1"/>
      <c r="H2057" s="1"/>
    </row>
    <row r="2058" spans="1:8" ht="13.2" x14ac:dyDescent="0.25">
      <c r="A2058" s="2"/>
      <c r="B2058" s="1"/>
      <c r="C2058" s="1"/>
      <c r="D2058" s="1"/>
      <c r="E2058" s="1"/>
      <c r="F2058" s="1"/>
      <c r="G2058" s="1"/>
      <c r="H2058" s="1"/>
    </row>
    <row r="2059" spans="1:8" ht="13.2" x14ac:dyDescent="0.25">
      <c r="A2059" s="1"/>
      <c r="B2059" s="1"/>
      <c r="C2059" s="1"/>
      <c r="D2059" s="1"/>
      <c r="E2059" s="1"/>
      <c r="F2059" s="1"/>
      <c r="G2059" s="1"/>
      <c r="H2059" s="1"/>
    </row>
    <row r="2060" spans="1:8" ht="13.2" x14ac:dyDescent="0.25">
      <c r="A2060" s="1"/>
      <c r="B2060" s="1"/>
      <c r="C2060" s="1"/>
      <c r="D2060" s="1"/>
      <c r="E2060" s="1"/>
      <c r="F2060" s="1"/>
      <c r="G2060" s="1"/>
      <c r="H2060" s="1"/>
    </row>
    <row r="2061" spans="1:8" ht="13.2" x14ac:dyDescent="0.25">
      <c r="A2061" s="1"/>
      <c r="B2061" s="1"/>
      <c r="C2061" s="1"/>
      <c r="D2061" s="1"/>
      <c r="E2061" s="1"/>
      <c r="F2061" s="1"/>
      <c r="G2061" s="3"/>
      <c r="H2061" s="1"/>
    </row>
    <row r="2062" spans="1:8" ht="13.2" x14ac:dyDescent="0.25">
      <c r="A2062" s="1"/>
      <c r="B2062" s="1"/>
      <c r="C2062" s="1"/>
      <c r="D2062" s="1"/>
      <c r="E2062" s="1"/>
      <c r="F2062" s="1"/>
      <c r="G2062" s="1"/>
      <c r="H2062" s="1"/>
    </row>
    <row r="2063" spans="1:8" ht="13.2" x14ac:dyDescent="0.25">
      <c r="A2063" s="2"/>
      <c r="B2063" s="1"/>
      <c r="C2063" s="1"/>
      <c r="D2063" s="1"/>
      <c r="E2063" s="2"/>
      <c r="F2063" s="1"/>
      <c r="G2063" s="1"/>
      <c r="H2063" s="1"/>
    </row>
    <row r="2064" spans="1:8" ht="13.2" x14ac:dyDescent="0.25">
      <c r="A2064" s="2"/>
      <c r="B2064" s="1"/>
      <c r="C2064" s="1"/>
      <c r="D2064" s="1"/>
      <c r="E2064" s="1"/>
      <c r="F2064" s="1"/>
      <c r="G2064" s="1"/>
      <c r="H2064" s="1"/>
    </row>
    <row r="2065" spans="1:8" ht="13.2" x14ac:dyDescent="0.25">
      <c r="A2065" s="1"/>
      <c r="B2065" s="1"/>
      <c r="C2065" s="1"/>
      <c r="D2065" s="1"/>
      <c r="E2065" s="1"/>
      <c r="F2065" s="1"/>
      <c r="G2065" s="3"/>
      <c r="H2065" s="1"/>
    </row>
    <row r="2066" spans="1:8" ht="13.2" x14ac:dyDescent="0.25">
      <c r="A2066" s="1"/>
      <c r="B2066" s="1"/>
      <c r="C2066" s="1"/>
      <c r="D2066" s="1"/>
      <c r="E2066" s="1"/>
      <c r="F2066" s="1"/>
      <c r="G2066" s="1"/>
      <c r="H2066" s="1"/>
    </row>
    <row r="2067" spans="1:8" ht="13.2" x14ac:dyDescent="0.25">
      <c r="A2067" s="1"/>
      <c r="B2067" s="1"/>
      <c r="C2067" s="1"/>
      <c r="D2067" s="1"/>
      <c r="E2067" s="1"/>
      <c r="F2067" s="1"/>
      <c r="G2067" s="3"/>
      <c r="H2067" s="1"/>
    </row>
    <row r="2068" spans="1:8" ht="13.2" x14ac:dyDescent="0.25">
      <c r="A2068" s="1"/>
      <c r="B2068" s="1"/>
      <c r="C2068" s="1"/>
      <c r="D2068" s="1"/>
      <c r="E2068" s="1"/>
      <c r="F2068" s="1"/>
      <c r="G2068" s="1"/>
      <c r="H2068" s="1"/>
    </row>
    <row r="2069" spans="1:8" ht="13.2" x14ac:dyDescent="0.25">
      <c r="A2069" s="1"/>
      <c r="B2069" s="1"/>
      <c r="C2069" s="1"/>
      <c r="D2069" s="1"/>
      <c r="E2069" s="1"/>
      <c r="F2069" s="1"/>
      <c r="G2069" s="1"/>
      <c r="H2069" s="1"/>
    </row>
    <row r="2070" spans="1:8" ht="13.2" x14ac:dyDescent="0.25">
      <c r="A2070" s="2"/>
      <c r="B2070" s="1"/>
      <c r="C2070" s="1"/>
      <c r="D2070" s="1"/>
      <c r="E2070" s="1"/>
      <c r="F2070" s="1"/>
      <c r="G2070" s="1"/>
      <c r="H2070" s="1"/>
    </row>
    <row r="2071" spans="1:8" ht="13.2" x14ac:dyDescent="0.25">
      <c r="A2071" s="1"/>
      <c r="B2071" s="1"/>
      <c r="C2071" s="1"/>
      <c r="D2071" s="1"/>
      <c r="E2071" s="1"/>
      <c r="F2071" s="1"/>
      <c r="G2071" s="1"/>
      <c r="H2071" s="1"/>
    </row>
    <row r="2072" spans="1:8" ht="13.2" x14ac:dyDescent="0.25">
      <c r="A2072" s="2"/>
      <c r="B2072" s="1"/>
      <c r="C2072" s="1"/>
      <c r="D2072" s="1"/>
      <c r="E2072" s="1"/>
      <c r="F2072" s="1"/>
      <c r="G2072" s="1"/>
      <c r="H2072" s="1"/>
    </row>
    <row r="2073" spans="1:8" ht="13.2" x14ac:dyDescent="0.25">
      <c r="A2073" s="2"/>
      <c r="B2073" s="1"/>
      <c r="C2073" s="1"/>
      <c r="D2073" s="1"/>
      <c r="E2073" s="1"/>
      <c r="F2073" s="1"/>
      <c r="G2073" s="1"/>
      <c r="H2073" s="1"/>
    </row>
    <row r="2074" spans="1:8" ht="13.2" x14ac:dyDescent="0.25">
      <c r="A2074" s="1"/>
      <c r="B2074" s="1"/>
      <c r="C2074" s="1"/>
      <c r="D2074" s="1"/>
      <c r="E2074" s="1"/>
      <c r="F2074" s="1"/>
      <c r="G2074" s="3"/>
      <c r="H2074" s="1"/>
    </row>
    <row r="2075" spans="1:8" ht="13.2" x14ac:dyDescent="0.25">
      <c r="A2075" s="1"/>
      <c r="B2075" s="1"/>
      <c r="C2075" s="1"/>
      <c r="D2075" s="1"/>
      <c r="E2075" s="1"/>
      <c r="F2075" s="1"/>
      <c r="G2075" s="1"/>
      <c r="H2075" s="1"/>
    </row>
    <row r="2076" spans="1:8" ht="13.2" x14ac:dyDescent="0.25">
      <c r="A2076" s="1"/>
      <c r="B2076" s="1"/>
      <c r="C2076" s="1"/>
      <c r="D2076" s="1"/>
      <c r="E2076" s="1"/>
      <c r="F2076" s="1"/>
      <c r="G2076" s="3"/>
      <c r="H2076" s="1"/>
    </row>
    <row r="2077" spans="1:8" ht="13.2" x14ac:dyDescent="0.25">
      <c r="A2077" s="1"/>
      <c r="B2077" s="1"/>
      <c r="C2077" s="1"/>
      <c r="D2077" s="1"/>
      <c r="E2077" s="1"/>
      <c r="F2077" s="1"/>
      <c r="G2077" s="3"/>
      <c r="H2077" s="1"/>
    </row>
    <row r="2078" spans="1:8" ht="13.2" x14ac:dyDescent="0.25">
      <c r="A2078" s="2"/>
      <c r="B2078" s="1"/>
      <c r="C2078" s="1"/>
      <c r="D2078" s="1"/>
      <c r="E2078" s="1"/>
      <c r="F2078" s="1"/>
      <c r="G2078" s="1"/>
      <c r="H2078" s="1"/>
    </row>
    <row r="2079" spans="1:8" ht="13.2" x14ac:dyDescent="0.25">
      <c r="A2079" s="2"/>
      <c r="B2079" s="1"/>
      <c r="C2079" s="1"/>
      <c r="D2079" s="1"/>
      <c r="E2079" s="1"/>
      <c r="F2079" s="1"/>
      <c r="G2079" s="3"/>
      <c r="H2079" s="1"/>
    </row>
    <row r="2080" spans="1:8" ht="13.2" x14ac:dyDescent="0.25">
      <c r="A2080" s="1"/>
      <c r="B2080" s="1"/>
      <c r="C2080" s="1"/>
      <c r="D2080" s="1"/>
      <c r="E2080" s="1"/>
      <c r="F2080" s="1"/>
      <c r="G2080" s="1"/>
      <c r="H2080" s="1"/>
    </row>
    <row r="2081" spans="1:8" ht="13.2" x14ac:dyDescent="0.25">
      <c r="A2081" s="2"/>
      <c r="B2081" s="1"/>
      <c r="C2081" s="1"/>
      <c r="D2081" s="1"/>
      <c r="E2081" s="1"/>
      <c r="F2081" s="1"/>
      <c r="G2081" s="3"/>
      <c r="H2081" s="1"/>
    </row>
    <row r="2082" spans="1:8" ht="13.2" x14ac:dyDescent="0.25">
      <c r="A2082" s="1"/>
      <c r="B2082" s="1"/>
      <c r="C2082" s="1"/>
      <c r="D2082" s="1"/>
      <c r="E2082" s="1"/>
      <c r="F2082" s="1"/>
      <c r="G2082" s="3"/>
      <c r="H2082" s="1"/>
    </row>
    <row r="2083" spans="1:8" ht="13.2" x14ac:dyDescent="0.25">
      <c r="A2083" s="1"/>
      <c r="B2083" s="1"/>
      <c r="C2083" s="1"/>
      <c r="D2083" s="1"/>
      <c r="E2083" s="1"/>
      <c r="F2083" s="1"/>
      <c r="G2083" s="1"/>
      <c r="H2083" s="1"/>
    </row>
    <row r="2084" spans="1:8" ht="13.2" x14ac:dyDescent="0.25">
      <c r="A2084" s="1"/>
      <c r="B2084" s="1"/>
      <c r="C2084" s="1"/>
      <c r="D2084" s="1"/>
      <c r="E2084" s="1"/>
      <c r="F2084" s="1"/>
      <c r="G2084" s="3"/>
      <c r="H2084" s="1"/>
    </row>
    <row r="2085" spans="1:8" ht="13.2" x14ac:dyDescent="0.25">
      <c r="A2085" s="1"/>
      <c r="B2085" s="1"/>
      <c r="C2085" s="1"/>
      <c r="D2085" s="1"/>
      <c r="E2085" s="1"/>
      <c r="F2085" s="1"/>
      <c r="G2085" s="1"/>
      <c r="H2085" s="1"/>
    </row>
    <row r="2086" spans="1:8" ht="13.2" x14ac:dyDescent="0.25">
      <c r="A2086" s="1"/>
      <c r="B2086" s="1"/>
      <c r="C2086" s="1"/>
      <c r="D2086" s="1"/>
      <c r="E2086" s="1"/>
      <c r="F2086" s="1"/>
      <c r="G2086" s="1"/>
      <c r="H2086" s="1"/>
    </row>
    <row r="2087" spans="1:8" ht="13.2" x14ac:dyDescent="0.25">
      <c r="A2087" s="2"/>
      <c r="B2087" s="1"/>
      <c r="C2087" s="1"/>
      <c r="D2087" s="1"/>
      <c r="E2087" s="1"/>
      <c r="F2087" s="1"/>
      <c r="G2087" s="1"/>
      <c r="H2087" s="1"/>
    </row>
    <row r="2088" spans="1:8" ht="13.2" x14ac:dyDescent="0.25">
      <c r="A2088" s="2"/>
      <c r="B2088" s="1"/>
      <c r="C2088" s="1"/>
      <c r="D2088" s="1"/>
      <c r="E2088" s="1"/>
      <c r="F2088" s="1"/>
      <c r="G2088" s="1"/>
      <c r="H2088" s="1"/>
    </row>
    <row r="2089" spans="1:8" ht="13.2" x14ac:dyDescent="0.25">
      <c r="A2089" s="2"/>
      <c r="B2089" s="1"/>
      <c r="C2089" s="1"/>
      <c r="D2089" s="1"/>
      <c r="E2089" s="1"/>
      <c r="F2089" s="1"/>
      <c r="G2089" s="1"/>
      <c r="H2089" s="1"/>
    </row>
    <row r="2090" spans="1:8" ht="13.2" x14ac:dyDescent="0.25">
      <c r="A2090" s="1"/>
      <c r="B2090" s="1"/>
      <c r="C2090" s="1"/>
      <c r="D2090" s="1"/>
      <c r="E2090" s="1"/>
      <c r="F2090" s="1"/>
      <c r="G2090" s="1"/>
      <c r="H2090" s="1"/>
    </row>
    <row r="2091" spans="1:8" ht="13.2" x14ac:dyDescent="0.25">
      <c r="A2091" s="1"/>
      <c r="B2091" s="1"/>
      <c r="C2091" s="1"/>
      <c r="D2091" s="1"/>
      <c r="E2091" s="1"/>
      <c r="F2091" s="1"/>
      <c r="G2091" s="1"/>
      <c r="H2091" s="1"/>
    </row>
    <row r="2092" spans="1:8" ht="13.2" x14ac:dyDescent="0.25">
      <c r="A2092" s="1"/>
      <c r="B2092" s="1"/>
      <c r="C2092" s="1"/>
      <c r="D2092" s="1"/>
      <c r="E2092" s="1"/>
      <c r="F2092" s="1"/>
      <c r="G2092" s="1"/>
      <c r="H2092" s="1"/>
    </row>
    <row r="2093" spans="1:8" ht="13.2" x14ac:dyDescent="0.25">
      <c r="A2093" s="1"/>
      <c r="B2093" s="1"/>
      <c r="C2093" s="1"/>
      <c r="D2093" s="1"/>
      <c r="E2093" s="1"/>
      <c r="F2093" s="1"/>
      <c r="G2093" s="1"/>
      <c r="H2093" s="1"/>
    </row>
    <row r="2094" spans="1:8" ht="13.2" x14ac:dyDescent="0.25">
      <c r="A2094" s="1"/>
      <c r="B2094" s="1"/>
      <c r="C2094" s="1"/>
      <c r="D2094" s="1"/>
      <c r="E2094" s="1"/>
      <c r="F2094" s="1"/>
      <c r="G2094" s="1"/>
      <c r="H2094" s="1"/>
    </row>
    <row r="2095" spans="1:8" ht="13.2" x14ac:dyDescent="0.25">
      <c r="A2095" s="1"/>
      <c r="B2095" s="1"/>
      <c r="C2095" s="1"/>
      <c r="D2095" s="1"/>
      <c r="E2095" s="1"/>
      <c r="F2095" s="1"/>
      <c r="G2095" s="1"/>
      <c r="H2095" s="1"/>
    </row>
    <row r="2096" spans="1:8" ht="13.2" x14ac:dyDescent="0.25">
      <c r="A2096" s="1"/>
      <c r="B2096" s="1"/>
      <c r="C2096" s="1"/>
      <c r="D2096" s="1"/>
      <c r="E2096" s="1"/>
      <c r="F2096" s="1"/>
      <c r="G2096" s="3"/>
      <c r="H2096" s="1"/>
    </row>
    <row r="2097" spans="1:8" ht="13.2" x14ac:dyDescent="0.25">
      <c r="A2097" s="1"/>
      <c r="B2097" s="1"/>
      <c r="C2097" s="1"/>
      <c r="D2097" s="1"/>
      <c r="E2097" s="1"/>
      <c r="F2097" s="1"/>
      <c r="G2097" s="3"/>
      <c r="H2097" s="1"/>
    </row>
    <row r="2098" spans="1:8" ht="13.2" x14ac:dyDescent="0.25">
      <c r="A2098" s="1"/>
      <c r="B2098" s="1"/>
      <c r="C2098" s="1"/>
      <c r="D2098" s="1"/>
      <c r="E2098" s="1"/>
      <c r="F2098" s="1"/>
      <c r="G2098" s="3"/>
      <c r="H2098" s="1"/>
    </row>
    <row r="2099" spans="1:8" ht="13.2" x14ac:dyDescent="0.25">
      <c r="A2099" s="1"/>
      <c r="B2099" s="1"/>
      <c r="C2099" s="1"/>
      <c r="D2099" s="1"/>
      <c r="E2099" s="1"/>
      <c r="F2099" s="1"/>
      <c r="G2099" s="3"/>
      <c r="H2099" s="1"/>
    </row>
    <row r="2100" spans="1:8" ht="13.2" x14ac:dyDescent="0.25">
      <c r="A2100" s="2"/>
      <c r="B2100" s="1"/>
      <c r="C2100" s="1"/>
      <c r="D2100" s="1"/>
      <c r="E2100" s="1"/>
      <c r="F2100" s="1"/>
      <c r="G2100" s="3"/>
      <c r="H2100" s="1"/>
    </row>
    <row r="2101" spans="1:8" ht="13.2" x14ac:dyDescent="0.25">
      <c r="A2101" s="1"/>
      <c r="B2101" s="1"/>
      <c r="C2101" s="1"/>
      <c r="D2101" s="1"/>
      <c r="E2101" s="1"/>
      <c r="F2101" s="1"/>
      <c r="G2101" s="3"/>
      <c r="H2101" s="1"/>
    </row>
    <row r="2102" spans="1:8" ht="13.2" x14ac:dyDescent="0.25">
      <c r="A2102" s="1"/>
      <c r="B2102" s="1"/>
      <c r="C2102" s="1"/>
      <c r="D2102" s="1"/>
      <c r="E2102" s="1"/>
      <c r="F2102" s="1"/>
      <c r="G2102" s="3"/>
      <c r="H2102" s="1"/>
    </row>
    <row r="2103" spans="1:8" ht="13.2" x14ac:dyDescent="0.25">
      <c r="A2103" s="1"/>
      <c r="B2103" s="1"/>
      <c r="C2103" s="1"/>
      <c r="D2103" s="1"/>
      <c r="E2103" s="1"/>
      <c r="F2103" s="1"/>
      <c r="G2103" s="3"/>
      <c r="H2103" s="1"/>
    </row>
    <row r="2104" spans="1:8" ht="13.2" x14ac:dyDescent="0.25">
      <c r="A2104" s="1"/>
      <c r="B2104" s="1"/>
      <c r="C2104" s="1"/>
      <c r="D2104" s="1"/>
      <c r="E2104" s="1"/>
      <c r="F2104" s="1"/>
      <c r="G2104" s="1"/>
      <c r="H2104" s="1"/>
    </row>
    <row r="2105" spans="1:8" ht="13.2" x14ac:dyDescent="0.25">
      <c r="A2105" s="2"/>
      <c r="B2105" s="1"/>
      <c r="C2105" s="1"/>
      <c r="D2105" s="1"/>
      <c r="E2105" s="1"/>
      <c r="F2105" s="1"/>
      <c r="G2105" s="1"/>
      <c r="H2105" s="1"/>
    </row>
    <row r="2106" spans="1:8" ht="13.2" x14ac:dyDescent="0.25">
      <c r="A2106" s="1"/>
      <c r="B2106" s="1"/>
      <c r="C2106" s="1"/>
      <c r="D2106" s="1"/>
      <c r="E2106" s="1"/>
      <c r="F2106" s="1"/>
      <c r="G2106" s="3"/>
      <c r="H2106" s="1"/>
    </row>
    <row r="2107" spans="1:8" ht="13.2" x14ac:dyDescent="0.25">
      <c r="A2107" s="1"/>
      <c r="B2107" s="1"/>
      <c r="C2107" s="1"/>
      <c r="D2107" s="1"/>
      <c r="E2107" s="1"/>
      <c r="F2107" s="1"/>
      <c r="G2107" s="1"/>
      <c r="H2107" s="1"/>
    </row>
    <row r="2108" spans="1:8" ht="13.2" x14ac:dyDescent="0.25">
      <c r="A2108" s="2"/>
      <c r="B2108" s="1"/>
      <c r="C2108" s="1"/>
      <c r="D2108" s="1"/>
      <c r="E2108" s="1"/>
      <c r="F2108" s="1"/>
      <c r="G2108" s="3"/>
      <c r="H2108" s="1"/>
    </row>
    <row r="2109" spans="1:8" ht="13.2" x14ac:dyDescent="0.25">
      <c r="A2109" s="2"/>
      <c r="B2109" s="1"/>
      <c r="C2109" s="1"/>
      <c r="D2109" s="1"/>
      <c r="E2109" s="1"/>
      <c r="F2109" s="1"/>
      <c r="G2109" s="3"/>
      <c r="H2109" s="1"/>
    </row>
    <row r="2110" spans="1:8" ht="13.2" x14ac:dyDescent="0.25">
      <c r="A2110" s="1"/>
      <c r="B2110" s="1"/>
      <c r="C2110" s="1"/>
      <c r="D2110" s="1"/>
      <c r="E2110" s="1"/>
      <c r="F2110" s="1"/>
      <c r="G2110" s="1"/>
      <c r="H2110" s="1"/>
    </row>
    <row r="2111" spans="1:8" ht="13.2" x14ac:dyDescent="0.25">
      <c r="A2111" s="1"/>
      <c r="B2111" s="1"/>
      <c r="C2111" s="1"/>
      <c r="D2111" s="1"/>
      <c r="E2111" s="1"/>
      <c r="F2111" s="1"/>
      <c r="G2111" s="1"/>
      <c r="H2111" s="1"/>
    </row>
    <row r="2112" spans="1:8" ht="13.2" x14ac:dyDescent="0.25">
      <c r="A2112" s="1"/>
      <c r="B2112" s="1"/>
      <c r="C2112" s="1"/>
      <c r="D2112" s="1"/>
      <c r="E2112" s="1"/>
      <c r="F2112" s="1"/>
      <c r="G2112" s="1"/>
      <c r="H2112" s="1"/>
    </row>
    <row r="2113" spans="1:8" ht="13.2" x14ac:dyDescent="0.25">
      <c r="A2113" s="1"/>
      <c r="B2113" s="1"/>
      <c r="C2113" s="1"/>
      <c r="D2113" s="1"/>
      <c r="E2113" s="1"/>
      <c r="F2113" s="1"/>
      <c r="G2113" s="1"/>
      <c r="H2113" s="1"/>
    </row>
    <row r="2114" spans="1:8" ht="13.2" x14ac:dyDescent="0.25">
      <c r="A2114" s="1"/>
      <c r="B2114" s="1"/>
      <c r="C2114" s="1"/>
      <c r="D2114" s="1"/>
      <c r="E2114" s="1"/>
      <c r="F2114" s="1"/>
      <c r="G2114" s="1"/>
      <c r="H2114" s="1"/>
    </row>
    <row r="2115" spans="1:8" ht="13.2" x14ac:dyDescent="0.25">
      <c r="A2115" s="1"/>
      <c r="B2115" s="1"/>
      <c r="C2115" s="1"/>
      <c r="D2115" s="1"/>
      <c r="E2115" s="1"/>
      <c r="F2115" s="1"/>
      <c r="G2115" s="1"/>
      <c r="H2115" s="1"/>
    </row>
    <row r="2116" spans="1:8" ht="13.2" x14ac:dyDescent="0.25">
      <c r="A2116" s="1"/>
      <c r="B2116" s="1"/>
      <c r="C2116" s="1"/>
      <c r="D2116" s="1"/>
      <c r="E2116" s="1"/>
      <c r="F2116" s="1"/>
      <c r="G2116" s="3"/>
      <c r="H2116" s="1"/>
    </row>
    <row r="2117" spans="1:8" ht="13.2" x14ac:dyDescent="0.25">
      <c r="A2117" s="1"/>
      <c r="B2117" s="1"/>
      <c r="C2117" s="1"/>
      <c r="D2117" s="1"/>
      <c r="E2117" s="1"/>
      <c r="F2117" s="1"/>
      <c r="G2117" s="3"/>
      <c r="H2117" s="1"/>
    </row>
    <row r="2118" spans="1:8" ht="13.2" x14ac:dyDescent="0.25">
      <c r="A2118" s="1"/>
      <c r="B2118" s="1"/>
      <c r="C2118" s="1"/>
      <c r="D2118" s="1"/>
      <c r="E2118" s="1"/>
      <c r="F2118" s="1"/>
      <c r="G2118" s="1"/>
      <c r="H2118" s="1"/>
    </row>
    <row r="2119" spans="1:8" ht="13.2" x14ac:dyDescent="0.25">
      <c r="A2119" s="1"/>
      <c r="B2119" s="1"/>
      <c r="C2119" s="1"/>
      <c r="D2119" s="1"/>
      <c r="E2119" s="1"/>
      <c r="F2119" s="1"/>
      <c r="G2119" s="3"/>
      <c r="H2119" s="1"/>
    </row>
    <row r="2120" spans="1:8" ht="13.2" x14ac:dyDescent="0.25">
      <c r="A2120" s="2"/>
      <c r="B2120" s="1"/>
      <c r="C2120" s="1"/>
      <c r="D2120" s="1"/>
      <c r="E2120" s="1"/>
      <c r="F2120" s="1"/>
      <c r="G2120" s="1"/>
      <c r="H2120" s="1"/>
    </row>
    <row r="2121" spans="1:8" ht="13.2" x14ac:dyDescent="0.25">
      <c r="A2121" s="1"/>
      <c r="B2121" s="1"/>
      <c r="C2121" s="1"/>
      <c r="D2121" s="1"/>
      <c r="E2121" s="1"/>
      <c r="F2121" s="1"/>
      <c r="G2121" s="3"/>
      <c r="H2121" s="1"/>
    </row>
    <row r="2122" spans="1:8" ht="13.2" x14ac:dyDescent="0.25">
      <c r="A2122" s="1"/>
      <c r="B2122" s="1"/>
      <c r="C2122" s="1"/>
      <c r="D2122" s="1"/>
      <c r="E2122" s="1"/>
      <c r="F2122" s="1"/>
      <c r="G2122" s="1"/>
      <c r="H2122" s="1"/>
    </row>
    <row r="2123" spans="1:8" ht="13.2" x14ac:dyDescent="0.25">
      <c r="A2123" s="1"/>
      <c r="B2123" s="1"/>
      <c r="C2123" s="1"/>
      <c r="D2123" s="1"/>
      <c r="E2123" s="1"/>
      <c r="F2123" s="1"/>
      <c r="G2123" s="3"/>
      <c r="H2123" s="1"/>
    </row>
    <row r="2124" spans="1:8" ht="13.2" x14ac:dyDescent="0.25">
      <c r="A2124" s="1"/>
      <c r="B2124" s="1"/>
      <c r="C2124" s="1"/>
      <c r="D2124" s="1"/>
      <c r="E2124" s="1"/>
      <c r="F2124" s="1"/>
      <c r="G2124" s="3"/>
      <c r="H2124" s="1"/>
    </row>
    <row r="2125" spans="1:8" ht="13.2" x14ac:dyDescent="0.25">
      <c r="A2125" s="1"/>
      <c r="B2125" s="1"/>
      <c r="C2125" s="1"/>
      <c r="D2125" s="1"/>
      <c r="E2125" s="1"/>
      <c r="F2125" s="1"/>
      <c r="G2125" s="1"/>
      <c r="H2125" s="1"/>
    </row>
    <row r="2126" spans="1:8" ht="13.2" x14ac:dyDescent="0.25">
      <c r="A2126" s="1"/>
      <c r="B2126" s="1"/>
      <c r="C2126" s="1"/>
      <c r="D2126" s="1"/>
      <c r="E2126" s="1"/>
      <c r="F2126" s="1"/>
      <c r="G2126" s="1"/>
      <c r="H2126" s="1"/>
    </row>
    <row r="2127" spans="1:8" ht="13.2" x14ac:dyDescent="0.25">
      <c r="A2127" s="1"/>
      <c r="B2127" s="1"/>
      <c r="C2127" s="1"/>
      <c r="D2127" s="1"/>
      <c r="E2127" s="1"/>
      <c r="F2127" s="1"/>
      <c r="G2127" s="3"/>
      <c r="H2127" s="1"/>
    </row>
    <row r="2128" spans="1:8" ht="13.2" x14ac:dyDescent="0.25">
      <c r="A2128" s="2"/>
      <c r="B2128" s="1"/>
      <c r="C2128" s="1"/>
      <c r="D2128" s="1"/>
      <c r="E2128" s="1"/>
      <c r="F2128" s="1"/>
      <c r="G2128" s="3"/>
      <c r="H2128" s="1"/>
    </row>
    <row r="2129" spans="1:8" ht="13.2" x14ac:dyDescent="0.25">
      <c r="A2129" s="2"/>
      <c r="B2129" s="1"/>
      <c r="C2129" s="1"/>
      <c r="D2129" s="1"/>
      <c r="E2129" s="1"/>
      <c r="F2129" s="1"/>
      <c r="G2129" s="1"/>
      <c r="H2129" s="1"/>
    </row>
    <row r="2130" spans="1:8" ht="13.2" x14ac:dyDescent="0.25">
      <c r="A2130" s="2"/>
      <c r="B2130" s="1"/>
      <c r="C2130" s="1"/>
      <c r="D2130" s="1"/>
      <c r="E2130" s="1"/>
      <c r="F2130" s="1"/>
      <c r="G2130" s="1"/>
      <c r="H2130" s="1"/>
    </row>
    <row r="2131" spans="1:8" ht="13.2" x14ac:dyDescent="0.25">
      <c r="A2131" s="1"/>
      <c r="B2131" s="1"/>
      <c r="C2131" s="1"/>
      <c r="D2131" s="1"/>
      <c r="E2131" s="1"/>
      <c r="F2131" s="1"/>
      <c r="G2131" s="3"/>
      <c r="H2131" s="1"/>
    </row>
    <row r="2132" spans="1:8" ht="13.2" x14ac:dyDescent="0.25">
      <c r="A2132" s="2"/>
      <c r="B2132" s="1"/>
      <c r="C2132" s="1"/>
      <c r="D2132" s="1"/>
      <c r="E2132" s="1"/>
      <c r="F2132" s="1"/>
      <c r="G2132" s="1"/>
      <c r="H2132" s="1"/>
    </row>
    <row r="2133" spans="1:8" ht="13.2" x14ac:dyDescent="0.25">
      <c r="A2133" s="2"/>
      <c r="B2133" s="1"/>
      <c r="C2133" s="1"/>
      <c r="D2133" s="1"/>
      <c r="E2133" s="1"/>
      <c r="F2133" s="1"/>
      <c r="G2133" s="1"/>
      <c r="H2133" s="1"/>
    </row>
    <row r="2134" spans="1:8" ht="13.2" x14ac:dyDescent="0.25">
      <c r="A2134" s="1"/>
      <c r="B2134" s="1"/>
      <c r="C2134" s="1"/>
      <c r="D2134" s="1"/>
      <c r="E2134" s="1"/>
      <c r="F2134" s="1"/>
      <c r="G2134" s="3"/>
      <c r="H2134" s="1"/>
    </row>
    <row r="2135" spans="1:8" ht="13.2" x14ac:dyDescent="0.25">
      <c r="A2135" s="1"/>
      <c r="B2135" s="1"/>
      <c r="C2135" s="1"/>
      <c r="D2135" s="1"/>
      <c r="E2135" s="1"/>
      <c r="F2135" s="1"/>
      <c r="G2135" s="1"/>
      <c r="H2135" s="1"/>
    </row>
    <row r="2136" spans="1:8" ht="13.2" x14ac:dyDescent="0.25">
      <c r="A2136" s="1"/>
      <c r="B2136" s="1"/>
      <c r="C2136" s="1"/>
      <c r="D2136" s="1"/>
      <c r="E2136" s="1"/>
      <c r="F2136" s="1"/>
      <c r="G2136" s="1"/>
      <c r="H2136" s="1"/>
    </row>
    <row r="2137" spans="1:8" ht="13.2" x14ac:dyDescent="0.25">
      <c r="A2137" s="1"/>
      <c r="B2137" s="1"/>
      <c r="C2137" s="1"/>
      <c r="D2137" s="1"/>
      <c r="E2137" s="1"/>
      <c r="F2137" s="1"/>
      <c r="G2137" s="1"/>
      <c r="H2137" s="1"/>
    </row>
    <row r="2138" spans="1:8" ht="13.2" x14ac:dyDescent="0.25">
      <c r="A2138" s="1"/>
      <c r="B2138" s="1"/>
      <c r="C2138" s="1"/>
      <c r="D2138" s="1"/>
      <c r="E2138" s="1"/>
      <c r="F2138" s="1"/>
      <c r="G2138" s="1"/>
      <c r="H2138" s="1"/>
    </row>
    <row r="2139" spans="1:8" ht="13.2" x14ac:dyDescent="0.25">
      <c r="A2139" s="2"/>
      <c r="B2139" s="1"/>
      <c r="C2139" s="1"/>
      <c r="D2139" s="1"/>
      <c r="E2139" s="1"/>
      <c r="F2139" s="1"/>
      <c r="G2139" s="1"/>
      <c r="H2139" s="1"/>
    </row>
    <row r="2140" spans="1:8" ht="13.2" x14ac:dyDescent="0.25">
      <c r="A2140" s="2"/>
      <c r="B2140" s="1"/>
      <c r="C2140" s="1"/>
      <c r="D2140" s="1"/>
      <c r="E2140" s="1"/>
      <c r="F2140" s="1"/>
      <c r="G2140" s="3"/>
      <c r="H2140" s="1"/>
    </row>
    <row r="2141" spans="1:8" ht="13.2" x14ac:dyDescent="0.25">
      <c r="A2141" s="2"/>
      <c r="B2141" s="1"/>
      <c r="C2141" s="1"/>
      <c r="D2141" s="1"/>
      <c r="E2141" s="1"/>
      <c r="F2141" s="1"/>
      <c r="G2141" s="1"/>
      <c r="H2141" s="1"/>
    </row>
    <row r="2142" spans="1:8" ht="13.2" x14ac:dyDescent="0.25">
      <c r="A2142" s="1"/>
      <c r="B2142" s="1"/>
      <c r="C2142" s="1"/>
      <c r="D2142" s="1"/>
      <c r="E2142" s="1"/>
      <c r="F2142" s="1"/>
      <c r="G2142" s="3"/>
      <c r="H2142" s="1"/>
    </row>
    <row r="2143" spans="1:8" ht="13.2" x14ac:dyDescent="0.25">
      <c r="A2143" s="1"/>
      <c r="B2143" s="1"/>
      <c r="C2143" s="1"/>
      <c r="D2143" s="1"/>
      <c r="E2143" s="1"/>
      <c r="F2143" s="1"/>
      <c r="G2143" s="1"/>
      <c r="H2143" s="1"/>
    </row>
    <row r="2144" spans="1:8" ht="13.2" x14ac:dyDescent="0.25">
      <c r="A2144" s="2"/>
      <c r="B2144" s="1"/>
      <c r="C2144" s="1"/>
      <c r="D2144" s="1"/>
      <c r="E2144" s="1"/>
      <c r="F2144" s="1"/>
      <c r="G2144" s="1"/>
      <c r="H2144" s="1"/>
    </row>
    <row r="2145" spans="1:8" ht="13.2" x14ac:dyDescent="0.25">
      <c r="A2145" s="1"/>
      <c r="B2145" s="1"/>
      <c r="C2145" s="1"/>
      <c r="D2145" s="1"/>
      <c r="E2145" s="1"/>
      <c r="F2145" s="1"/>
      <c r="G2145" s="3"/>
      <c r="H2145" s="1"/>
    </row>
    <row r="2146" spans="1:8" ht="13.2" x14ac:dyDescent="0.25">
      <c r="A2146" s="2"/>
      <c r="B2146" s="1"/>
      <c r="C2146" s="1"/>
      <c r="D2146" s="1"/>
      <c r="E2146" s="1"/>
      <c r="F2146" s="1"/>
      <c r="G2146" s="1"/>
      <c r="H2146" s="1"/>
    </row>
    <row r="2147" spans="1:8" ht="13.2" x14ac:dyDescent="0.25">
      <c r="A2147" s="2"/>
      <c r="B2147" s="1"/>
      <c r="C2147" s="1"/>
      <c r="D2147" s="1"/>
      <c r="E2147" s="1"/>
      <c r="F2147" s="1"/>
      <c r="G2147" s="1"/>
      <c r="H2147" s="1"/>
    </row>
    <row r="2148" spans="1:8" ht="13.2" x14ac:dyDescent="0.25">
      <c r="A2148" s="1"/>
      <c r="B2148" s="1"/>
      <c r="C2148" s="1"/>
      <c r="D2148" s="1"/>
      <c r="E2148" s="1"/>
      <c r="F2148" s="1"/>
      <c r="G2148" s="3"/>
      <c r="H2148" s="1"/>
    </row>
    <row r="2149" spans="1:8" ht="13.2" x14ac:dyDescent="0.25">
      <c r="A2149" s="2"/>
      <c r="B2149" s="1"/>
      <c r="C2149" s="1"/>
      <c r="D2149" s="1"/>
      <c r="E2149" s="1"/>
      <c r="F2149" s="1"/>
      <c r="G2149" s="1"/>
      <c r="H2149" s="1"/>
    </row>
    <row r="2150" spans="1:8" ht="13.2" x14ac:dyDescent="0.25">
      <c r="A2150" s="1"/>
      <c r="B2150" s="1"/>
      <c r="C2150" s="1"/>
      <c r="D2150" s="1"/>
      <c r="E2150" s="1"/>
      <c r="F2150" s="1"/>
      <c r="G2150" s="3"/>
      <c r="H2150" s="1"/>
    </row>
    <row r="2151" spans="1:8" ht="13.2" x14ac:dyDescent="0.25">
      <c r="A2151" s="2"/>
      <c r="B2151" s="1"/>
      <c r="C2151" s="1"/>
      <c r="D2151" s="1"/>
      <c r="E2151" s="1"/>
      <c r="F2151" s="1"/>
      <c r="G2151" s="3"/>
      <c r="H2151" s="1"/>
    </row>
    <row r="2152" spans="1:8" ht="13.2" x14ac:dyDescent="0.25">
      <c r="A2152" s="1"/>
      <c r="B2152" s="1"/>
      <c r="C2152" s="1"/>
      <c r="D2152" s="1"/>
      <c r="E2152" s="1"/>
      <c r="F2152" s="1"/>
      <c r="G2152" s="1"/>
      <c r="H2152" s="1"/>
    </row>
    <row r="2153" spans="1:8" ht="13.2" x14ac:dyDescent="0.25">
      <c r="A2153" s="1"/>
      <c r="B2153" s="1"/>
      <c r="C2153" s="1"/>
      <c r="D2153" s="1"/>
      <c r="E2153" s="1"/>
      <c r="F2153" s="1"/>
      <c r="G2153" s="1"/>
      <c r="H2153" s="1"/>
    </row>
    <row r="2154" spans="1:8" ht="13.2" x14ac:dyDescent="0.25">
      <c r="A2154" s="1"/>
      <c r="B2154" s="1"/>
      <c r="C2154" s="1"/>
      <c r="D2154" s="1"/>
      <c r="E2154" s="1"/>
      <c r="F2154" s="1"/>
      <c r="G2154" s="1"/>
      <c r="H2154" s="1"/>
    </row>
    <row r="2155" spans="1:8" ht="13.2" x14ac:dyDescent="0.25">
      <c r="A2155" s="1"/>
      <c r="B2155" s="1"/>
      <c r="C2155" s="1"/>
      <c r="D2155" s="1"/>
      <c r="E2155" s="1"/>
      <c r="F2155" s="1"/>
      <c r="G2155" s="1"/>
      <c r="H2155" s="1"/>
    </row>
    <row r="2156" spans="1:8" ht="13.2" x14ac:dyDescent="0.25">
      <c r="A2156" s="1"/>
      <c r="B2156" s="1"/>
      <c r="C2156" s="1"/>
      <c r="D2156" s="1"/>
      <c r="E2156" s="1"/>
      <c r="F2156" s="1"/>
      <c r="G2156" s="1"/>
      <c r="H2156" s="1"/>
    </row>
    <row r="2157" spans="1:8" ht="13.2" x14ac:dyDescent="0.25">
      <c r="A2157" s="1"/>
      <c r="B2157" s="1"/>
      <c r="C2157" s="1"/>
      <c r="D2157" s="1"/>
      <c r="E2157" s="1"/>
      <c r="F2157" s="1"/>
      <c r="G2157" s="3"/>
      <c r="H2157" s="1"/>
    </row>
    <row r="2158" spans="1:8" ht="13.2" x14ac:dyDescent="0.25">
      <c r="A2158" s="1"/>
      <c r="B2158" s="1"/>
      <c r="C2158" s="1"/>
      <c r="D2158" s="1"/>
      <c r="E2158" s="1"/>
      <c r="F2158" s="1"/>
      <c r="G2158" s="1"/>
      <c r="H2158" s="1"/>
    </row>
    <row r="2159" spans="1:8" ht="13.2" x14ac:dyDescent="0.25">
      <c r="A2159" s="1"/>
      <c r="B2159" s="1"/>
      <c r="C2159" s="1"/>
      <c r="D2159" s="1"/>
      <c r="E2159" s="1"/>
      <c r="F2159" s="1"/>
      <c r="G2159" s="3"/>
      <c r="H2159" s="1"/>
    </row>
    <row r="2160" spans="1:8" ht="13.2" x14ac:dyDescent="0.25">
      <c r="A2160" s="1"/>
      <c r="B2160" s="1"/>
      <c r="C2160" s="1"/>
      <c r="D2160" s="1"/>
      <c r="E2160" s="1"/>
      <c r="F2160" s="1"/>
      <c r="G2160" s="1"/>
      <c r="H2160" s="1"/>
    </row>
    <row r="2161" spans="1:8" ht="13.2" x14ac:dyDescent="0.25">
      <c r="A2161" s="1"/>
      <c r="B2161" s="1"/>
      <c r="C2161" s="1"/>
      <c r="D2161" s="1"/>
      <c r="E2161" s="1"/>
      <c r="F2161" s="1"/>
      <c r="G2161" s="1"/>
      <c r="H2161" s="1"/>
    </row>
    <row r="2162" spans="1:8" ht="13.2" x14ac:dyDescent="0.25">
      <c r="A2162" s="2"/>
      <c r="B2162" s="1"/>
      <c r="C2162" s="1"/>
      <c r="D2162" s="1"/>
      <c r="E2162" s="1"/>
      <c r="F2162" s="1"/>
      <c r="G2162" s="1"/>
      <c r="H2162" s="1"/>
    </row>
    <row r="2163" spans="1:8" ht="13.2" x14ac:dyDescent="0.25">
      <c r="A2163" s="2"/>
      <c r="B2163" s="1"/>
      <c r="C2163" s="1"/>
      <c r="D2163" s="1"/>
      <c r="E2163" s="1"/>
      <c r="F2163" s="1"/>
      <c r="G2163" s="1"/>
      <c r="H2163" s="1"/>
    </row>
    <row r="2164" spans="1:8" ht="13.2" x14ac:dyDescent="0.25">
      <c r="A2164" s="1"/>
      <c r="B2164" s="1"/>
      <c r="C2164" s="1"/>
      <c r="D2164" s="1"/>
      <c r="E2164" s="1"/>
      <c r="F2164" s="1"/>
      <c r="G2164" s="3"/>
      <c r="H2164" s="1"/>
    </row>
    <row r="2165" spans="1:8" ht="13.2" x14ac:dyDescent="0.25">
      <c r="A2165" s="1"/>
      <c r="B2165" s="1"/>
      <c r="C2165" s="1"/>
      <c r="D2165" s="1"/>
      <c r="E2165" s="1"/>
      <c r="F2165" s="1"/>
      <c r="G2165" s="3"/>
      <c r="H2165" s="1"/>
    </row>
    <row r="2166" spans="1:8" ht="13.2" x14ac:dyDescent="0.25">
      <c r="A2166" s="2"/>
      <c r="B2166" s="1"/>
      <c r="C2166" s="1"/>
      <c r="D2166" s="1"/>
      <c r="E2166" s="1"/>
      <c r="F2166" s="1"/>
      <c r="G2166" s="3"/>
      <c r="H2166" s="1"/>
    </row>
    <row r="2167" spans="1:8" ht="13.2" x14ac:dyDescent="0.25">
      <c r="A2167" s="1"/>
      <c r="B2167" s="1"/>
      <c r="C2167" s="1"/>
      <c r="D2167" s="1"/>
      <c r="E2167" s="1"/>
      <c r="F2167" s="1"/>
      <c r="G2167" s="3"/>
      <c r="H2167" s="1"/>
    </row>
    <row r="2168" spans="1:8" ht="13.2" x14ac:dyDescent="0.25">
      <c r="A2168" s="2"/>
      <c r="B2168" s="1"/>
      <c r="C2168" s="1"/>
      <c r="D2168" s="1"/>
      <c r="E2168" s="1"/>
      <c r="F2168" s="1"/>
      <c r="G2168" s="3"/>
      <c r="H2168" s="1"/>
    </row>
    <row r="2169" spans="1:8" ht="13.2" x14ac:dyDescent="0.25">
      <c r="A2169" s="1"/>
      <c r="B2169" s="1"/>
      <c r="C2169" s="1"/>
      <c r="D2169" s="1"/>
      <c r="E2169" s="1"/>
      <c r="F2169" s="1"/>
      <c r="G2169" s="1"/>
      <c r="H2169" s="1"/>
    </row>
    <row r="2170" spans="1:8" ht="13.2" x14ac:dyDescent="0.25">
      <c r="A2170" s="2"/>
      <c r="B2170" s="1"/>
      <c r="C2170" s="1"/>
      <c r="D2170" s="1"/>
      <c r="E2170" s="1"/>
      <c r="F2170" s="1"/>
      <c r="G2170" s="3"/>
      <c r="H2170" s="1"/>
    </row>
    <row r="2171" spans="1:8" ht="13.2" x14ac:dyDescent="0.25">
      <c r="A2171" s="1"/>
      <c r="B2171" s="1"/>
      <c r="C2171" s="1"/>
      <c r="D2171" s="1"/>
      <c r="E2171" s="1"/>
      <c r="F2171" s="1"/>
      <c r="G2171" s="3"/>
      <c r="H2171" s="1"/>
    </row>
    <row r="2172" spans="1:8" ht="13.2" x14ac:dyDescent="0.25">
      <c r="A2172" s="1"/>
      <c r="B2172" s="1"/>
      <c r="C2172" s="1"/>
      <c r="D2172" s="1"/>
      <c r="E2172" s="1"/>
      <c r="F2172" s="1"/>
      <c r="G2172" s="1"/>
      <c r="H2172" s="1"/>
    </row>
    <row r="2173" spans="1:8" ht="13.2" x14ac:dyDescent="0.25">
      <c r="A2173" s="2"/>
      <c r="B2173" s="1"/>
      <c r="C2173" s="1"/>
      <c r="D2173" s="1"/>
      <c r="E2173" s="1"/>
      <c r="F2173" s="1"/>
      <c r="G2173" s="1"/>
      <c r="H2173" s="1"/>
    </row>
    <row r="2174" spans="1:8" ht="13.2" x14ac:dyDescent="0.25">
      <c r="A2174" s="2"/>
      <c r="B2174" s="1"/>
      <c r="C2174" s="1"/>
      <c r="D2174" s="1"/>
      <c r="E2174" s="1"/>
      <c r="F2174" s="1"/>
      <c r="G2174" s="1"/>
      <c r="H2174" s="1"/>
    </row>
    <row r="2175" spans="1:8" ht="13.2" x14ac:dyDescent="0.25">
      <c r="A2175" s="1"/>
      <c r="B2175" s="1"/>
      <c r="C2175" s="1"/>
      <c r="D2175" s="1"/>
      <c r="E2175" s="1"/>
      <c r="F2175" s="1"/>
      <c r="G2175" s="3"/>
      <c r="H2175" s="1"/>
    </row>
    <row r="2176" spans="1:8" ht="13.2" x14ac:dyDescent="0.25">
      <c r="A2176" s="1"/>
      <c r="B2176" s="1"/>
      <c r="C2176" s="1"/>
      <c r="D2176" s="1"/>
      <c r="E2176" s="1"/>
      <c r="F2176" s="1"/>
      <c r="G2176" s="1"/>
      <c r="H2176" s="1"/>
    </row>
    <row r="2177" spans="1:8" ht="13.2" x14ac:dyDescent="0.25">
      <c r="A2177" s="1"/>
      <c r="B2177" s="1"/>
      <c r="C2177" s="1"/>
      <c r="D2177" s="1"/>
      <c r="E2177" s="1"/>
      <c r="F2177" s="1"/>
      <c r="G2177" s="1"/>
      <c r="H2177" s="1"/>
    </row>
    <row r="2178" spans="1:8" ht="13.2" x14ac:dyDescent="0.25">
      <c r="A2178" s="2"/>
      <c r="B2178" s="1"/>
      <c r="C2178" s="1"/>
      <c r="D2178" s="1"/>
      <c r="E2178" s="1"/>
      <c r="F2178" s="1"/>
      <c r="G2178" s="3"/>
      <c r="H2178" s="1"/>
    </row>
    <row r="2179" spans="1:8" ht="13.2" x14ac:dyDescent="0.25">
      <c r="A2179" s="1"/>
      <c r="B2179" s="1"/>
      <c r="C2179" s="1"/>
      <c r="D2179" s="1"/>
      <c r="E2179" s="1"/>
      <c r="F2179" s="1"/>
      <c r="G2179" s="1"/>
      <c r="H2179" s="1"/>
    </row>
    <row r="2180" spans="1:8" ht="13.2" x14ac:dyDescent="0.25">
      <c r="A2180" s="2"/>
      <c r="B2180" s="1"/>
      <c r="C2180" s="1"/>
      <c r="D2180" s="1"/>
      <c r="E2180" s="1"/>
      <c r="F2180" s="1"/>
      <c r="G2180" s="1"/>
      <c r="H2180" s="1"/>
    </row>
    <row r="2181" spans="1:8" ht="13.2" x14ac:dyDescent="0.25">
      <c r="A2181" s="1"/>
      <c r="B2181" s="1"/>
      <c r="C2181" s="1"/>
      <c r="D2181" s="1"/>
      <c r="E2181" s="1"/>
      <c r="F2181" s="1"/>
      <c r="G2181" s="1"/>
      <c r="H2181" s="1"/>
    </row>
    <row r="2182" spans="1:8" ht="13.2" x14ac:dyDescent="0.25">
      <c r="A2182" s="1"/>
      <c r="B2182" s="1"/>
      <c r="C2182" s="1"/>
      <c r="D2182" s="1"/>
      <c r="E2182" s="1"/>
      <c r="F2182" s="1"/>
      <c r="G2182" s="1"/>
      <c r="H2182" s="1"/>
    </row>
    <row r="2183" spans="1:8" ht="13.2" x14ac:dyDescent="0.25">
      <c r="A2183" s="1"/>
      <c r="B2183" s="1"/>
      <c r="C2183" s="1"/>
      <c r="D2183" s="1"/>
      <c r="E2183" s="1"/>
      <c r="F2183" s="1"/>
      <c r="G2183" s="1"/>
      <c r="H2183" s="1"/>
    </row>
    <row r="2184" spans="1:8" ht="13.2" x14ac:dyDescent="0.25">
      <c r="A2184" s="1"/>
      <c r="B2184" s="1"/>
      <c r="C2184" s="1"/>
      <c r="D2184" s="1"/>
      <c r="E2184" s="1"/>
      <c r="F2184" s="1"/>
      <c r="G2184" s="3"/>
      <c r="H2184" s="1"/>
    </row>
    <row r="2185" spans="1:8" ht="13.2" x14ac:dyDescent="0.25">
      <c r="A2185" s="1"/>
      <c r="B2185" s="1"/>
      <c r="C2185" s="1"/>
      <c r="D2185" s="1"/>
      <c r="E2185" s="1"/>
      <c r="F2185" s="1"/>
      <c r="G2185" s="3"/>
      <c r="H2185" s="1"/>
    </row>
    <row r="2186" spans="1:8" ht="13.2" x14ac:dyDescent="0.25">
      <c r="A2186" s="1"/>
      <c r="B2186" s="1"/>
      <c r="C2186" s="1"/>
      <c r="D2186" s="1"/>
      <c r="E2186" s="1"/>
      <c r="F2186" s="1"/>
      <c r="G2186" s="1"/>
      <c r="H2186" s="1"/>
    </row>
    <row r="2187" spans="1:8" ht="13.2" x14ac:dyDescent="0.25">
      <c r="A2187" s="1"/>
      <c r="B2187" s="1"/>
      <c r="C2187" s="1"/>
      <c r="D2187" s="1"/>
      <c r="E2187" s="1"/>
      <c r="F2187" s="1"/>
      <c r="G2187" s="3"/>
      <c r="H2187" s="1"/>
    </row>
    <row r="2188" spans="1:8" ht="13.2" x14ac:dyDescent="0.25">
      <c r="A2188" s="2"/>
      <c r="B2188" s="1"/>
      <c r="C2188" s="1"/>
      <c r="D2188" s="1"/>
      <c r="E2188" s="1"/>
      <c r="F2188" s="1"/>
      <c r="G2188" s="1"/>
      <c r="H2188" s="1"/>
    </row>
    <row r="2189" spans="1:8" ht="13.2" x14ac:dyDescent="0.25">
      <c r="A2189" s="1"/>
      <c r="B2189" s="1"/>
      <c r="C2189" s="1"/>
      <c r="D2189" s="1"/>
      <c r="E2189" s="1"/>
      <c r="F2189" s="1"/>
      <c r="G2189" s="3"/>
      <c r="H2189" s="1"/>
    </row>
    <row r="2190" spans="1:8" ht="13.2" x14ac:dyDescent="0.25">
      <c r="A2190" s="1"/>
      <c r="B2190" s="1"/>
      <c r="C2190" s="1"/>
      <c r="D2190" s="1"/>
      <c r="E2190" s="1"/>
      <c r="F2190" s="1"/>
      <c r="G2190" s="3"/>
      <c r="H2190" s="1"/>
    </row>
    <row r="2191" spans="1:8" ht="13.2" x14ac:dyDescent="0.25">
      <c r="A2191" s="1"/>
      <c r="B2191" s="1"/>
      <c r="C2191" s="1"/>
      <c r="D2191" s="1"/>
      <c r="E2191" s="1"/>
      <c r="F2191" s="1"/>
      <c r="G2191" s="3"/>
      <c r="H2191" s="1"/>
    </row>
    <row r="2192" spans="1:8" ht="13.2" x14ac:dyDescent="0.25">
      <c r="A2192" s="2"/>
      <c r="B2192" s="1"/>
      <c r="C2192" s="1"/>
      <c r="D2192" s="1"/>
      <c r="E2192" s="1"/>
      <c r="F2192" s="1"/>
      <c r="G2192" s="1"/>
      <c r="H2192" s="1"/>
    </row>
    <row r="2193" spans="1:8" ht="13.2" x14ac:dyDescent="0.25">
      <c r="A2193" s="1"/>
      <c r="B2193" s="1"/>
      <c r="C2193" s="1"/>
      <c r="D2193" s="1"/>
      <c r="E2193" s="1"/>
      <c r="F2193" s="1"/>
      <c r="G2193" s="1"/>
      <c r="H2193" s="1"/>
    </row>
    <row r="2194" spans="1:8" ht="13.2" x14ac:dyDescent="0.25">
      <c r="A2194" s="1"/>
      <c r="B2194" s="1"/>
      <c r="C2194" s="1"/>
      <c r="D2194" s="1"/>
      <c r="E2194" s="1"/>
      <c r="F2194" s="1"/>
      <c r="G2194" s="1"/>
      <c r="H2194" s="1"/>
    </row>
    <row r="2195" spans="1:8" ht="13.2" x14ac:dyDescent="0.25">
      <c r="A2195" s="2"/>
      <c r="B2195" s="1"/>
      <c r="C2195" s="1"/>
      <c r="D2195" s="1"/>
      <c r="E2195" s="1"/>
      <c r="F2195" s="1"/>
      <c r="G2195" s="1"/>
      <c r="H2195" s="1"/>
    </row>
    <row r="2196" spans="1:8" ht="13.2" x14ac:dyDescent="0.25">
      <c r="A2196" s="2"/>
      <c r="B2196" s="1"/>
      <c r="C2196" s="1"/>
      <c r="D2196" s="1"/>
      <c r="E2196" s="1"/>
      <c r="F2196" s="1"/>
      <c r="G2196" s="1"/>
      <c r="H2196" s="1"/>
    </row>
    <row r="2197" spans="1:8" ht="13.2" x14ac:dyDescent="0.25">
      <c r="A2197" s="1"/>
      <c r="B2197" s="1"/>
      <c r="C2197" s="1"/>
      <c r="D2197" s="1"/>
      <c r="E2197" s="1"/>
      <c r="F2197" s="1"/>
      <c r="G2197" s="1"/>
      <c r="H2197" s="1"/>
    </row>
    <row r="2198" spans="1:8" ht="13.2" x14ac:dyDescent="0.25">
      <c r="A2198" s="2"/>
      <c r="B2198" s="1"/>
      <c r="C2198" s="1"/>
      <c r="D2198" s="1"/>
      <c r="E2198" s="1"/>
      <c r="F2198" s="1"/>
      <c r="G2198" s="1"/>
      <c r="H2198" s="1"/>
    </row>
    <row r="2199" spans="1:8" ht="13.2" x14ac:dyDescent="0.25">
      <c r="A2199" s="2"/>
      <c r="B2199" s="1"/>
      <c r="C2199" s="1"/>
      <c r="D2199" s="1"/>
      <c r="E2199" s="1"/>
      <c r="F2199" s="1"/>
      <c r="G2199" s="3"/>
      <c r="H2199" s="1"/>
    </row>
    <row r="2200" spans="1:8" ht="13.2" x14ac:dyDescent="0.25">
      <c r="A2200" s="1"/>
      <c r="B2200" s="1"/>
      <c r="C2200" s="1"/>
      <c r="D2200" s="1"/>
      <c r="E2200" s="1"/>
      <c r="F2200" s="1"/>
      <c r="G2200" s="1"/>
      <c r="H2200" s="1"/>
    </row>
    <row r="2201" spans="1:8" ht="13.2" x14ac:dyDescent="0.25">
      <c r="A2201" s="1"/>
      <c r="B2201" s="1"/>
      <c r="C2201" s="1"/>
      <c r="D2201" s="1"/>
      <c r="E2201" s="1"/>
      <c r="F2201" s="1"/>
      <c r="G2201" s="1"/>
      <c r="H2201" s="1"/>
    </row>
    <row r="2202" spans="1:8" ht="13.2" x14ac:dyDescent="0.25">
      <c r="A2202" s="2"/>
      <c r="B2202" s="1"/>
      <c r="C2202" s="1"/>
      <c r="D2202" s="1"/>
      <c r="E2202" s="1"/>
      <c r="F2202" s="1"/>
      <c r="G2202" s="1"/>
      <c r="H2202" s="1"/>
    </row>
    <row r="2203" spans="1:8" ht="13.2" x14ac:dyDescent="0.25">
      <c r="A2203" s="1"/>
      <c r="B2203" s="1"/>
      <c r="C2203" s="1"/>
      <c r="D2203" s="1"/>
      <c r="E2203" s="1"/>
      <c r="F2203" s="1"/>
      <c r="G2203" s="1"/>
      <c r="H2203" s="1"/>
    </row>
    <row r="2204" spans="1:8" ht="13.2" x14ac:dyDescent="0.25">
      <c r="A2204" s="1"/>
      <c r="B2204" s="1"/>
      <c r="C2204" s="1"/>
      <c r="D2204" s="1"/>
      <c r="E2204" s="1"/>
      <c r="F2204" s="1"/>
      <c r="G2204" s="3"/>
      <c r="H2204" s="1"/>
    </row>
    <row r="2205" spans="1:8" ht="13.2" x14ac:dyDescent="0.25">
      <c r="A2205" s="2"/>
      <c r="B2205" s="1"/>
      <c r="C2205" s="1"/>
      <c r="D2205" s="1"/>
      <c r="E2205" s="1"/>
      <c r="F2205" s="1"/>
      <c r="G2205" s="1"/>
      <c r="H2205" s="1"/>
    </row>
    <row r="2206" spans="1:8" ht="13.2" x14ac:dyDescent="0.25">
      <c r="A2206" s="1"/>
      <c r="B2206" s="1"/>
      <c r="C2206" s="1"/>
      <c r="D2206" s="1"/>
      <c r="E2206" s="1"/>
      <c r="F2206" s="1"/>
      <c r="G2206" s="1"/>
      <c r="H2206" s="1"/>
    </row>
    <row r="2207" spans="1:8" ht="13.2" x14ac:dyDescent="0.25">
      <c r="A2207" s="2"/>
      <c r="B2207" s="1"/>
      <c r="C2207" s="1"/>
      <c r="D2207" s="1"/>
      <c r="E2207" s="1"/>
      <c r="F2207" s="1"/>
      <c r="G2207" s="3"/>
      <c r="H2207" s="1"/>
    </row>
    <row r="2208" spans="1:8" ht="13.2" x14ac:dyDescent="0.25">
      <c r="A2208" s="1"/>
      <c r="B2208" s="1"/>
      <c r="C2208" s="1"/>
      <c r="D2208" s="1"/>
      <c r="E2208" s="1"/>
      <c r="F2208" s="1"/>
      <c r="G2208" s="3"/>
      <c r="H2208" s="1"/>
    </row>
    <row r="2209" spans="1:8" ht="13.2" x14ac:dyDescent="0.25">
      <c r="A2209" s="1"/>
      <c r="B2209" s="1"/>
      <c r="C2209" s="1"/>
      <c r="D2209" s="1"/>
      <c r="E2209" s="1"/>
      <c r="F2209" s="1"/>
      <c r="G2209" s="1"/>
      <c r="H2209" s="1"/>
    </row>
    <row r="2210" spans="1:8" ht="13.2" x14ac:dyDescent="0.25">
      <c r="A2210" s="2"/>
      <c r="B2210" s="1"/>
      <c r="C2210" s="1"/>
      <c r="D2210" s="1"/>
      <c r="E2210" s="1"/>
      <c r="F2210" s="1"/>
      <c r="G2210" s="1"/>
      <c r="H2210" s="1"/>
    </row>
    <row r="2211" spans="1:8" ht="13.2" x14ac:dyDescent="0.25">
      <c r="A2211" s="1"/>
      <c r="B2211" s="1"/>
      <c r="C2211" s="1"/>
      <c r="D2211" s="1"/>
      <c r="E2211" s="1"/>
      <c r="F2211" s="1"/>
      <c r="G2211" s="3"/>
      <c r="H2211" s="1"/>
    </row>
    <row r="2212" spans="1:8" ht="13.2" x14ac:dyDescent="0.25">
      <c r="A2212" s="1"/>
      <c r="B2212" s="1"/>
      <c r="C2212" s="1"/>
      <c r="D2212" s="1"/>
      <c r="E2212" s="1"/>
      <c r="F2212" s="1"/>
      <c r="G2212" s="1"/>
      <c r="H2212" s="1"/>
    </row>
    <row r="2213" spans="1:8" ht="13.2" x14ac:dyDescent="0.25">
      <c r="A2213" s="1"/>
      <c r="B2213" s="1"/>
      <c r="C2213" s="1"/>
      <c r="D2213" s="1"/>
      <c r="E2213" s="1"/>
      <c r="F2213" s="1"/>
      <c r="G2213" s="1"/>
      <c r="H2213" s="1"/>
    </row>
    <row r="2214" spans="1:8" ht="13.2" x14ac:dyDescent="0.25">
      <c r="A2214" s="1"/>
      <c r="B2214" s="1"/>
      <c r="C2214" s="1"/>
      <c r="D2214" s="1"/>
      <c r="E2214" s="1"/>
      <c r="F2214" s="1"/>
      <c r="G2214" s="1"/>
      <c r="H2214" s="1"/>
    </row>
    <row r="2215" spans="1:8" ht="13.2" x14ac:dyDescent="0.25">
      <c r="A2215" s="1"/>
      <c r="B2215" s="1"/>
      <c r="C2215" s="1"/>
      <c r="D2215" s="1"/>
      <c r="E2215" s="1"/>
      <c r="F2215" s="1"/>
      <c r="G2215" s="1"/>
      <c r="H2215" s="1"/>
    </row>
    <row r="2216" spans="1:8" ht="13.2" x14ac:dyDescent="0.25">
      <c r="A2216" s="2"/>
      <c r="B2216" s="1"/>
      <c r="C2216" s="1"/>
      <c r="D2216" s="1"/>
      <c r="E2216" s="1"/>
      <c r="F2216" s="1"/>
      <c r="G2216" s="1"/>
      <c r="H2216" s="1"/>
    </row>
    <row r="2217" spans="1:8" ht="13.2" x14ac:dyDescent="0.25">
      <c r="A2217" s="2"/>
      <c r="B2217" s="1"/>
      <c r="C2217" s="1"/>
      <c r="D2217" s="1"/>
      <c r="E2217" s="1"/>
      <c r="F2217" s="1"/>
      <c r="G2217" s="3"/>
      <c r="H2217" s="1"/>
    </row>
    <row r="2218" spans="1:8" ht="13.2" x14ac:dyDescent="0.25">
      <c r="A2218" s="1"/>
      <c r="B2218" s="1"/>
      <c r="C2218" s="1"/>
      <c r="D2218" s="1"/>
      <c r="E2218" s="1"/>
      <c r="F2218" s="1"/>
      <c r="G2218" s="3"/>
      <c r="H2218" s="1"/>
    </row>
    <row r="2219" spans="1:8" ht="13.2" x14ac:dyDescent="0.25">
      <c r="A2219" s="1"/>
      <c r="B2219" s="1"/>
      <c r="C2219" s="1"/>
      <c r="D2219" s="1"/>
      <c r="E2219" s="1"/>
      <c r="F2219" s="1"/>
      <c r="G2219" s="3"/>
      <c r="H2219" s="1"/>
    </row>
    <row r="2220" spans="1:8" ht="13.2" x14ac:dyDescent="0.25">
      <c r="A2220" s="1"/>
      <c r="B2220" s="1"/>
      <c r="C2220" s="1"/>
      <c r="D2220" s="1"/>
      <c r="E2220" s="1"/>
      <c r="F2220" s="1"/>
      <c r="G2220" s="1"/>
      <c r="H2220" s="1"/>
    </row>
    <row r="2221" spans="1:8" ht="13.2" x14ac:dyDescent="0.25">
      <c r="A2221" s="2"/>
      <c r="B2221" s="1"/>
      <c r="C2221" s="1"/>
      <c r="D2221" s="1"/>
      <c r="E2221" s="1"/>
      <c r="F2221" s="1"/>
      <c r="G2221" s="3"/>
      <c r="H2221" s="1"/>
    </row>
    <row r="2222" spans="1:8" ht="13.2" x14ac:dyDescent="0.25">
      <c r="A2222" s="1"/>
      <c r="B2222" s="1"/>
      <c r="C2222" s="1"/>
      <c r="D2222" s="1"/>
      <c r="E2222" s="1"/>
      <c r="F2222" s="1"/>
      <c r="G2222" s="3"/>
      <c r="H2222" s="1"/>
    </row>
    <row r="2223" spans="1:8" ht="13.2" x14ac:dyDescent="0.25">
      <c r="A2223" s="1"/>
      <c r="B2223" s="1"/>
      <c r="C2223" s="1"/>
      <c r="D2223" s="1"/>
      <c r="E2223" s="1"/>
      <c r="F2223" s="1"/>
      <c r="G2223" s="3"/>
      <c r="H2223" s="1"/>
    </row>
    <row r="2224" spans="1:8" ht="13.2" x14ac:dyDescent="0.25">
      <c r="A2224" s="1"/>
      <c r="B2224" s="1"/>
      <c r="C2224" s="1"/>
      <c r="D2224" s="1"/>
      <c r="E2224" s="1"/>
      <c r="F2224" s="1"/>
      <c r="G2224" s="3"/>
      <c r="H2224" s="1"/>
    </row>
    <row r="2225" spans="1:8" ht="13.2" x14ac:dyDescent="0.25">
      <c r="A2225" s="2"/>
      <c r="B2225" s="1"/>
      <c r="C2225" s="1"/>
      <c r="D2225" s="1"/>
      <c r="E2225" s="1"/>
      <c r="F2225" s="1"/>
      <c r="G2225" s="3"/>
      <c r="H2225" s="1"/>
    </row>
    <row r="2226" spans="1:8" ht="13.2" x14ac:dyDescent="0.25">
      <c r="A2226" s="2"/>
      <c r="B2226" s="1"/>
      <c r="C2226" s="1"/>
      <c r="D2226" s="1"/>
      <c r="E2226" s="1"/>
      <c r="F2226" s="1"/>
      <c r="G2226" s="1"/>
      <c r="H2226" s="1"/>
    </row>
    <row r="2227" spans="1:8" ht="13.2" x14ac:dyDescent="0.25">
      <c r="A2227" s="1"/>
      <c r="B2227" s="1"/>
      <c r="C2227" s="1"/>
      <c r="D2227" s="1"/>
      <c r="E2227" s="1"/>
      <c r="F2227" s="1"/>
      <c r="G2227" s="3"/>
      <c r="H2227" s="1"/>
    </row>
    <row r="2228" spans="1:8" ht="13.2" x14ac:dyDescent="0.25">
      <c r="A2228" s="2"/>
      <c r="B2228" s="1"/>
      <c r="C2228" s="1"/>
      <c r="D2228" s="1"/>
      <c r="E2228" s="1"/>
      <c r="F2228" s="1"/>
      <c r="G2228" s="3"/>
      <c r="H2228" s="1"/>
    </row>
    <row r="2229" spans="1:8" ht="13.2" x14ac:dyDescent="0.25">
      <c r="A2229" s="1"/>
      <c r="B2229" s="1"/>
      <c r="C2229" s="1"/>
      <c r="D2229" s="1"/>
      <c r="E2229" s="1"/>
      <c r="F2229" s="1"/>
      <c r="G2229" s="1"/>
      <c r="H2229" s="1"/>
    </row>
    <row r="2230" spans="1:8" ht="13.2" x14ac:dyDescent="0.25">
      <c r="A2230" s="1"/>
      <c r="B2230" s="1"/>
      <c r="C2230" s="1"/>
      <c r="D2230" s="1"/>
      <c r="E2230" s="1"/>
      <c r="F2230" s="1"/>
      <c r="G2230" s="3"/>
      <c r="H2230" s="1"/>
    </row>
    <row r="2231" spans="1:8" ht="13.2" x14ac:dyDescent="0.25">
      <c r="A2231" s="2"/>
      <c r="B2231" s="1"/>
      <c r="C2231" s="1"/>
      <c r="D2231" s="1"/>
      <c r="E2231" s="1"/>
      <c r="F2231" s="1"/>
      <c r="G2231" s="3"/>
      <c r="H2231" s="1"/>
    </row>
    <row r="2232" spans="1:8" ht="13.2" x14ac:dyDescent="0.25">
      <c r="A2232" s="1"/>
      <c r="B2232" s="1"/>
      <c r="C2232" s="1"/>
      <c r="D2232" s="1"/>
      <c r="E2232" s="1"/>
      <c r="F2232" s="1"/>
      <c r="G2232" s="3"/>
      <c r="H2232" s="1"/>
    </row>
    <row r="2233" spans="1:8" ht="13.2" x14ac:dyDescent="0.25">
      <c r="A2233" s="1"/>
      <c r="B2233" s="1"/>
      <c r="C2233" s="1"/>
      <c r="D2233" s="1"/>
      <c r="E2233" s="1"/>
      <c r="F2233" s="1"/>
      <c r="G2233" s="3"/>
      <c r="H2233" s="1"/>
    </row>
    <row r="2234" spans="1:8" ht="13.2" x14ac:dyDescent="0.25">
      <c r="A2234" s="1"/>
      <c r="B2234" s="1"/>
      <c r="C2234" s="1"/>
      <c r="D2234" s="1"/>
      <c r="E2234" s="1"/>
      <c r="F2234" s="1"/>
      <c r="G2234" s="1"/>
      <c r="H2234" s="1"/>
    </row>
    <row r="2235" spans="1:8" ht="13.2" x14ac:dyDescent="0.25">
      <c r="A2235" s="1"/>
      <c r="B2235" s="1"/>
      <c r="C2235" s="1"/>
      <c r="D2235" s="1"/>
      <c r="E2235" s="1"/>
      <c r="F2235" s="1"/>
      <c r="G2235" s="3"/>
      <c r="H2235" s="1"/>
    </row>
    <row r="2236" spans="1:8" ht="13.2" x14ac:dyDescent="0.25">
      <c r="A2236" s="1"/>
      <c r="B2236" s="1"/>
      <c r="C2236" s="1"/>
      <c r="D2236" s="1"/>
      <c r="E2236" s="1"/>
      <c r="F2236" s="1"/>
      <c r="G2236" s="1"/>
      <c r="H2236" s="1"/>
    </row>
    <row r="2237" spans="1:8" ht="13.2" x14ac:dyDescent="0.25">
      <c r="A2237" s="1"/>
      <c r="B2237" s="1"/>
      <c r="C2237" s="1"/>
      <c r="D2237" s="1"/>
      <c r="E2237" s="1"/>
      <c r="F2237" s="1"/>
      <c r="G2237" s="1"/>
      <c r="H2237" s="1"/>
    </row>
    <row r="2238" spans="1:8" ht="13.2" x14ac:dyDescent="0.25">
      <c r="A2238" s="1"/>
      <c r="B2238" s="1"/>
      <c r="C2238" s="1"/>
      <c r="D2238" s="1"/>
      <c r="E2238" s="1"/>
      <c r="F2238" s="1"/>
      <c r="G2238" s="1"/>
      <c r="H2238" s="1"/>
    </row>
    <row r="2239" spans="1:8" ht="13.2" x14ac:dyDescent="0.25">
      <c r="A2239" s="2"/>
      <c r="B2239" s="1"/>
      <c r="C2239" s="1"/>
      <c r="D2239" s="1"/>
      <c r="E2239" s="1"/>
      <c r="F2239" s="1"/>
      <c r="G2239" s="3"/>
      <c r="H2239" s="1"/>
    </row>
    <row r="2240" spans="1:8" ht="13.2" x14ac:dyDescent="0.25">
      <c r="A2240" s="1"/>
      <c r="B2240" s="1"/>
      <c r="C2240" s="1"/>
      <c r="D2240" s="1"/>
      <c r="E2240" s="1"/>
      <c r="F2240" s="1"/>
      <c r="G2240" s="1"/>
      <c r="H2240" s="1"/>
    </row>
    <row r="2241" spans="1:8" ht="13.2" x14ac:dyDescent="0.25">
      <c r="A2241" s="1"/>
      <c r="B2241" s="1"/>
      <c r="C2241" s="1"/>
      <c r="D2241" s="1"/>
      <c r="E2241" s="1"/>
      <c r="F2241" s="1"/>
      <c r="G2241" s="1"/>
      <c r="H2241" s="1"/>
    </row>
    <row r="2242" spans="1:8" ht="13.2" x14ac:dyDescent="0.25">
      <c r="A2242" s="1"/>
      <c r="B2242" s="1"/>
      <c r="C2242" s="1"/>
      <c r="D2242" s="1"/>
      <c r="E2242" s="1"/>
      <c r="F2242" s="1"/>
      <c r="G2242" s="1"/>
      <c r="H2242" s="1"/>
    </row>
    <row r="2243" spans="1:8" ht="13.2" x14ac:dyDescent="0.25">
      <c r="A2243" s="1"/>
      <c r="B2243" s="1"/>
      <c r="C2243" s="1"/>
      <c r="D2243" s="1"/>
      <c r="E2243" s="1"/>
      <c r="F2243" s="1"/>
      <c r="G2243" s="1"/>
      <c r="H2243" s="1"/>
    </row>
    <row r="2244" spans="1:8" ht="13.2" x14ac:dyDescent="0.25">
      <c r="A2244" s="2"/>
      <c r="B2244" s="1"/>
      <c r="C2244" s="1"/>
      <c r="D2244" s="1"/>
      <c r="E2244" s="1"/>
      <c r="F2244" s="1"/>
      <c r="G2244" s="1"/>
      <c r="H2244" s="1"/>
    </row>
    <row r="2245" spans="1:8" ht="13.2" x14ac:dyDescent="0.25">
      <c r="A2245" s="1"/>
      <c r="B2245" s="1"/>
      <c r="C2245" s="1"/>
      <c r="D2245" s="1"/>
      <c r="E2245" s="1"/>
      <c r="F2245" s="1"/>
      <c r="G2245" s="1"/>
      <c r="H2245" s="1"/>
    </row>
    <row r="2246" spans="1:8" ht="13.2" x14ac:dyDescent="0.25">
      <c r="A2246" s="1"/>
      <c r="B2246" s="1"/>
      <c r="C2246" s="1"/>
      <c r="D2246" s="1"/>
      <c r="E2246" s="1"/>
      <c r="F2246" s="1"/>
      <c r="G2246" s="1"/>
      <c r="H2246" s="1"/>
    </row>
    <row r="2247" spans="1:8" ht="13.2" x14ac:dyDescent="0.25">
      <c r="A2247" s="1"/>
      <c r="B2247" s="1"/>
      <c r="C2247" s="1"/>
      <c r="D2247" s="1"/>
      <c r="E2247" s="1"/>
      <c r="F2247" s="1"/>
      <c r="G2247" s="3"/>
      <c r="H2247" s="1"/>
    </row>
    <row r="2248" spans="1:8" ht="13.2" x14ac:dyDescent="0.25">
      <c r="A2248" s="1"/>
      <c r="B2248" s="1"/>
      <c r="C2248" s="1"/>
      <c r="D2248" s="1"/>
      <c r="E2248" s="1"/>
      <c r="F2248" s="1"/>
      <c r="G2248" s="1"/>
      <c r="H2248" s="1"/>
    </row>
    <row r="2249" spans="1:8" ht="13.2" x14ac:dyDescent="0.25">
      <c r="A2249" s="1"/>
      <c r="B2249" s="1"/>
      <c r="C2249" s="1"/>
      <c r="D2249" s="1"/>
      <c r="E2249" s="1"/>
      <c r="F2249" s="1"/>
      <c r="G2249" s="1"/>
      <c r="H2249" s="1"/>
    </row>
    <row r="2250" spans="1:8" ht="13.2" x14ac:dyDescent="0.25">
      <c r="A2250" s="1"/>
      <c r="B2250" s="1"/>
      <c r="C2250" s="1"/>
      <c r="D2250" s="1"/>
      <c r="E2250" s="1"/>
      <c r="F2250" s="1"/>
      <c r="G2250" s="1"/>
      <c r="H2250" s="1"/>
    </row>
    <row r="2251" spans="1:8" ht="13.2" x14ac:dyDescent="0.25">
      <c r="A2251" s="2"/>
      <c r="B2251" s="1"/>
      <c r="C2251" s="1"/>
      <c r="D2251" s="1"/>
      <c r="E2251" s="1"/>
      <c r="F2251" s="1"/>
      <c r="G2251" s="1"/>
      <c r="H2251" s="1"/>
    </row>
    <row r="2252" spans="1:8" ht="13.2" x14ac:dyDescent="0.25">
      <c r="A2252" s="2"/>
      <c r="B2252" s="1"/>
      <c r="C2252" s="1"/>
      <c r="D2252" s="1"/>
      <c r="E2252" s="1"/>
      <c r="F2252" s="1"/>
      <c r="G2252" s="1"/>
      <c r="H2252" s="1"/>
    </row>
    <row r="2253" spans="1:8" ht="13.2" x14ac:dyDescent="0.25">
      <c r="A2253" s="1"/>
      <c r="B2253" s="1"/>
      <c r="C2253" s="1"/>
      <c r="D2253" s="1"/>
      <c r="E2253" s="1"/>
      <c r="F2253" s="1"/>
      <c r="G2253" s="1"/>
      <c r="H2253" s="1"/>
    </row>
    <row r="2254" spans="1:8" ht="13.2" x14ac:dyDescent="0.25">
      <c r="A2254" s="1"/>
      <c r="B2254" s="1"/>
      <c r="C2254" s="1"/>
      <c r="D2254" s="1"/>
      <c r="E2254" s="1"/>
      <c r="F2254" s="1"/>
      <c r="G2254" s="1"/>
      <c r="H2254" s="1"/>
    </row>
    <row r="2255" spans="1:8" ht="13.2" x14ac:dyDescent="0.25">
      <c r="A2255" s="2"/>
      <c r="B2255" s="1"/>
      <c r="C2255" s="1"/>
      <c r="D2255" s="1"/>
      <c r="E2255" s="1"/>
      <c r="F2255" s="1"/>
      <c r="G2255" s="3"/>
      <c r="H2255" s="1"/>
    </row>
    <row r="2256" spans="1:8" ht="13.2" x14ac:dyDescent="0.25">
      <c r="A2256" s="2"/>
      <c r="B2256" s="1"/>
      <c r="C2256" s="1"/>
      <c r="D2256" s="1"/>
      <c r="E2256" s="1"/>
      <c r="F2256" s="1"/>
      <c r="G2256" s="1"/>
      <c r="H2256" s="1"/>
    </row>
    <row r="2257" spans="1:8" ht="13.2" x14ac:dyDescent="0.25">
      <c r="A2257" s="1"/>
      <c r="B2257" s="1"/>
      <c r="C2257" s="1"/>
      <c r="D2257" s="1"/>
      <c r="E2257" s="1"/>
      <c r="F2257" s="1"/>
      <c r="G2257" s="3"/>
      <c r="H2257" s="1"/>
    </row>
    <row r="2258" spans="1:8" ht="13.2" x14ac:dyDescent="0.25">
      <c r="A2258" s="1"/>
      <c r="B2258" s="1"/>
      <c r="C2258" s="1"/>
      <c r="D2258" s="1"/>
      <c r="E2258" s="1"/>
      <c r="F2258" s="1"/>
      <c r="G2258" s="3"/>
      <c r="H2258" s="1"/>
    </row>
    <row r="2259" spans="1:8" ht="13.2" x14ac:dyDescent="0.25">
      <c r="A2259" s="2"/>
      <c r="B2259" s="1"/>
      <c r="C2259" s="1"/>
      <c r="D2259" s="1"/>
      <c r="E2259" s="1"/>
      <c r="F2259" s="1"/>
      <c r="G2259" s="1"/>
      <c r="H2259" s="1"/>
    </row>
    <row r="2260" spans="1:8" ht="13.2" x14ac:dyDescent="0.25">
      <c r="A2260" s="1"/>
      <c r="B2260" s="1"/>
      <c r="C2260" s="1"/>
      <c r="D2260" s="1"/>
      <c r="E2260" s="1"/>
      <c r="F2260" s="1"/>
      <c r="G2260" s="1"/>
      <c r="H2260" s="1"/>
    </row>
    <row r="2261" spans="1:8" ht="13.2" x14ac:dyDescent="0.25">
      <c r="A2261" s="1"/>
      <c r="B2261" s="1"/>
      <c r="C2261" s="1"/>
      <c r="D2261" s="1"/>
      <c r="E2261" s="1"/>
      <c r="F2261" s="1"/>
      <c r="G2261" s="1"/>
      <c r="H2261" s="1"/>
    </row>
    <row r="2262" spans="1:8" ht="13.2" x14ac:dyDescent="0.25">
      <c r="A2262" s="1"/>
      <c r="B2262" s="1"/>
      <c r="C2262" s="1"/>
      <c r="D2262" s="1"/>
      <c r="E2262" s="1"/>
      <c r="F2262" s="1"/>
      <c r="G2262" s="1"/>
      <c r="H2262" s="1"/>
    </row>
    <row r="2263" spans="1:8" ht="13.2" x14ac:dyDescent="0.25">
      <c r="A2263" s="2"/>
      <c r="B2263" s="1"/>
      <c r="C2263" s="1"/>
      <c r="D2263" s="1"/>
      <c r="E2263" s="1"/>
      <c r="F2263" s="1"/>
      <c r="G2263" s="3"/>
      <c r="H2263" s="1"/>
    </row>
    <row r="2264" spans="1:8" ht="13.2" x14ac:dyDescent="0.25">
      <c r="A2264" s="2"/>
      <c r="B2264" s="1"/>
      <c r="C2264" s="1"/>
      <c r="D2264" s="1"/>
      <c r="E2264" s="1"/>
      <c r="F2264" s="1"/>
      <c r="G2264" s="3"/>
      <c r="H2264" s="1"/>
    </row>
    <row r="2265" spans="1:8" ht="13.2" x14ac:dyDescent="0.25">
      <c r="A2265" s="2"/>
      <c r="B2265" s="1"/>
      <c r="C2265" s="1"/>
      <c r="D2265" s="1"/>
      <c r="E2265" s="1"/>
      <c r="F2265" s="1"/>
      <c r="G2265" s="1"/>
      <c r="H2265" s="1"/>
    </row>
    <row r="2266" spans="1:8" ht="13.2" x14ac:dyDescent="0.25">
      <c r="A2266" s="2"/>
      <c r="B2266" s="1"/>
      <c r="C2266" s="1"/>
      <c r="D2266" s="1"/>
      <c r="E2266" s="1"/>
      <c r="F2266" s="1"/>
      <c r="G2266" s="3"/>
      <c r="H2266" s="1"/>
    </row>
    <row r="2267" spans="1:8" ht="13.2" x14ac:dyDescent="0.25">
      <c r="A2267" s="2"/>
      <c r="B2267" s="1"/>
      <c r="C2267" s="1"/>
      <c r="D2267" s="1"/>
      <c r="E2267" s="1"/>
      <c r="F2267" s="1"/>
      <c r="G2267" s="3"/>
      <c r="H2267" s="1"/>
    </row>
    <row r="2268" spans="1:8" ht="13.2" x14ac:dyDescent="0.25">
      <c r="A2268" s="1"/>
      <c r="B2268" s="1"/>
      <c r="C2268" s="1"/>
      <c r="D2268" s="1"/>
      <c r="E2268" s="1"/>
      <c r="F2268" s="1"/>
      <c r="G2268" s="3"/>
      <c r="H2268" s="1"/>
    </row>
    <row r="2269" spans="1:8" ht="13.2" x14ac:dyDescent="0.25">
      <c r="A2269" s="1"/>
      <c r="B2269" s="1"/>
      <c r="C2269" s="1"/>
      <c r="D2269" s="1"/>
      <c r="E2269" s="1"/>
      <c r="F2269" s="1"/>
      <c r="G2269" s="1"/>
      <c r="H2269" s="1"/>
    </row>
    <row r="2270" spans="1:8" ht="13.2" x14ac:dyDescent="0.25">
      <c r="A2270" s="1"/>
      <c r="B2270" s="1"/>
      <c r="C2270" s="1"/>
      <c r="D2270" s="1"/>
      <c r="E2270" s="1"/>
      <c r="F2270" s="1"/>
      <c r="G2270" s="1"/>
      <c r="H2270" s="1"/>
    </row>
    <row r="2271" spans="1:8" ht="13.2" x14ac:dyDescent="0.25">
      <c r="A2271" s="2"/>
      <c r="B2271" s="1"/>
      <c r="C2271" s="1"/>
      <c r="D2271" s="1"/>
      <c r="E2271" s="1"/>
      <c r="F2271" s="1"/>
      <c r="G2271" s="1"/>
      <c r="H2271" s="1"/>
    </row>
    <row r="2272" spans="1:8" ht="13.2" x14ac:dyDescent="0.25">
      <c r="A2272" s="2"/>
      <c r="B2272" s="1"/>
      <c r="C2272" s="1"/>
      <c r="D2272" s="1"/>
      <c r="E2272" s="1"/>
      <c r="F2272" s="1"/>
      <c r="G2272" s="3"/>
      <c r="H2272" s="1"/>
    </row>
    <row r="2273" spans="1:8" ht="13.2" x14ac:dyDescent="0.25">
      <c r="A2273" s="2"/>
      <c r="B2273" s="1"/>
      <c r="C2273" s="1"/>
      <c r="D2273" s="1"/>
      <c r="E2273" s="1"/>
      <c r="F2273" s="1"/>
      <c r="G2273" s="1"/>
      <c r="H2273" s="1"/>
    </row>
    <row r="2274" spans="1:8" ht="13.2" x14ac:dyDescent="0.25">
      <c r="A2274" s="1"/>
      <c r="B2274" s="1"/>
      <c r="C2274" s="1"/>
      <c r="D2274" s="1"/>
      <c r="E2274" s="1"/>
      <c r="F2274" s="1"/>
      <c r="G2274" s="3"/>
      <c r="H2274" s="1"/>
    </row>
    <row r="2275" spans="1:8" ht="13.2" x14ac:dyDescent="0.25">
      <c r="A2275" s="2"/>
      <c r="B2275" s="1"/>
      <c r="C2275" s="1"/>
      <c r="D2275" s="1"/>
      <c r="E2275" s="1"/>
      <c r="F2275" s="1"/>
      <c r="G2275" s="1"/>
      <c r="H2275" s="1"/>
    </row>
    <row r="2276" spans="1:8" ht="13.2" x14ac:dyDescent="0.25">
      <c r="A2276" s="1"/>
      <c r="B2276" s="1"/>
      <c r="C2276" s="1"/>
      <c r="D2276" s="1"/>
      <c r="E2276" s="1"/>
      <c r="F2276" s="1"/>
      <c r="G2276" s="1"/>
      <c r="H2276" s="1"/>
    </row>
    <row r="2277" spans="1:8" ht="13.2" x14ac:dyDescent="0.25">
      <c r="A2277" s="1"/>
      <c r="B2277" s="1"/>
      <c r="C2277" s="1"/>
      <c r="D2277" s="1"/>
      <c r="E2277" s="1"/>
      <c r="F2277" s="1"/>
      <c r="G2277" s="3"/>
      <c r="H2277" s="1"/>
    </row>
    <row r="2278" spans="1:8" ht="13.2" x14ac:dyDescent="0.25">
      <c r="A2278" s="2"/>
      <c r="B2278" s="1"/>
      <c r="C2278" s="1"/>
      <c r="D2278" s="1"/>
      <c r="E2278" s="1"/>
      <c r="F2278" s="1"/>
      <c r="G2278" s="3"/>
      <c r="H2278" s="1"/>
    </row>
    <row r="2279" spans="1:8" ht="13.2" x14ac:dyDescent="0.25">
      <c r="A2279" s="1"/>
      <c r="B2279" s="1"/>
      <c r="C2279" s="1"/>
      <c r="D2279" s="1"/>
      <c r="E2279" s="1"/>
      <c r="F2279" s="1"/>
      <c r="G2279" s="1"/>
      <c r="H2279" s="1"/>
    </row>
    <row r="2280" spans="1:8" ht="13.2" x14ac:dyDescent="0.25">
      <c r="A2280" s="1"/>
      <c r="B2280" s="1"/>
      <c r="C2280" s="1"/>
      <c r="D2280" s="1"/>
      <c r="E2280" s="1"/>
      <c r="F2280" s="1"/>
      <c r="G2280" s="3"/>
      <c r="H2280" s="1"/>
    </row>
    <row r="2281" spans="1:8" ht="13.2" x14ac:dyDescent="0.25">
      <c r="A2281" s="1"/>
      <c r="B2281" s="1"/>
      <c r="C2281" s="1"/>
      <c r="D2281" s="1"/>
      <c r="E2281" s="1"/>
      <c r="F2281" s="1"/>
      <c r="G2281" s="3"/>
      <c r="H2281" s="1"/>
    </row>
    <row r="2282" spans="1:8" ht="13.2" x14ac:dyDescent="0.25">
      <c r="A2282" s="2"/>
      <c r="B2282" s="1"/>
      <c r="C2282" s="1"/>
      <c r="D2282" s="1"/>
      <c r="E2282" s="1"/>
      <c r="F2282" s="1"/>
      <c r="G2282" s="1"/>
      <c r="H2282" s="1"/>
    </row>
    <row r="2283" spans="1:8" ht="13.2" x14ac:dyDescent="0.25">
      <c r="A2283" s="2"/>
      <c r="B2283" s="1"/>
      <c r="C2283" s="1"/>
      <c r="D2283" s="1"/>
      <c r="E2283" s="1"/>
      <c r="F2283" s="1"/>
      <c r="G2283" s="1"/>
      <c r="H2283" s="1"/>
    </row>
    <row r="2284" spans="1:8" ht="13.2" x14ac:dyDescent="0.25">
      <c r="A2284" s="1"/>
      <c r="B2284" s="1"/>
      <c r="C2284" s="1"/>
      <c r="D2284" s="1"/>
      <c r="E2284" s="1"/>
      <c r="F2284" s="1"/>
      <c r="G2284" s="3"/>
      <c r="H2284" s="1"/>
    </row>
    <row r="2285" spans="1:8" ht="13.2" x14ac:dyDescent="0.25">
      <c r="A2285" s="2"/>
      <c r="B2285" s="1"/>
      <c r="C2285" s="1"/>
      <c r="D2285" s="1"/>
      <c r="E2285" s="1"/>
      <c r="F2285" s="1"/>
      <c r="G2285" s="1"/>
      <c r="H2285" s="1"/>
    </row>
    <row r="2286" spans="1:8" ht="13.2" x14ac:dyDescent="0.25">
      <c r="A2286" s="1"/>
      <c r="B2286" s="1"/>
      <c r="C2286" s="1"/>
      <c r="D2286" s="1"/>
      <c r="E2286" s="1"/>
      <c r="F2286" s="1"/>
      <c r="G2286" s="3"/>
      <c r="H2286" s="1"/>
    </row>
    <row r="2287" spans="1:8" ht="13.2" x14ac:dyDescent="0.25">
      <c r="A2287" s="1"/>
      <c r="B2287" s="1"/>
      <c r="C2287" s="1"/>
      <c r="D2287" s="1"/>
      <c r="E2287" s="1"/>
      <c r="F2287" s="1"/>
      <c r="G2287" s="1"/>
      <c r="H2287" s="1"/>
    </row>
    <row r="2288" spans="1:8" ht="13.2" x14ac:dyDescent="0.25">
      <c r="A2288" s="1"/>
      <c r="B2288" s="1"/>
      <c r="C2288" s="1"/>
      <c r="D2288" s="1"/>
      <c r="E2288" s="1"/>
      <c r="F2288" s="1"/>
      <c r="G2288" s="3"/>
      <c r="H2288" s="1"/>
    </row>
    <row r="2289" spans="1:8" ht="13.2" x14ac:dyDescent="0.25">
      <c r="A2289" s="1"/>
      <c r="B2289" s="1"/>
      <c r="C2289" s="1"/>
      <c r="D2289" s="1"/>
      <c r="E2289" s="1"/>
      <c r="F2289" s="1"/>
      <c r="G2289" s="3"/>
      <c r="H2289" s="1"/>
    </row>
    <row r="2290" spans="1:8" ht="13.2" x14ac:dyDescent="0.25">
      <c r="A2290" s="2"/>
      <c r="B2290" s="1"/>
      <c r="C2290" s="1"/>
      <c r="D2290" s="1"/>
      <c r="E2290" s="1"/>
      <c r="F2290" s="1"/>
      <c r="G2290" s="3"/>
      <c r="H2290" s="1"/>
    </row>
    <row r="2291" spans="1:8" ht="13.2" x14ac:dyDescent="0.25">
      <c r="A2291" s="2"/>
      <c r="B2291" s="1"/>
      <c r="C2291" s="1"/>
      <c r="D2291" s="1"/>
      <c r="E2291" s="1"/>
      <c r="F2291" s="1"/>
      <c r="G2291" s="1"/>
      <c r="H2291" s="1"/>
    </row>
    <row r="2292" spans="1:8" ht="13.2" x14ac:dyDescent="0.25">
      <c r="A2292" s="1"/>
      <c r="B2292" s="1"/>
      <c r="C2292" s="1"/>
      <c r="D2292" s="1"/>
      <c r="E2292" s="1"/>
      <c r="F2292" s="1"/>
      <c r="G2292" s="1"/>
      <c r="H2292" s="1"/>
    </row>
    <row r="2293" spans="1:8" ht="13.2" x14ac:dyDescent="0.25">
      <c r="A2293" s="1"/>
      <c r="B2293" s="1"/>
      <c r="C2293" s="1"/>
      <c r="D2293" s="1"/>
      <c r="E2293" s="1"/>
      <c r="F2293" s="1"/>
      <c r="G2293" s="3"/>
      <c r="H2293" s="1"/>
    </row>
    <row r="2294" spans="1:8" ht="13.2" x14ac:dyDescent="0.25">
      <c r="A2294" s="1"/>
      <c r="B2294" s="1"/>
      <c r="C2294" s="1"/>
      <c r="D2294" s="1"/>
      <c r="E2294" s="1"/>
      <c r="F2294" s="1"/>
      <c r="G2294" s="3"/>
      <c r="H2294" s="1"/>
    </row>
    <row r="2295" spans="1:8" ht="13.2" x14ac:dyDescent="0.25">
      <c r="A2295" s="1"/>
      <c r="B2295" s="1"/>
      <c r="C2295" s="1"/>
      <c r="D2295" s="1"/>
      <c r="E2295" s="1"/>
      <c r="F2295" s="1"/>
      <c r="G2295" s="1"/>
      <c r="H2295" s="1"/>
    </row>
    <row r="2296" spans="1:8" ht="13.2" x14ac:dyDescent="0.25">
      <c r="A2296" s="2"/>
      <c r="B2296" s="1"/>
      <c r="C2296" s="1"/>
      <c r="D2296" s="1"/>
      <c r="E2296" s="1"/>
      <c r="F2296" s="1"/>
      <c r="G2296" s="1"/>
      <c r="H2296" s="1"/>
    </row>
    <row r="2297" spans="1:8" ht="13.2" x14ac:dyDescent="0.25">
      <c r="A2297" s="1"/>
      <c r="B2297" s="1"/>
      <c r="C2297" s="1"/>
      <c r="D2297" s="1"/>
      <c r="E2297" s="1"/>
      <c r="F2297" s="1"/>
      <c r="G2297" s="1"/>
      <c r="H2297" s="1"/>
    </row>
    <row r="2298" spans="1:8" ht="13.2" x14ac:dyDescent="0.25">
      <c r="A2298" s="2"/>
      <c r="B2298" s="1"/>
      <c r="C2298" s="1"/>
      <c r="D2298" s="1"/>
      <c r="E2298" s="1"/>
      <c r="F2298" s="1"/>
      <c r="G2298" s="1"/>
      <c r="H2298" s="1"/>
    </row>
    <row r="2299" spans="1:8" ht="13.2" x14ac:dyDescent="0.25">
      <c r="A2299" s="1"/>
      <c r="B2299" s="1"/>
      <c r="C2299" s="1"/>
      <c r="D2299" s="1"/>
      <c r="E2299" s="1"/>
      <c r="F2299" s="1"/>
      <c r="G2299" s="3"/>
      <c r="H2299" s="1"/>
    </row>
    <row r="2300" spans="1:8" ht="13.2" x14ac:dyDescent="0.25">
      <c r="A2300" s="1"/>
      <c r="B2300" s="1"/>
      <c r="C2300" s="1"/>
      <c r="D2300" s="1"/>
      <c r="E2300" s="1"/>
      <c r="F2300" s="1"/>
      <c r="G2300" s="3"/>
      <c r="H2300" s="1"/>
    </row>
    <row r="2301" spans="1:8" ht="13.2" x14ac:dyDescent="0.25">
      <c r="A2301" s="1"/>
      <c r="B2301" s="1"/>
      <c r="C2301" s="1"/>
      <c r="D2301" s="1"/>
      <c r="E2301" s="1"/>
      <c r="F2301" s="1"/>
      <c r="G2301" s="3"/>
      <c r="H2301" s="1"/>
    </row>
    <row r="2302" spans="1:8" ht="13.2" x14ac:dyDescent="0.25">
      <c r="A2302" s="2"/>
      <c r="B2302" s="1"/>
      <c r="C2302" s="1"/>
      <c r="D2302" s="1"/>
      <c r="E2302" s="1"/>
      <c r="F2302" s="1"/>
      <c r="G2302" s="1"/>
      <c r="H2302" s="1"/>
    </row>
    <row r="2303" spans="1:8" ht="13.2" x14ac:dyDescent="0.25">
      <c r="A2303" s="1"/>
      <c r="B2303" s="1"/>
      <c r="C2303" s="1"/>
      <c r="D2303" s="1"/>
      <c r="E2303" s="1"/>
      <c r="F2303" s="1"/>
      <c r="G2303" s="1"/>
      <c r="H2303" s="1"/>
    </row>
    <row r="2304" spans="1:8" ht="13.2" x14ac:dyDescent="0.25">
      <c r="A2304" s="1"/>
      <c r="B2304" s="1"/>
      <c r="C2304" s="1"/>
      <c r="D2304" s="1"/>
      <c r="E2304" s="1"/>
      <c r="F2304" s="1"/>
      <c r="G2304" s="1"/>
      <c r="H2304" s="1"/>
    </row>
    <row r="2305" spans="1:8" ht="13.2" x14ac:dyDescent="0.25">
      <c r="A2305" s="1"/>
      <c r="B2305" s="1"/>
      <c r="C2305" s="1"/>
      <c r="D2305" s="1"/>
      <c r="E2305" s="1"/>
      <c r="F2305" s="1"/>
      <c r="G2305" s="3"/>
      <c r="H2305" s="1"/>
    </row>
    <row r="2306" spans="1:8" ht="13.2" x14ac:dyDescent="0.25">
      <c r="A2306" s="1"/>
      <c r="B2306" s="1"/>
      <c r="C2306" s="1"/>
      <c r="D2306" s="1"/>
      <c r="E2306" s="1"/>
      <c r="F2306" s="1"/>
      <c r="G2306" s="3"/>
      <c r="H2306" s="1"/>
    </row>
    <row r="2307" spans="1:8" ht="13.2" x14ac:dyDescent="0.25">
      <c r="A2307" s="1"/>
      <c r="B2307" s="1"/>
      <c r="C2307" s="1"/>
      <c r="D2307" s="1"/>
      <c r="E2307" s="1"/>
      <c r="F2307" s="1"/>
      <c r="G2307" s="1"/>
      <c r="H2307" s="1"/>
    </row>
    <row r="2308" spans="1:8" ht="13.2" x14ac:dyDescent="0.25">
      <c r="A2308" s="1"/>
      <c r="B2308" s="1"/>
      <c r="C2308" s="1"/>
      <c r="D2308" s="1"/>
      <c r="E2308" s="1"/>
      <c r="F2308" s="1"/>
      <c r="G2308" s="3"/>
      <c r="H2308" s="1"/>
    </row>
    <row r="2309" spans="1:8" ht="13.2" x14ac:dyDescent="0.25">
      <c r="A2309" s="1"/>
      <c r="B2309" s="1"/>
      <c r="C2309" s="1"/>
      <c r="D2309" s="1"/>
      <c r="E2309" s="1"/>
      <c r="F2309" s="1"/>
      <c r="G2309" s="1"/>
      <c r="H2309" s="1"/>
    </row>
    <row r="2310" spans="1:8" ht="13.2" x14ac:dyDescent="0.25">
      <c r="A2310" s="1"/>
      <c r="B2310" s="1"/>
      <c r="C2310" s="1"/>
      <c r="D2310" s="1"/>
      <c r="E2310" s="1"/>
      <c r="F2310" s="1"/>
      <c r="G2310" s="1"/>
      <c r="H2310" s="1"/>
    </row>
    <row r="2311" spans="1:8" ht="13.2" x14ac:dyDescent="0.25">
      <c r="A2311" s="1"/>
      <c r="B2311" s="1"/>
      <c r="C2311" s="1"/>
      <c r="D2311" s="1"/>
      <c r="E2311" s="1"/>
      <c r="F2311" s="1"/>
      <c r="G2311" s="3"/>
      <c r="H2311" s="1"/>
    </row>
    <row r="2312" spans="1:8" ht="13.2" x14ac:dyDescent="0.25">
      <c r="A2312" s="1"/>
      <c r="B2312" s="1"/>
      <c r="C2312" s="1"/>
      <c r="D2312" s="1"/>
      <c r="E2312" s="1"/>
      <c r="F2312" s="1"/>
      <c r="G2312" s="3"/>
      <c r="H2312" s="1"/>
    </row>
    <row r="2313" spans="1:8" ht="13.2" x14ac:dyDescent="0.25">
      <c r="A2313" s="1"/>
      <c r="B2313" s="1"/>
      <c r="C2313" s="1"/>
      <c r="D2313" s="1"/>
      <c r="E2313" s="1"/>
      <c r="F2313" s="1"/>
      <c r="G2313" s="1"/>
      <c r="H2313" s="1"/>
    </row>
    <row r="2314" spans="1:8" ht="13.2" x14ac:dyDescent="0.25">
      <c r="A2314" s="1"/>
      <c r="B2314" s="1"/>
      <c r="C2314" s="1"/>
      <c r="D2314" s="1"/>
      <c r="E2314" s="1"/>
      <c r="F2314" s="1"/>
      <c r="G2314" s="1"/>
      <c r="H2314" s="1"/>
    </row>
    <row r="2315" spans="1:8" ht="13.2" x14ac:dyDescent="0.25">
      <c r="A2315" s="1"/>
      <c r="B2315" s="1"/>
      <c r="C2315" s="1"/>
      <c r="D2315" s="1"/>
      <c r="E2315" s="1"/>
      <c r="F2315" s="1"/>
      <c r="G2315" s="1"/>
      <c r="H2315" s="1"/>
    </row>
    <row r="2316" spans="1:8" ht="13.2" x14ac:dyDescent="0.25">
      <c r="A2316" s="1"/>
      <c r="B2316" s="1"/>
      <c r="C2316" s="1"/>
      <c r="D2316" s="1"/>
      <c r="E2316" s="1"/>
      <c r="F2316" s="1"/>
      <c r="G2316" s="3"/>
      <c r="H2316" s="1"/>
    </row>
    <row r="2317" spans="1:8" ht="13.2" x14ac:dyDescent="0.25">
      <c r="A2317" s="1"/>
      <c r="B2317" s="1"/>
      <c r="C2317" s="1"/>
      <c r="D2317" s="1"/>
      <c r="E2317" s="1"/>
      <c r="F2317" s="1"/>
      <c r="G2317" s="1"/>
      <c r="H2317" s="1"/>
    </row>
    <row r="2318" spans="1:8" ht="13.2" x14ac:dyDescent="0.25">
      <c r="A2318" s="1"/>
      <c r="B2318" s="1"/>
      <c r="C2318" s="1"/>
      <c r="D2318" s="1"/>
      <c r="E2318" s="1"/>
      <c r="F2318" s="1"/>
      <c r="G2318" s="1"/>
      <c r="H2318" s="1"/>
    </row>
    <row r="2319" spans="1:8" ht="13.2" x14ac:dyDescent="0.25">
      <c r="A2319" s="1"/>
      <c r="B2319" s="1"/>
      <c r="C2319" s="1"/>
      <c r="D2319" s="1"/>
      <c r="E2319" s="1"/>
      <c r="F2319" s="1"/>
      <c r="G2319" s="3"/>
      <c r="H2319" s="1"/>
    </row>
    <row r="2320" spans="1:8" ht="13.2" x14ac:dyDescent="0.25">
      <c r="A2320" s="1"/>
      <c r="B2320" s="1"/>
      <c r="C2320" s="1"/>
      <c r="D2320" s="1"/>
      <c r="E2320" s="1"/>
      <c r="F2320" s="1"/>
      <c r="G2320" s="3"/>
      <c r="H2320" s="1"/>
    </row>
    <row r="2321" spans="1:8" ht="13.2" x14ac:dyDescent="0.25">
      <c r="A2321" s="1"/>
      <c r="B2321" s="1"/>
      <c r="C2321" s="1"/>
      <c r="D2321" s="1"/>
      <c r="E2321" s="1"/>
      <c r="F2321" s="1"/>
      <c r="G2321" s="3"/>
      <c r="H2321" s="1"/>
    </row>
    <row r="2322" spans="1:8" ht="13.2" x14ac:dyDescent="0.25">
      <c r="A2322" s="1"/>
      <c r="B2322" s="1"/>
      <c r="C2322" s="1"/>
      <c r="D2322" s="1"/>
      <c r="E2322" s="1"/>
      <c r="F2322" s="1"/>
      <c r="G2322" s="3"/>
      <c r="H2322" s="1"/>
    </row>
    <row r="2323" spans="1:8" ht="13.2" x14ac:dyDescent="0.25">
      <c r="A2323" s="2"/>
      <c r="B2323" s="1"/>
      <c r="C2323" s="1"/>
      <c r="D2323" s="1"/>
      <c r="E2323" s="1"/>
      <c r="F2323" s="1"/>
      <c r="G2323" s="3"/>
      <c r="H2323" s="1"/>
    </row>
    <row r="2324" spans="1:8" ht="13.2" x14ac:dyDescent="0.25">
      <c r="A2324" s="1"/>
      <c r="B2324" s="1"/>
      <c r="C2324" s="1"/>
      <c r="D2324" s="1"/>
      <c r="E2324" s="1"/>
      <c r="F2324" s="1"/>
      <c r="G2324" s="3"/>
      <c r="H2324" s="1"/>
    </row>
    <row r="2325" spans="1:8" ht="13.2" x14ac:dyDescent="0.25">
      <c r="A2325" s="1"/>
      <c r="B2325" s="1"/>
      <c r="C2325" s="1"/>
      <c r="D2325" s="1"/>
      <c r="E2325" s="1"/>
      <c r="F2325" s="1"/>
      <c r="G2325" s="3"/>
      <c r="H2325" s="1"/>
    </row>
    <row r="2326" spans="1:8" ht="13.2" x14ac:dyDescent="0.25">
      <c r="A2326" s="1"/>
      <c r="B2326" s="1"/>
      <c r="C2326" s="1"/>
      <c r="D2326" s="1"/>
      <c r="E2326" s="1"/>
      <c r="F2326" s="1"/>
      <c r="G2326" s="1"/>
      <c r="H2326" s="1"/>
    </row>
    <row r="2327" spans="1:8" ht="13.2" x14ac:dyDescent="0.25">
      <c r="A2327" s="1"/>
      <c r="B2327" s="1"/>
      <c r="C2327" s="1"/>
      <c r="D2327" s="1"/>
      <c r="E2327" s="1"/>
      <c r="F2327" s="1"/>
      <c r="G2327" s="3"/>
      <c r="H2327" s="1"/>
    </row>
    <row r="2328" spans="1:8" ht="13.2" x14ac:dyDescent="0.25">
      <c r="A2328" s="2"/>
      <c r="B2328" s="1"/>
      <c r="C2328" s="1"/>
      <c r="D2328" s="1"/>
      <c r="E2328" s="1"/>
      <c r="F2328" s="1"/>
      <c r="G2328" s="3"/>
      <c r="H2328" s="1"/>
    </row>
    <row r="2329" spans="1:8" ht="13.2" x14ac:dyDescent="0.25">
      <c r="A2329" s="1"/>
      <c r="B2329" s="1"/>
      <c r="C2329" s="1"/>
      <c r="D2329" s="1"/>
      <c r="E2329" s="1"/>
      <c r="F2329" s="1"/>
      <c r="G2329" s="1"/>
      <c r="H2329" s="1"/>
    </row>
    <row r="2330" spans="1:8" ht="13.2" x14ac:dyDescent="0.25">
      <c r="A2330" s="1"/>
      <c r="B2330" s="1"/>
      <c r="C2330" s="1"/>
      <c r="D2330" s="1"/>
      <c r="E2330" s="1"/>
      <c r="F2330" s="1"/>
      <c r="G2330" s="1"/>
      <c r="H2330" s="1"/>
    </row>
    <row r="2331" spans="1:8" ht="13.2" x14ac:dyDescent="0.25">
      <c r="A2331" s="1"/>
      <c r="B2331" s="1"/>
      <c r="C2331" s="1"/>
      <c r="D2331" s="1"/>
      <c r="E2331" s="1"/>
      <c r="F2331" s="1"/>
      <c r="G2331" s="3"/>
      <c r="H2331" s="1"/>
    </row>
    <row r="2332" spans="1:8" ht="13.2" x14ac:dyDescent="0.25">
      <c r="A2332" s="1"/>
      <c r="B2332" s="1"/>
      <c r="C2332" s="1"/>
      <c r="D2332" s="1"/>
      <c r="E2332" s="1"/>
      <c r="F2332" s="1"/>
      <c r="G2332" s="1"/>
      <c r="H2332" s="1"/>
    </row>
    <row r="2333" spans="1:8" ht="13.2" x14ac:dyDescent="0.25">
      <c r="A2333" s="1"/>
      <c r="B2333" s="1"/>
      <c r="C2333" s="1"/>
      <c r="D2333" s="1"/>
      <c r="E2333" s="1"/>
      <c r="F2333" s="1"/>
      <c r="G2333" s="1"/>
      <c r="H2333" s="1"/>
    </row>
    <row r="2334" spans="1:8" ht="13.2" x14ac:dyDescent="0.25">
      <c r="A2334" s="1"/>
      <c r="B2334" s="1"/>
      <c r="C2334" s="1"/>
      <c r="D2334" s="1"/>
      <c r="E2334" s="1"/>
      <c r="F2334" s="1"/>
      <c r="G2334" s="1"/>
      <c r="H2334" s="1"/>
    </row>
    <row r="2335" spans="1:8" ht="13.2" x14ac:dyDescent="0.25">
      <c r="A2335" s="1"/>
      <c r="B2335" s="1"/>
      <c r="C2335" s="1"/>
      <c r="D2335" s="1"/>
      <c r="E2335" s="1"/>
      <c r="F2335" s="1"/>
      <c r="G2335" s="3"/>
      <c r="H2335" s="1"/>
    </row>
    <row r="2336" spans="1:8" ht="13.2" x14ac:dyDescent="0.25">
      <c r="A2336" s="1"/>
      <c r="B2336" s="1"/>
      <c r="C2336" s="1"/>
      <c r="D2336" s="1"/>
      <c r="E2336" s="1"/>
      <c r="F2336" s="1"/>
      <c r="G2336" s="3"/>
      <c r="H2336" s="1"/>
    </row>
    <row r="2337" spans="1:8" ht="13.2" x14ac:dyDescent="0.25">
      <c r="A2337" s="2"/>
      <c r="B2337" s="1"/>
      <c r="C2337" s="1"/>
      <c r="D2337" s="1"/>
      <c r="E2337" s="1"/>
      <c r="F2337" s="1"/>
      <c r="G2337" s="1"/>
      <c r="H2337" s="1"/>
    </row>
    <row r="2338" spans="1:8" ht="13.2" x14ac:dyDescent="0.25">
      <c r="A2338" s="1"/>
      <c r="B2338" s="1"/>
      <c r="C2338" s="1"/>
      <c r="D2338" s="1"/>
      <c r="E2338" s="1"/>
      <c r="F2338" s="1"/>
      <c r="G2338" s="3"/>
      <c r="H2338" s="1"/>
    </row>
    <row r="2339" spans="1:8" ht="13.2" x14ac:dyDescent="0.25">
      <c r="A2339" s="1"/>
      <c r="B2339" s="1"/>
      <c r="C2339" s="1"/>
      <c r="D2339" s="1"/>
      <c r="E2339" s="1"/>
      <c r="F2339" s="1"/>
      <c r="G2339" s="1"/>
      <c r="H2339" s="1"/>
    </row>
    <row r="2340" spans="1:8" ht="13.2" x14ac:dyDescent="0.25">
      <c r="A2340" s="1"/>
      <c r="B2340" s="1"/>
      <c r="C2340" s="1"/>
      <c r="D2340" s="1"/>
      <c r="E2340" s="1"/>
      <c r="F2340" s="1"/>
      <c r="G2340" s="3"/>
      <c r="H2340" s="1"/>
    </row>
    <row r="2341" spans="1:8" ht="13.2" x14ac:dyDescent="0.25">
      <c r="A2341" s="2"/>
      <c r="B2341" s="1"/>
      <c r="C2341" s="1"/>
      <c r="D2341" s="1"/>
      <c r="E2341" s="1"/>
      <c r="F2341" s="1"/>
      <c r="G2341" s="1"/>
      <c r="H2341" s="1"/>
    </row>
    <row r="2342" spans="1:8" ht="13.2" x14ac:dyDescent="0.25">
      <c r="A2342" s="1"/>
      <c r="B2342" s="1"/>
      <c r="C2342" s="1"/>
      <c r="D2342" s="1"/>
      <c r="E2342" s="1"/>
      <c r="F2342" s="1"/>
      <c r="G2342" s="1"/>
      <c r="H2342" s="1"/>
    </row>
    <row r="2343" spans="1:8" ht="13.2" x14ac:dyDescent="0.25">
      <c r="A2343" s="1"/>
      <c r="B2343" s="1"/>
      <c r="C2343" s="1"/>
      <c r="D2343" s="1"/>
      <c r="E2343" s="1"/>
      <c r="F2343" s="1"/>
      <c r="G2343" s="1"/>
      <c r="H2343" s="1"/>
    </row>
    <row r="2344" spans="1:8" ht="13.2" x14ac:dyDescent="0.25">
      <c r="A2344" s="1"/>
      <c r="B2344" s="1"/>
      <c r="C2344" s="1"/>
      <c r="D2344" s="1"/>
      <c r="E2344" s="1"/>
      <c r="F2344" s="1"/>
      <c r="G2344" s="1"/>
      <c r="H2344" s="1"/>
    </row>
    <row r="2345" spans="1:8" ht="13.2" x14ac:dyDescent="0.25">
      <c r="A2345" s="1"/>
      <c r="B2345" s="1"/>
      <c r="C2345" s="1"/>
      <c r="D2345" s="1"/>
      <c r="E2345" s="1"/>
      <c r="F2345" s="1"/>
      <c r="G2345" s="1"/>
      <c r="H2345" s="1"/>
    </row>
    <row r="2346" spans="1:8" ht="13.2" x14ac:dyDescent="0.25">
      <c r="A2346" s="2"/>
      <c r="B2346" s="1"/>
      <c r="C2346" s="1"/>
      <c r="D2346" s="1"/>
      <c r="E2346" s="1"/>
      <c r="F2346" s="1"/>
      <c r="G2346" s="1"/>
      <c r="H2346" s="1"/>
    </row>
    <row r="2347" spans="1:8" ht="13.2" x14ac:dyDescent="0.25">
      <c r="A2347" s="2"/>
      <c r="B2347" s="1"/>
      <c r="C2347" s="1"/>
      <c r="D2347" s="1"/>
      <c r="E2347" s="1"/>
      <c r="F2347" s="1"/>
      <c r="G2347" s="1"/>
      <c r="H2347" s="1"/>
    </row>
    <row r="2348" spans="1:8" ht="13.2" x14ac:dyDescent="0.25">
      <c r="A2348" s="1"/>
      <c r="B2348" s="1"/>
      <c r="C2348" s="1"/>
      <c r="D2348" s="1"/>
      <c r="E2348" s="1"/>
      <c r="F2348" s="1"/>
      <c r="G2348" s="1"/>
      <c r="H2348" s="1"/>
    </row>
    <row r="2349" spans="1:8" ht="13.2" x14ac:dyDescent="0.25">
      <c r="A2349" s="1"/>
      <c r="B2349" s="1"/>
      <c r="C2349" s="1"/>
      <c r="D2349" s="1"/>
      <c r="E2349" s="1"/>
      <c r="F2349" s="1"/>
      <c r="G2349" s="3"/>
      <c r="H2349" s="1"/>
    </row>
    <row r="2350" spans="1:8" ht="13.2" x14ac:dyDescent="0.25">
      <c r="A2350" s="2"/>
      <c r="B2350" s="1"/>
      <c r="C2350" s="1"/>
      <c r="D2350" s="1"/>
      <c r="E2350" s="1"/>
      <c r="F2350" s="1"/>
      <c r="G2350" s="3"/>
      <c r="H2350" s="1"/>
    </row>
    <row r="2351" spans="1:8" ht="13.2" x14ac:dyDescent="0.25">
      <c r="A2351" s="2"/>
      <c r="B2351" s="1"/>
      <c r="C2351" s="1"/>
      <c r="D2351" s="1"/>
      <c r="E2351" s="1"/>
      <c r="F2351" s="1"/>
      <c r="G2351" s="1"/>
      <c r="H2351" s="1"/>
    </row>
    <row r="2352" spans="1:8" ht="13.2" x14ac:dyDescent="0.25">
      <c r="A2352" s="1"/>
      <c r="B2352" s="1"/>
      <c r="C2352" s="1"/>
      <c r="D2352" s="1"/>
      <c r="E2352" s="1"/>
      <c r="F2352" s="1"/>
      <c r="G2352" s="1"/>
      <c r="H2352" s="1"/>
    </row>
    <row r="2353" spans="1:8" ht="13.2" x14ac:dyDescent="0.25">
      <c r="A2353" s="2"/>
      <c r="B2353" s="1"/>
      <c r="C2353" s="1"/>
      <c r="D2353" s="1"/>
      <c r="E2353" s="1"/>
      <c r="F2353" s="1"/>
      <c r="G2353" s="1"/>
      <c r="H2353" s="1"/>
    </row>
    <row r="2354" spans="1:8" ht="13.2" x14ac:dyDescent="0.25">
      <c r="A2354" s="1"/>
      <c r="B2354" s="1"/>
      <c r="C2354" s="1"/>
      <c r="D2354" s="1"/>
      <c r="E2354" s="1"/>
      <c r="F2354" s="1"/>
      <c r="G2354" s="3"/>
      <c r="H2354" s="1"/>
    </row>
    <row r="2355" spans="1:8" ht="13.2" x14ac:dyDescent="0.25">
      <c r="A2355" s="1"/>
      <c r="B2355" s="1"/>
      <c r="C2355" s="1"/>
      <c r="D2355" s="1"/>
      <c r="E2355" s="1"/>
      <c r="F2355" s="1"/>
      <c r="G2355" s="1"/>
      <c r="H2355" s="1"/>
    </row>
    <row r="2356" spans="1:8" ht="13.2" x14ac:dyDescent="0.25">
      <c r="A2356" s="1"/>
      <c r="B2356" s="1"/>
      <c r="C2356" s="1"/>
      <c r="D2356" s="1"/>
      <c r="E2356" s="1"/>
      <c r="F2356" s="1"/>
      <c r="G2356" s="3"/>
      <c r="H2356" s="1"/>
    </row>
    <row r="2357" spans="1:8" ht="13.2" x14ac:dyDescent="0.25">
      <c r="A2357" s="1"/>
      <c r="B2357" s="1"/>
      <c r="C2357" s="1"/>
      <c r="D2357" s="1"/>
      <c r="E2357" s="1"/>
      <c r="F2357" s="1"/>
      <c r="G2357" s="3"/>
      <c r="H2357" s="1"/>
    </row>
    <row r="2358" spans="1:8" ht="13.2" x14ac:dyDescent="0.25">
      <c r="A2358" s="1"/>
      <c r="B2358" s="1"/>
      <c r="C2358" s="1"/>
      <c r="D2358" s="1"/>
      <c r="E2358" s="1"/>
      <c r="F2358" s="1"/>
      <c r="G2358" s="3"/>
      <c r="H2358" s="1"/>
    </row>
    <row r="2359" spans="1:8" ht="13.2" x14ac:dyDescent="0.25">
      <c r="A2359" s="2"/>
      <c r="B2359" s="1"/>
      <c r="C2359" s="1"/>
      <c r="D2359" s="1"/>
      <c r="E2359" s="1"/>
      <c r="F2359" s="1"/>
      <c r="G2359" s="1"/>
      <c r="H2359" s="1"/>
    </row>
    <row r="2360" spans="1:8" ht="13.2" x14ac:dyDescent="0.25">
      <c r="A2360" s="1"/>
      <c r="B2360" s="1"/>
      <c r="C2360" s="1"/>
      <c r="D2360" s="1"/>
      <c r="E2360" s="1"/>
      <c r="F2360" s="1"/>
      <c r="G2360" s="3"/>
      <c r="H2360" s="1"/>
    </row>
    <row r="2361" spans="1:8" ht="13.2" x14ac:dyDescent="0.25">
      <c r="A2361" s="2"/>
      <c r="B2361" s="1"/>
      <c r="C2361" s="1"/>
      <c r="D2361" s="1"/>
      <c r="E2361" s="1"/>
      <c r="F2361" s="1"/>
      <c r="G2361" s="1"/>
      <c r="H2361" s="1"/>
    </row>
    <row r="2362" spans="1:8" ht="13.2" x14ac:dyDescent="0.25">
      <c r="A2362" s="1"/>
      <c r="B2362" s="1"/>
      <c r="C2362" s="1"/>
      <c r="D2362" s="1"/>
      <c r="E2362" s="1"/>
      <c r="F2362" s="1"/>
      <c r="G2362" s="1"/>
      <c r="H2362" s="1"/>
    </row>
    <row r="2363" spans="1:8" ht="13.2" x14ac:dyDescent="0.25">
      <c r="A2363" s="2"/>
      <c r="B2363" s="1"/>
      <c r="C2363" s="1"/>
      <c r="D2363" s="1"/>
      <c r="E2363" s="1"/>
      <c r="F2363" s="1"/>
      <c r="G2363" s="1"/>
      <c r="H2363" s="1"/>
    </row>
    <row r="2364" spans="1:8" ht="13.2" x14ac:dyDescent="0.25">
      <c r="A2364" s="2"/>
      <c r="B2364" s="1"/>
      <c r="C2364" s="1"/>
      <c r="D2364" s="1"/>
      <c r="E2364" s="1"/>
      <c r="F2364" s="1"/>
      <c r="G2364" s="3"/>
      <c r="H2364" s="1"/>
    </row>
    <row r="2365" spans="1:8" ht="13.2" x14ac:dyDescent="0.25">
      <c r="A2365" s="1"/>
      <c r="B2365" s="1"/>
      <c r="C2365" s="1"/>
      <c r="D2365" s="1"/>
      <c r="E2365" s="1"/>
      <c r="F2365" s="1"/>
      <c r="G2365" s="1"/>
      <c r="H2365" s="1"/>
    </row>
    <row r="2366" spans="1:8" ht="13.2" x14ac:dyDescent="0.25">
      <c r="A2366" s="2"/>
      <c r="B2366" s="1"/>
      <c r="C2366" s="1"/>
      <c r="D2366" s="1"/>
      <c r="E2366" s="1"/>
      <c r="F2366" s="1"/>
      <c r="G2366" s="3"/>
      <c r="H2366" s="1"/>
    </row>
    <row r="2367" spans="1:8" ht="13.2" x14ac:dyDescent="0.25">
      <c r="A2367" s="2"/>
      <c r="B2367" s="1"/>
      <c r="C2367" s="1"/>
      <c r="D2367" s="1"/>
      <c r="E2367" s="1"/>
      <c r="F2367" s="1"/>
      <c r="G2367" s="1"/>
      <c r="H2367" s="1"/>
    </row>
    <row r="2368" spans="1:8" ht="13.2" x14ac:dyDescent="0.25">
      <c r="A2368" s="1"/>
      <c r="B2368" s="1"/>
      <c r="C2368" s="1"/>
      <c r="D2368" s="1"/>
      <c r="E2368" s="1"/>
      <c r="F2368" s="1"/>
      <c r="G2368" s="1"/>
      <c r="H2368" s="1"/>
    </row>
    <row r="2369" spans="1:8" ht="13.2" x14ac:dyDescent="0.25">
      <c r="A2369" s="1"/>
      <c r="B2369" s="1"/>
      <c r="C2369" s="1"/>
      <c r="D2369" s="1"/>
      <c r="E2369" s="1"/>
      <c r="F2369" s="1"/>
      <c r="G2369" s="1"/>
      <c r="H2369" s="1"/>
    </row>
    <row r="2370" spans="1:8" ht="13.2" x14ac:dyDescent="0.25">
      <c r="A2370" s="2"/>
      <c r="B2370" s="1"/>
      <c r="C2370" s="1"/>
      <c r="D2370" s="1"/>
      <c r="E2370" s="1"/>
      <c r="F2370" s="1"/>
      <c r="G2370" s="1"/>
      <c r="H2370" s="1"/>
    </row>
    <row r="2371" spans="1:8" ht="13.2" x14ac:dyDescent="0.25">
      <c r="A2371" s="2"/>
      <c r="B2371" s="1"/>
      <c r="C2371" s="1"/>
      <c r="D2371" s="1"/>
      <c r="E2371" s="1"/>
      <c r="F2371" s="1"/>
      <c r="G2371" s="1"/>
      <c r="H2371" s="1"/>
    </row>
    <row r="2372" spans="1:8" ht="13.2" x14ac:dyDescent="0.25">
      <c r="A2372" s="1"/>
      <c r="B2372" s="1"/>
      <c r="C2372" s="1"/>
      <c r="D2372" s="1"/>
      <c r="E2372" s="1"/>
      <c r="F2372" s="1"/>
      <c r="G2372" s="1"/>
      <c r="H2372" s="1"/>
    </row>
    <row r="2373" spans="1:8" ht="13.2" x14ac:dyDescent="0.25">
      <c r="A2373" s="1"/>
      <c r="B2373" s="1"/>
      <c r="C2373" s="1"/>
      <c r="D2373" s="1"/>
      <c r="E2373" s="1"/>
      <c r="F2373" s="1"/>
      <c r="G2373" s="3"/>
      <c r="H2373" s="1"/>
    </row>
    <row r="2374" spans="1:8" ht="13.2" x14ac:dyDescent="0.25">
      <c r="A2374" s="2"/>
      <c r="B2374" s="1"/>
      <c r="C2374" s="1"/>
      <c r="D2374" s="1"/>
      <c r="E2374" s="1"/>
      <c r="F2374" s="1"/>
      <c r="G2374" s="3"/>
      <c r="H2374" s="1"/>
    </row>
    <row r="2375" spans="1:8" ht="13.2" x14ac:dyDescent="0.25">
      <c r="A2375" s="1"/>
      <c r="B2375" s="1"/>
      <c r="C2375" s="1"/>
      <c r="D2375" s="1"/>
      <c r="E2375" s="1"/>
      <c r="F2375" s="1"/>
      <c r="G2375" s="3"/>
      <c r="H2375" s="1"/>
    </row>
    <row r="2376" spans="1:8" ht="13.2" x14ac:dyDescent="0.25">
      <c r="A2376" s="1"/>
      <c r="B2376" s="1"/>
      <c r="C2376" s="1"/>
      <c r="D2376" s="1"/>
      <c r="E2376" s="1"/>
      <c r="F2376" s="1"/>
      <c r="G2376" s="3"/>
      <c r="H2376" s="1"/>
    </row>
    <row r="2377" spans="1:8" ht="13.2" x14ac:dyDescent="0.25">
      <c r="A2377" s="1"/>
      <c r="B2377" s="1"/>
      <c r="C2377" s="1"/>
      <c r="D2377" s="1"/>
      <c r="E2377" s="1"/>
      <c r="F2377" s="1"/>
      <c r="G2377" s="1"/>
      <c r="H2377" s="1"/>
    </row>
    <row r="2378" spans="1:8" ht="13.2" x14ac:dyDescent="0.25">
      <c r="A2378" s="1"/>
      <c r="B2378" s="1"/>
      <c r="C2378" s="1"/>
      <c r="D2378" s="1"/>
      <c r="E2378" s="1"/>
      <c r="F2378" s="1"/>
      <c r="G2378" s="3"/>
      <c r="H2378" s="1"/>
    </row>
    <row r="2379" spans="1:8" ht="13.2" x14ac:dyDescent="0.25">
      <c r="A2379" s="2"/>
      <c r="B2379" s="1"/>
      <c r="C2379" s="1"/>
      <c r="D2379" s="1"/>
      <c r="E2379" s="1"/>
      <c r="F2379" s="2"/>
      <c r="G2379" s="1"/>
      <c r="H2379" s="1"/>
    </row>
    <row r="2380" spans="1:8" ht="13.2" x14ac:dyDescent="0.25">
      <c r="A2380" s="1"/>
      <c r="B2380" s="1"/>
      <c r="C2380" s="1"/>
      <c r="D2380" s="1"/>
      <c r="E2380" s="1"/>
      <c r="F2380" s="1"/>
      <c r="G2380" s="1"/>
      <c r="H2380" s="1"/>
    </row>
    <row r="2381" spans="1:8" ht="13.2" x14ac:dyDescent="0.25">
      <c r="A2381" s="1"/>
      <c r="B2381" s="1"/>
      <c r="C2381" s="1"/>
      <c r="D2381" s="1"/>
      <c r="E2381" s="1"/>
      <c r="F2381" s="1"/>
      <c r="G2381" s="1"/>
      <c r="H2381" s="1"/>
    </row>
    <row r="2382" spans="1:8" ht="13.2" x14ac:dyDescent="0.25">
      <c r="A2382" s="2"/>
      <c r="B2382" s="1"/>
      <c r="C2382" s="1"/>
      <c r="D2382" s="1"/>
      <c r="E2382" s="1"/>
      <c r="F2382" s="1"/>
      <c r="G2382" s="1"/>
      <c r="H2382" s="1"/>
    </row>
    <row r="2383" spans="1:8" ht="13.2" x14ac:dyDescent="0.25">
      <c r="A2383" s="1"/>
      <c r="B2383" s="1"/>
      <c r="C2383" s="1"/>
      <c r="D2383" s="1"/>
      <c r="E2383" s="1"/>
      <c r="F2383" s="1"/>
      <c r="G2383" s="1"/>
      <c r="H2383" s="1"/>
    </row>
    <row r="2384" spans="1:8" ht="13.2" x14ac:dyDescent="0.25">
      <c r="A2384" s="1"/>
      <c r="B2384" s="1"/>
      <c r="C2384" s="1"/>
      <c r="D2384" s="1"/>
      <c r="E2384" s="1"/>
      <c r="F2384" s="1"/>
      <c r="G2384" s="1"/>
      <c r="H2384" s="1"/>
    </row>
    <row r="2385" spans="1:8" ht="13.2" x14ac:dyDescent="0.25">
      <c r="A2385" s="1"/>
      <c r="B2385" s="1"/>
      <c r="C2385" s="1"/>
      <c r="D2385" s="1"/>
      <c r="E2385" s="1"/>
      <c r="F2385" s="1"/>
      <c r="G2385" s="3"/>
      <c r="H2385" s="1"/>
    </row>
    <row r="2386" spans="1:8" ht="13.2" x14ac:dyDescent="0.25">
      <c r="A2386" s="1"/>
      <c r="B2386" s="1"/>
      <c r="C2386" s="1"/>
      <c r="D2386" s="1"/>
      <c r="E2386" s="1"/>
      <c r="F2386" s="1"/>
      <c r="G2386" s="1"/>
      <c r="H2386" s="1"/>
    </row>
    <row r="2387" spans="1:8" ht="13.2" x14ac:dyDescent="0.25">
      <c r="A2387" s="1"/>
      <c r="B2387" s="1"/>
      <c r="C2387" s="1"/>
      <c r="D2387" s="1"/>
      <c r="E2387" s="1"/>
      <c r="F2387" s="1"/>
      <c r="G2387" s="1"/>
      <c r="H2387" s="1"/>
    </row>
    <row r="2388" spans="1:8" ht="13.2" x14ac:dyDescent="0.25">
      <c r="A2388" s="1"/>
      <c r="B2388" s="1"/>
      <c r="C2388" s="1"/>
      <c r="D2388" s="1"/>
      <c r="E2388" s="1"/>
      <c r="F2388" s="1"/>
      <c r="G2388" s="1"/>
      <c r="H2388" s="1"/>
    </row>
    <row r="2389" spans="1:8" ht="13.2" x14ac:dyDescent="0.25">
      <c r="A2389" s="1"/>
      <c r="B2389" s="1"/>
      <c r="C2389" s="1"/>
      <c r="D2389" s="1"/>
      <c r="E2389" s="1"/>
      <c r="F2389" s="1"/>
      <c r="G2389" s="1"/>
      <c r="H2389" s="1"/>
    </row>
    <row r="2390" spans="1:8" ht="13.2" x14ac:dyDescent="0.25">
      <c r="A2390" s="1"/>
      <c r="B2390" s="1"/>
      <c r="C2390" s="1"/>
      <c r="D2390" s="1"/>
      <c r="E2390" s="1"/>
      <c r="F2390" s="1"/>
      <c r="G2390" s="3"/>
      <c r="H2390" s="1"/>
    </row>
    <row r="2391" spans="1:8" ht="13.2" x14ac:dyDescent="0.25">
      <c r="A2391" s="1"/>
      <c r="B2391" s="1"/>
      <c r="C2391" s="1"/>
      <c r="D2391" s="1"/>
      <c r="E2391" s="1"/>
      <c r="F2391" s="1"/>
      <c r="G2391" s="3"/>
      <c r="H2391" s="1"/>
    </row>
    <row r="2392" spans="1:8" ht="13.2" x14ac:dyDescent="0.25">
      <c r="A2392" s="2"/>
      <c r="B2392" s="1"/>
      <c r="C2392" s="1"/>
      <c r="D2392" s="1"/>
      <c r="E2392" s="1"/>
      <c r="F2392" s="1"/>
      <c r="G2392" s="3"/>
      <c r="H2392" s="1"/>
    </row>
    <row r="2393" spans="1:8" ht="13.2" x14ac:dyDescent="0.25">
      <c r="A2393" s="2"/>
      <c r="B2393" s="1"/>
      <c r="C2393" s="1"/>
      <c r="D2393" s="1"/>
      <c r="E2393" s="1"/>
      <c r="F2393" s="1"/>
      <c r="G2393" s="3"/>
      <c r="H2393" s="1"/>
    </row>
    <row r="2394" spans="1:8" ht="13.2" x14ac:dyDescent="0.25">
      <c r="A2394" s="1"/>
      <c r="B2394" s="1"/>
      <c r="C2394" s="1"/>
      <c r="D2394" s="1"/>
      <c r="E2394" s="1"/>
      <c r="F2394" s="1"/>
      <c r="G2394" s="3"/>
      <c r="H2394" s="1"/>
    </row>
    <row r="2395" spans="1:8" ht="13.2" x14ac:dyDescent="0.25">
      <c r="A2395" s="1"/>
      <c r="B2395" s="1"/>
      <c r="C2395" s="1"/>
      <c r="D2395" s="1"/>
      <c r="E2395" s="1"/>
      <c r="F2395" s="1"/>
      <c r="G2395" s="3"/>
      <c r="H2395" s="1"/>
    </row>
    <row r="2396" spans="1:8" ht="13.2" x14ac:dyDescent="0.25">
      <c r="A2396" s="2"/>
      <c r="B2396" s="1"/>
      <c r="C2396" s="1"/>
      <c r="D2396" s="1"/>
      <c r="E2396" s="1"/>
      <c r="F2396" s="1"/>
      <c r="G2396" s="3"/>
      <c r="H2396" s="1"/>
    </row>
    <row r="2397" spans="1:8" ht="13.2" x14ac:dyDescent="0.25">
      <c r="A2397" s="2"/>
      <c r="B2397" s="1"/>
      <c r="C2397" s="1"/>
      <c r="D2397" s="1"/>
      <c r="E2397" s="1"/>
      <c r="F2397" s="1"/>
      <c r="G2397" s="1"/>
      <c r="H2397" s="1"/>
    </row>
    <row r="2398" spans="1:8" ht="13.2" x14ac:dyDescent="0.25">
      <c r="A2398" s="2"/>
      <c r="B2398" s="1"/>
      <c r="C2398" s="1"/>
      <c r="D2398" s="1"/>
      <c r="E2398" s="1"/>
      <c r="F2398" s="1"/>
      <c r="G2398" s="1"/>
      <c r="H2398" s="1"/>
    </row>
    <row r="2399" spans="1:8" ht="13.2" x14ac:dyDescent="0.25">
      <c r="A2399" s="2"/>
      <c r="B2399" s="1"/>
      <c r="C2399" s="1"/>
      <c r="D2399" s="1"/>
      <c r="E2399" s="1"/>
      <c r="F2399" s="1"/>
      <c r="G2399" s="1"/>
      <c r="H2399" s="1"/>
    </row>
    <row r="2400" spans="1:8" ht="13.2" x14ac:dyDescent="0.25">
      <c r="A2400" s="1"/>
      <c r="B2400" s="1"/>
      <c r="C2400" s="1"/>
      <c r="D2400" s="1"/>
      <c r="E2400" s="1"/>
      <c r="F2400" s="1"/>
      <c r="G2400" s="1"/>
      <c r="H2400" s="1"/>
    </row>
    <row r="2401" spans="1:8" ht="13.2" x14ac:dyDescent="0.25">
      <c r="A2401" s="2"/>
      <c r="B2401" s="1"/>
      <c r="C2401" s="1"/>
      <c r="D2401" s="1"/>
      <c r="E2401" s="1"/>
      <c r="F2401" s="1"/>
      <c r="G2401" s="3"/>
      <c r="H2401" s="1"/>
    </row>
    <row r="2402" spans="1:8" ht="13.2" x14ac:dyDescent="0.25">
      <c r="A2402" s="1"/>
      <c r="B2402" s="1"/>
      <c r="C2402" s="1"/>
      <c r="D2402" s="1"/>
      <c r="E2402" s="1"/>
      <c r="F2402" s="1"/>
      <c r="G2402" s="3"/>
      <c r="H2402" s="1"/>
    </row>
    <row r="2403" spans="1:8" ht="13.2" x14ac:dyDescent="0.25">
      <c r="A2403" s="1"/>
      <c r="B2403" s="1"/>
      <c r="C2403" s="1"/>
      <c r="D2403" s="1"/>
      <c r="E2403" s="1"/>
      <c r="F2403" s="1"/>
      <c r="G2403" s="3"/>
      <c r="H2403" s="1"/>
    </row>
    <row r="2404" spans="1:8" ht="13.2" x14ac:dyDescent="0.25">
      <c r="A2404" s="2"/>
      <c r="B2404" s="1"/>
      <c r="C2404" s="1"/>
      <c r="D2404" s="1"/>
      <c r="E2404" s="1"/>
      <c r="F2404" s="1"/>
      <c r="G2404" s="3"/>
      <c r="H2404" s="1"/>
    </row>
    <row r="2405" spans="1:8" ht="13.2" x14ac:dyDescent="0.25">
      <c r="A2405" s="1"/>
      <c r="B2405" s="1"/>
      <c r="C2405" s="1"/>
      <c r="D2405" s="1"/>
      <c r="E2405" s="1"/>
      <c r="F2405" s="1"/>
      <c r="G2405" s="3"/>
      <c r="H2405" s="1"/>
    </row>
    <row r="2406" spans="1:8" ht="13.2" x14ac:dyDescent="0.25">
      <c r="A2406" s="2"/>
      <c r="B2406" s="1"/>
      <c r="C2406" s="1"/>
      <c r="D2406" s="1"/>
      <c r="E2406" s="1"/>
      <c r="F2406" s="1"/>
      <c r="G2406" s="1"/>
      <c r="H2406" s="1"/>
    </row>
    <row r="2407" spans="1:8" ht="13.2" x14ac:dyDescent="0.25">
      <c r="A2407" s="1"/>
      <c r="B2407" s="1"/>
      <c r="C2407" s="1"/>
      <c r="D2407" s="1"/>
      <c r="E2407" s="1"/>
      <c r="F2407" s="1"/>
      <c r="G2407" s="1"/>
      <c r="H2407" s="1"/>
    </row>
    <row r="2408" spans="1:8" ht="13.2" x14ac:dyDescent="0.25">
      <c r="A2408" s="2"/>
      <c r="B2408" s="1"/>
      <c r="C2408" s="1"/>
      <c r="D2408" s="1"/>
      <c r="E2408" s="1"/>
      <c r="F2408" s="1"/>
      <c r="G2408" s="1"/>
      <c r="H2408" s="1"/>
    </row>
    <row r="2409" spans="1:8" ht="13.2" x14ac:dyDescent="0.25">
      <c r="A2409" s="2"/>
      <c r="B2409" s="1"/>
      <c r="C2409" s="1"/>
      <c r="D2409" s="1"/>
      <c r="E2409" s="1"/>
      <c r="F2409" s="1"/>
      <c r="G2409" s="1"/>
      <c r="H2409" s="1"/>
    </row>
    <row r="2410" spans="1:8" ht="13.2" x14ac:dyDescent="0.25">
      <c r="A2410" s="2"/>
      <c r="B2410" s="1"/>
      <c r="C2410" s="1"/>
      <c r="D2410" s="1"/>
      <c r="E2410" s="1"/>
      <c r="F2410" s="1"/>
      <c r="G2410" s="1"/>
      <c r="H2410" s="1"/>
    </row>
    <row r="2411" spans="1:8" ht="13.2" x14ac:dyDescent="0.25">
      <c r="A2411" s="1"/>
      <c r="B2411" s="1"/>
      <c r="C2411" s="1"/>
      <c r="D2411" s="1"/>
      <c r="E2411" s="1"/>
      <c r="F2411" s="1"/>
      <c r="G2411" s="1"/>
      <c r="H2411" s="1"/>
    </row>
    <row r="2412" spans="1:8" ht="13.2" x14ac:dyDescent="0.25">
      <c r="A2412" s="2"/>
      <c r="B2412" s="1"/>
      <c r="C2412" s="1"/>
      <c r="D2412" s="1"/>
      <c r="E2412" s="1"/>
      <c r="F2412" s="1"/>
      <c r="G2412" s="1"/>
      <c r="H2412" s="1"/>
    </row>
    <row r="2413" spans="1:8" ht="13.2" x14ac:dyDescent="0.25">
      <c r="A2413" s="1"/>
      <c r="B2413" s="1"/>
      <c r="C2413" s="1"/>
      <c r="D2413" s="1"/>
      <c r="E2413" s="1"/>
      <c r="F2413" s="1"/>
      <c r="G2413" s="3"/>
      <c r="H2413" s="1"/>
    </row>
    <row r="2414" spans="1:8" ht="13.2" x14ac:dyDescent="0.25">
      <c r="A2414" s="1"/>
      <c r="B2414" s="1"/>
      <c r="C2414" s="1"/>
      <c r="D2414" s="1"/>
      <c r="E2414" s="1"/>
      <c r="F2414" s="1"/>
      <c r="G2414" s="1"/>
      <c r="H2414" s="1"/>
    </row>
    <row r="2415" spans="1:8" ht="13.2" x14ac:dyDescent="0.25">
      <c r="A2415" s="1"/>
      <c r="B2415" s="1"/>
      <c r="C2415" s="1"/>
      <c r="D2415" s="1"/>
      <c r="E2415" s="1"/>
      <c r="F2415" s="1"/>
      <c r="G2415" s="1"/>
      <c r="H2415" s="1"/>
    </row>
    <row r="2416" spans="1:8" ht="13.2" x14ac:dyDescent="0.25">
      <c r="A2416" s="2"/>
      <c r="B2416" s="1"/>
      <c r="C2416" s="1"/>
      <c r="D2416" s="1"/>
      <c r="E2416" s="1"/>
      <c r="F2416" s="1"/>
      <c r="G2416" s="3"/>
      <c r="H2416" s="1"/>
    </row>
    <row r="2417" spans="1:8" ht="13.2" x14ac:dyDescent="0.25">
      <c r="A2417" s="1"/>
      <c r="B2417" s="1"/>
      <c r="C2417" s="1"/>
      <c r="D2417" s="1"/>
      <c r="E2417" s="1"/>
      <c r="F2417" s="1"/>
      <c r="G2417" s="3"/>
      <c r="H2417" s="1"/>
    </row>
    <row r="2418" spans="1:8" ht="13.2" x14ac:dyDescent="0.25">
      <c r="A2418" s="2"/>
      <c r="B2418" s="1"/>
      <c r="C2418" s="1"/>
      <c r="D2418" s="1"/>
      <c r="E2418" s="1"/>
      <c r="F2418" s="1"/>
      <c r="G2418" s="1"/>
      <c r="H2418" s="1"/>
    </row>
    <row r="2419" spans="1:8" ht="13.2" x14ac:dyDescent="0.25">
      <c r="A2419" s="2"/>
      <c r="B2419" s="1"/>
      <c r="C2419" s="1"/>
      <c r="D2419" s="1"/>
      <c r="E2419" s="1"/>
      <c r="F2419" s="1"/>
      <c r="G2419" s="1"/>
      <c r="H2419" s="1"/>
    </row>
    <row r="2420" spans="1:8" ht="13.2" x14ac:dyDescent="0.25">
      <c r="A2420" s="2"/>
      <c r="B2420" s="1"/>
      <c r="C2420" s="1"/>
      <c r="D2420" s="1"/>
      <c r="E2420" s="1"/>
      <c r="F2420" s="1"/>
      <c r="G2420" s="1"/>
      <c r="H2420" s="1"/>
    </row>
    <row r="2421" spans="1:8" ht="13.2" x14ac:dyDescent="0.25">
      <c r="A2421" s="2"/>
      <c r="B2421" s="1"/>
      <c r="C2421" s="1"/>
      <c r="D2421" s="1"/>
      <c r="E2421" s="1"/>
      <c r="F2421" s="1"/>
      <c r="G2421" s="1"/>
      <c r="H2421" s="1"/>
    </row>
    <row r="2422" spans="1:8" ht="13.2" x14ac:dyDescent="0.25">
      <c r="A2422" s="2"/>
      <c r="B2422" s="1"/>
      <c r="C2422" s="1"/>
      <c r="D2422" s="1"/>
      <c r="E2422" s="1"/>
      <c r="F2422" s="1"/>
      <c r="G2422" s="1"/>
      <c r="H2422" s="1"/>
    </row>
    <row r="2423" spans="1:8" ht="13.2" x14ac:dyDescent="0.25">
      <c r="A2423" s="1"/>
      <c r="B2423" s="1"/>
      <c r="C2423" s="1"/>
      <c r="D2423" s="1"/>
      <c r="E2423" s="1"/>
      <c r="F2423" s="1"/>
      <c r="G2423" s="1"/>
      <c r="H2423" s="1"/>
    </row>
    <row r="2424" spans="1:8" ht="13.2" x14ac:dyDescent="0.25">
      <c r="A2424" s="2"/>
      <c r="B2424" s="1"/>
      <c r="C2424" s="1"/>
      <c r="D2424" s="1"/>
      <c r="E2424" s="1"/>
      <c r="F2424" s="1"/>
      <c r="G2424" s="1"/>
      <c r="H2424" s="1"/>
    </row>
    <row r="2425" spans="1:8" ht="13.2" x14ac:dyDescent="0.25">
      <c r="A2425" s="2"/>
      <c r="B2425" s="1"/>
      <c r="C2425" s="1"/>
      <c r="D2425" s="1"/>
      <c r="E2425" s="1"/>
      <c r="F2425" s="1"/>
      <c r="G2425" s="1"/>
      <c r="H2425" s="1"/>
    </row>
    <row r="2426" spans="1:8" ht="13.2" x14ac:dyDescent="0.25">
      <c r="A2426" s="2"/>
      <c r="B2426" s="1"/>
      <c r="C2426" s="1"/>
      <c r="D2426" s="1"/>
      <c r="E2426" s="1"/>
      <c r="F2426" s="1"/>
      <c r="G2426" s="1"/>
      <c r="H2426" s="1"/>
    </row>
    <row r="2427" spans="1:8" ht="13.2" x14ac:dyDescent="0.25">
      <c r="A2427" s="2"/>
      <c r="B2427" s="1"/>
      <c r="C2427" s="1"/>
      <c r="D2427" s="1"/>
      <c r="E2427" s="1"/>
      <c r="F2427" s="1"/>
      <c r="G2427" s="1"/>
      <c r="H2427" s="1"/>
    </row>
    <row r="2428" spans="1:8" ht="13.2" x14ac:dyDescent="0.25">
      <c r="A2428" s="1"/>
      <c r="B2428" s="1"/>
      <c r="C2428" s="1"/>
      <c r="D2428" s="1"/>
      <c r="E2428" s="1"/>
      <c r="F2428" s="1"/>
      <c r="G2428" s="1"/>
      <c r="H2428" s="1"/>
    </row>
    <row r="2429" spans="1:8" ht="13.2" x14ac:dyDescent="0.25">
      <c r="A2429" s="2"/>
      <c r="B2429" s="1"/>
      <c r="C2429" s="1"/>
      <c r="D2429" s="1"/>
      <c r="E2429" s="1"/>
      <c r="F2429" s="1"/>
      <c r="G2429" s="1"/>
      <c r="H2429" s="1"/>
    </row>
    <row r="2430" spans="1:8" ht="13.2" x14ac:dyDescent="0.25">
      <c r="A2430" s="2"/>
      <c r="B2430" s="1"/>
      <c r="C2430" s="1"/>
      <c r="D2430" s="1"/>
      <c r="E2430" s="1"/>
      <c r="F2430" s="1"/>
      <c r="G2430" s="1"/>
      <c r="H2430" s="1"/>
    </row>
    <row r="2431" spans="1:8" ht="13.2" x14ac:dyDescent="0.25">
      <c r="A2431" s="1"/>
      <c r="B2431" s="1"/>
      <c r="C2431" s="1"/>
      <c r="D2431" s="1"/>
      <c r="E2431" s="1"/>
      <c r="F2431" s="1"/>
      <c r="G2431" s="1"/>
      <c r="H2431" s="1"/>
    </row>
    <row r="2432" spans="1:8" ht="13.2" x14ac:dyDescent="0.25">
      <c r="A2432" s="1"/>
      <c r="B2432" s="1"/>
      <c r="C2432" s="1"/>
      <c r="D2432" s="1"/>
      <c r="E2432" s="1"/>
      <c r="F2432" s="1"/>
      <c r="G2432" s="3"/>
      <c r="H2432" s="1"/>
    </row>
    <row r="2433" spans="1:8" ht="13.2" x14ac:dyDescent="0.25">
      <c r="A2433" s="2"/>
      <c r="B2433" s="1"/>
      <c r="C2433" s="1"/>
      <c r="D2433" s="1"/>
      <c r="E2433" s="1"/>
      <c r="F2433" s="1"/>
      <c r="G2433" s="1"/>
      <c r="H2433" s="1"/>
    </row>
    <row r="2434" spans="1:8" ht="13.2" x14ac:dyDescent="0.25">
      <c r="A2434" s="1"/>
      <c r="B2434" s="1"/>
      <c r="C2434" s="1"/>
      <c r="D2434" s="1"/>
      <c r="E2434" s="1"/>
      <c r="F2434" s="1"/>
      <c r="G2434" s="3"/>
      <c r="H2434" s="1"/>
    </row>
    <row r="2435" spans="1:8" ht="13.2" x14ac:dyDescent="0.25">
      <c r="A2435" s="2"/>
      <c r="B2435" s="1"/>
      <c r="C2435" s="1"/>
      <c r="D2435" s="1"/>
      <c r="E2435" s="1"/>
      <c r="F2435" s="1"/>
      <c r="G2435" s="1"/>
      <c r="H2435" s="1"/>
    </row>
    <row r="2436" spans="1:8" ht="13.2" x14ac:dyDescent="0.25">
      <c r="A2436" s="2"/>
      <c r="B2436" s="1"/>
      <c r="C2436" s="1"/>
      <c r="D2436" s="1"/>
      <c r="E2436" s="1"/>
      <c r="F2436" s="1"/>
      <c r="G2436" s="1"/>
      <c r="H2436" s="1"/>
    </row>
    <row r="2437" spans="1:8" ht="13.2" x14ac:dyDescent="0.25">
      <c r="A2437" s="1"/>
      <c r="B2437" s="1"/>
      <c r="C2437" s="1"/>
      <c r="D2437" s="1"/>
      <c r="E2437" s="1"/>
      <c r="F2437" s="1"/>
      <c r="G2437" s="1"/>
      <c r="H2437" s="1"/>
    </row>
    <row r="2438" spans="1:8" ht="13.2" x14ac:dyDescent="0.25">
      <c r="A2438" s="2"/>
      <c r="B2438" s="1"/>
      <c r="C2438" s="1"/>
      <c r="D2438" s="1"/>
      <c r="E2438" s="1"/>
      <c r="F2438" s="1"/>
      <c r="G2438" s="3"/>
      <c r="H2438" s="1"/>
    </row>
    <row r="2439" spans="1:8" ht="13.2" x14ac:dyDescent="0.25">
      <c r="A2439" s="1"/>
      <c r="B2439" s="1"/>
      <c r="C2439" s="1"/>
      <c r="D2439" s="1"/>
      <c r="E2439" s="1"/>
      <c r="F2439" s="1"/>
      <c r="G2439" s="1"/>
      <c r="H2439" s="1"/>
    </row>
    <row r="2440" spans="1:8" ht="13.2" x14ac:dyDescent="0.25">
      <c r="A2440" s="2"/>
      <c r="B2440" s="1"/>
      <c r="C2440" s="1"/>
      <c r="D2440" s="1"/>
      <c r="E2440" s="1"/>
      <c r="F2440" s="1"/>
      <c r="G2440" s="1"/>
      <c r="H2440" s="1"/>
    </row>
    <row r="2441" spans="1:8" ht="13.2" x14ac:dyDescent="0.25">
      <c r="A2441" s="1"/>
      <c r="B2441" s="1"/>
      <c r="C2441" s="1"/>
      <c r="D2441" s="1"/>
      <c r="E2441" s="1"/>
      <c r="F2441" s="1"/>
      <c r="G2441" s="1"/>
      <c r="H2441" s="1"/>
    </row>
    <row r="2442" spans="1:8" ht="13.2" x14ac:dyDescent="0.25">
      <c r="A2442" s="1"/>
      <c r="B2442" s="1"/>
      <c r="C2442" s="1"/>
      <c r="D2442" s="1"/>
      <c r="E2442" s="1"/>
      <c r="F2442" s="1"/>
      <c r="G2442" s="1"/>
      <c r="H2442" s="1"/>
    </row>
    <row r="2443" spans="1:8" ht="13.2" x14ac:dyDescent="0.25">
      <c r="A2443" s="1"/>
      <c r="B2443" s="1"/>
      <c r="C2443" s="1"/>
      <c r="D2443" s="1"/>
      <c r="E2443" s="1"/>
      <c r="F2443" s="1"/>
      <c r="G2443" s="1"/>
      <c r="H2443" s="1"/>
    </row>
    <row r="2444" spans="1:8" ht="13.2" x14ac:dyDescent="0.25">
      <c r="A2444" s="1"/>
      <c r="B2444" s="1"/>
      <c r="C2444" s="1"/>
      <c r="D2444" s="1"/>
      <c r="E2444" s="1"/>
      <c r="F2444" s="1"/>
      <c r="G2444" s="1"/>
      <c r="H2444" s="1"/>
    </row>
    <row r="2445" spans="1:8" ht="13.2" x14ac:dyDescent="0.25">
      <c r="A2445" s="2"/>
      <c r="B2445" s="1"/>
      <c r="C2445" s="1"/>
      <c r="D2445" s="1"/>
      <c r="E2445" s="1"/>
      <c r="F2445" s="1"/>
      <c r="G2445" s="1"/>
      <c r="H2445" s="1"/>
    </row>
    <row r="2446" spans="1:8" ht="13.2" x14ac:dyDescent="0.25">
      <c r="A2446" s="2"/>
      <c r="B2446" s="1"/>
      <c r="C2446" s="1"/>
      <c r="D2446" s="1"/>
      <c r="E2446" s="1"/>
      <c r="F2446" s="1"/>
      <c r="G2446" s="1"/>
      <c r="H2446" s="1"/>
    </row>
    <row r="2447" spans="1:8" ht="13.2" x14ac:dyDescent="0.25">
      <c r="A2447" s="2"/>
      <c r="B2447" s="1"/>
      <c r="C2447" s="1"/>
      <c r="D2447" s="1"/>
      <c r="E2447" s="1"/>
      <c r="F2447" s="1"/>
      <c r="G2447" s="1"/>
      <c r="H2447" s="1"/>
    </row>
    <row r="2448" spans="1:8" ht="13.2" x14ac:dyDescent="0.25">
      <c r="A2448" s="1"/>
      <c r="B2448" s="1"/>
      <c r="C2448" s="1"/>
      <c r="D2448" s="1"/>
      <c r="E2448" s="1"/>
      <c r="F2448" s="1"/>
      <c r="G2448" s="1"/>
      <c r="H2448" s="1"/>
    </row>
    <row r="2449" spans="1:8" ht="13.2" x14ac:dyDescent="0.25">
      <c r="A2449" s="1"/>
      <c r="B2449" s="1"/>
      <c r="C2449" s="1"/>
      <c r="D2449" s="1"/>
      <c r="E2449" s="1"/>
      <c r="F2449" s="1"/>
      <c r="G2449" s="1"/>
      <c r="H2449" s="1"/>
    </row>
    <row r="2450" spans="1:8" ht="13.2" x14ac:dyDescent="0.25">
      <c r="A2450" s="2"/>
      <c r="B2450" s="1"/>
      <c r="C2450" s="1"/>
      <c r="D2450" s="1"/>
      <c r="E2450" s="1"/>
      <c r="F2450" s="1"/>
      <c r="G2450" s="3"/>
      <c r="H2450" s="1"/>
    </row>
    <row r="2451" spans="1:8" ht="13.2" x14ac:dyDescent="0.25">
      <c r="A2451" s="1"/>
      <c r="B2451" s="1"/>
      <c r="C2451" s="1"/>
      <c r="D2451" s="1"/>
      <c r="E2451" s="1"/>
      <c r="F2451" s="1"/>
      <c r="G2451" s="3"/>
      <c r="H2451" s="1"/>
    </row>
    <row r="2452" spans="1:8" ht="13.2" x14ac:dyDescent="0.25">
      <c r="A2452" s="2"/>
      <c r="B2452" s="1"/>
      <c r="C2452" s="1"/>
      <c r="D2452" s="1"/>
      <c r="E2452" s="1"/>
      <c r="F2452" s="1"/>
      <c r="G2452" s="1"/>
      <c r="H2452" s="1"/>
    </row>
    <row r="2453" spans="1:8" ht="13.2" x14ac:dyDescent="0.25">
      <c r="A2453" s="1"/>
      <c r="B2453" s="1"/>
      <c r="C2453" s="1"/>
      <c r="D2453" s="1"/>
      <c r="E2453" s="1"/>
      <c r="F2453" s="1"/>
      <c r="G2453" s="3"/>
      <c r="H2453" s="1"/>
    </row>
    <row r="2454" spans="1:8" ht="13.2" x14ac:dyDescent="0.25">
      <c r="A2454" s="1"/>
      <c r="B2454" s="1"/>
      <c r="C2454" s="1"/>
      <c r="D2454" s="1"/>
      <c r="E2454" s="1"/>
      <c r="F2454" s="1"/>
      <c r="G2454" s="1"/>
      <c r="H2454" s="1"/>
    </row>
    <row r="2455" spans="1:8" ht="13.2" x14ac:dyDescent="0.25">
      <c r="A2455" s="1"/>
      <c r="B2455" s="1"/>
      <c r="C2455" s="1"/>
      <c r="D2455" s="1"/>
      <c r="E2455" s="1"/>
      <c r="F2455" s="1"/>
      <c r="G2455" s="1"/>
      <c r="H2455" s="1"/>
    </row>
    <row r="2456" spans="1:8" ht="13.2" x14ac:dyDescent="0.25">
      <c r="A2456" s="1"/>
      <c r="B2456" s="1"/>
      <c r="C2456" s="1"/>
      <c r="D2456" s="1"/>
      <c r="E2456" s="1"/>
      <c r="F2456" s="1"/>
      <c r="G2456" s="3"/>
      <c r="H2456" s="1"/>
    </row>
    <row r="2457" spans="1:8" ht="13.2" x14ac:dyDescent="0.25">
      <c r="A2457" s="1"/>
      <c r="B2457" s="1"/>
      <c r="C2457" s="1"/>
      <c r="D2457" s="1"/>
      <c r="E2457" s="1"/>
      <c r="F2457" s="1"/>
      <c r="G2457" s="1"/>
      <c r="H2457" s="1"/>
    </row>
    <row r="2458" spans="1:8" ht="13.2" x14ac:dyDescent="0.25">
      <c r="A2458" s="1"/>
      <c r="B2458" s="1"/>
      <c r="C2458" s="1"/>
      <c r="D2458" s="1"/>
      <c r="E2458" s="1"/>
      <c r="F2458" s="1"/>
      <c r="G2458" s="1"/>
      <c r="H2458" s="1"/>
    </row>
    <row r="2459" spans="1:8" ht="13.2" x14ac:dyDescent="0.25">
      <c r="A2459" s="1"/>
      <c r="B2459" s="1"/>
      <c r="C2459" s="1"/>
      <c r="D2459" s="1"/>
      <c r="E2459" s="1"/>
      <c r="F2459" s="1"/>
      <c r="G2459" s="1"/>
      <c r="H2459" s="1"/>
    </row>
    <row r="2460" spans="1:8" ht="13.2" x14ac:dyDescent="0.25">
      <c r="A2460" s="2"/>
      <c r="B2460" s="1"/>
      <c r="C2460" s="1"/>
      <c r="D2460" s="1"/>
      <c r="E2460" s="1"/>
      <c r="F2460" s="1"/>
      <c r="G2460" s="1"/>
      <c r="H2460" s="1"/>
    </row>
    <row r="2461" spans="1:8" ht="13.2" x14ac:dyDescent="0.25">
      <c r="A2461" s="2"/>
      <c r="B2461" s="1"/>
      <c r="C2461" s="1"/>
      <c r="D2461" s="1"/>
      <c r="E2461" s="1"/>
      <c r="F2461" s="1"/>
      <c r="G2461" s="1"/>
      <c r="H2461" s="1"/>
    </row>
    <row r="2462" spans="1:8" ht="13.2" x14ac:dyDescent="0.25">
      <c r="A2462" s="1"/>
      <c r="B2462" s="1"/>
      <c r="C2462" s="1"/>
      <c r="D2462" s="1"/>
      <c r="E2462" s="1"/>
      <c r="F2462" s="1"/>
      <c r="G2462" s="1"/>
      <c r="H2462" s="1"/>
    </row>
    <row r="2463" spans="1:8" ht="13.2" x14ac:dyDescent="0.25">
      <c r="A2463" s="1"/>
      <c r="B2463" s="1"/>
      <c r="C2463" s="1"/>
      <c r="D2463" s="1"/>
      <c r="E2463" s="1"/>
      <c r="F2463" s="1"/>
      <c r="G2463" s="3"/>
      <c r="H2463" s="1"/>
    </row>
    <row r="2464" spans="1:8" ht="13.2" x14ac:dyDescent="0.25">
      <c r="A2464" s="1"/>
      <c r="B2464" s="1"/>
      <c r="C2464" s="1"/>
      <c r="D2464" s="1"/>
      <c r="E2464" s="1"/>
      <c r="F2464" s="1"/>
      <c r="G2464" s="1"/>
      <c r="H2464" s="1"/>
    </row>
    <row r="2465" spans="1:8" ht="13.2" x14ac:dyDescent="0.25">
      <c r="A2465" s="1"/>
      <c r="B2465" s="1"/>
      <c r="C2465" s="1"/>
      <c r="D2465" s="1"/>
      <c r="E2465" s="1"/>
      <c r="F2465" s="1"/>
      <c r="G2465" s="1"/>
      <c r="H2465" s="1"/>
    </row>
    <row r="2466" spans="1:8" ht="13.2" x14ac:dyDescent="0.25">
      <c r="A2466" s="1"/>
      <c r="B2466" s="1"/>
      <c r="C2466" s="1"/>
      <c r="D2466" s="1"/>
      <c r="E2466" s="1"/>
      <c r="F2466" s="1"/>
      <c r="G2466" s="3"/>
      <c r="H2466" s="1"/>
    </row>
    <row r="2467" spans="1:8" ht="13.2" x14ac:dyDescent="0.25">
      <c r="A2467" s="1"/>
      <c r="B2467" s="1"/>
      <c r="C2467" s="1"/>
      <c r="D2467" s="1"/>
      <c r="E2467" s="1"/>
      <c r="F2467" s="1"/>
      <c r="G2467" s="1"/>
      <c r="H2467" s="1"/>
    </row>
    <row r="2468" spans="1:8" ht="13.2" x14ac:dyDescent="0.25">
      <c r="A2468" s="1"/>
      <c r="B2468" s="1"/>
      <c r="C2468" s="1"/>
      <c r="D2468" s="1"/>
      <c r="E2468" s="1"/>
      <c r="F2468" s="1"/>
      <c r="G2468" s="3"/>
      <c r="H2468" s="1"/>
    </row>
    <row r="2469" spans="1:8" ht="13.2" x14ac:dyDescent="0.25">
      <c r="A2469" s="1"/>
      <c r="B2469" s="1"/>
      <c r="C2469" s="1"/>
      <c r="D2469" s="1"/>
      <c r="E2469" s="1"/>
      <c r="F2469" s="1"/>
      <c r="G2469" s="3"/>
      <c r="H2469" s="1"/>
    </row>
    <row r="2470" spans="1:8" ht="13.2" x14ac:dyDescent="0.25">
      <c r="A2470" s="1"/>
      <c r="B2470" s="1"/>
      <c r="C2470" s="1"/>
      <c r="D2470" s="1"/>
      <c r="E2470" s="1"/>
      <c r="F2470" s="1"/>
      <c r="G2470" s="3"/>
      <c r="H2470" s="1"/>
    </row>
    <row r="2471" spans="1:8" ht="13.2" x14ac:dyDescent="0.25">
      <c r="A2471" s="1"/>
      <c r="B2471" s="1"/>
      <c r="C2471" s="1"/>
      <c r="D2471" s="1"/>
      <c r="E2471" s="1"/>
      <c r="F2471" s="1"/>
      <c r="G2471" s="3"/>
      <c r="H2471" s="1"/>
    </row>
    <row r="2472" spans="1:8" ht="13.2" x14ac:dyDescent="0.25">
      <c r="A2472" s="1"/>
      <c r="B2472" s="1"/>
      <c r="C2472" s="1"/>
      <c r="D2472" s="1"/>
      <c r="E2472" s="1"/>
      <c r="F2472" s="1"/>
      <c r="G2472" s="3"/>
      <c r="H2472" s="1"/>
    </row>
    <row r="2473" spans="1:8" ht="13.2" x14ac:dyDescent="0.25">
      <c r="A2473" s="1"/>
      <c r="B2473" s="1"/>
      <c r="C2473" s="1"/>
      <c r="D2473" s="1"/>
      <c r="E2473" s="1"/>
      <c r="F2473" s="1"/>
      <c r="G2473" s="3"/>
      <c r="H2473" s="1"/>
    </row>
    <row r="2474" spans="1:8" ht="13.2" x14ac:dyDescent="0.25">
      <c r="A2474" s="1"/>
      <c r="B2474" s="1"/>
      <c r="C2474" s="1"/>
      <c r="D2474" s="1"/>
      <c r="E2474" s="1"/>
      <c r="F2474" s="1"/>
      <c r="G2474" s="3"/>
      <c r="H2474" s="1"/>
    </row>
    <row r="2475" spans="1:8" ht="13.2" x14ac:dyDescent="0.25">
      <c r="A2475" s="1"/>
      <c r="B2475" s="1"/>
      <c r="C2475" s="1"/>
      <c r="D2475" s="1"/>
      <c r="E2475" s="1"/>
      <c r="F2475" s="1"/>
      <c r="G2475" s="1"/>
      <c r="H2475" s="1"/>
    </row>
    <row r="2476" spans="1:8" ht="13.2" x14ac:dyDescent="0.25">
      <c r="A2476" s="1"/>
      <c r="B2476" s="1"/>
      <c r="C2476" s="1"/>
      <c r="D2476" s="1"/>
      <c r="E2476" s="1"/>
      <c r="F2476" s="1"/>
      <c r="G2476" s="1"/>
      <c r="H2476" s="1"/>
    </row>
    <row r="2477" spans="1:8" ht="13.2" x14ac:dyDescent="0.25">
      <c r="A2477" s="1"/>
      <c r="B2477" s="1"/>
      <c r="C2477" s="1"/>
      <c r="D2477" s="1"/>
      <c r="E2477" s="1"/>
      <c r="F2477" s="1"/>
      <c r="G2477" s="1"/>
      <c r="H2477" s="1"/>
    </row>
    <row r="2478" spans="1:8" ht="13.2" x14ac:dyDescent="0.25">
      <c r="A2478" s="1"/>
      <c r="B2478" s="1"/>
      <c r="C2478" s="1"/>
      <c r="D2478" s="1"/>
      <c r="E2478" s="1"/>
      <c r="F2478" s="1"/>
      <c r="G2478" s="1"/>
      <c r="H2478" s="1"/>
    </row>
    <row r="2479" spans="1:8" ht="13.2" x14ac:dyDescent="0.25">
      <c r="A2479" s="1"/>
      <c r="B2479" s="1"/>
      <c r="C2479" s="1"/>
      <c r="D2479" s="1"/>
      <c r="E2479" s="1"/>
      <c r="F2479" s="1"/>
      <c r="G2479" s="1"/>
      <c r="H2479" s="1"/>
    </row>
    <row r="2480" spans="1:8" ht="13.2" x14ac:dyDescent="0.25">
      <c r="A2480" s="2"/>
      <c r="B2480" s="1"/>
      <c r="C2480" s="1"/>
      <c r="D2480" s="1"/>
      <c r="E2480" s="1"/>
      <c r="F2480" s="1"/>
      <c r="G2480" s="3"/>
      <c r="H2480" s="1"/>
    </row>
    <row r="2481" spans="1:8" ht="13.2" x14ac:dyDescent="0.25">
      <c r="A2481" s="1"/>
      <c r="B2481" s="1"/>
      <c r="C2481" s="1"/>
      <c r="D2481" s="1"/>
      <c r="E2481" s="1"/>
      <c r="F2481" s="1"/>
      <c r="G2481" s="1"/>
      <c r="H2481" s="1"/>
    </row>
    <row r="2482" spans="1:8" ht="13.2" x14ac:dyDescent="0.25">
      <c r="A2482" s="1"/>
      <c r="B2482" s="1"/>
      <c r="C2482" s="1"/>
      <c r="D2482" s="1"/>
      <c r="E2482" s="1"/>
      <c r="F2482" s="1"/>
      <c r="G2482" s="3"/>
      <c r="H2482" s="1"/>
    </row>
    <row r="2483" spans="1:8" ht="13.2" x14ac:dyDescent="0.25">
      <c r="A2483" s="1"/>
      <c r="B2483" s="1"/>
      <c r="C2483" s="1"/>
      <c r="D2483" s="1"/>
      <c r="E2483" s="1"/>
      <c r="F2483" s="1"/>
      <c r="G2483" s="1"/>
      <c r="H2483" s="1"/>
    </row>
    <row r="2484" spans="1:8" ht="13.2" x14ac:dyDescent="0.25">
      <c r="A2484" s="1"/>
      <c r="B2484" s="1"/>
      <c r="C2484" s="1"/>
      <c r="D2484" s="1"/>
      <c r="E2484" s="1"/>
      <c r="F2484" s="1"/>
      <c r="G2484" s="3"/>
      <c r="H2484" s="1"/>
    </row>
    <row r="2485" spans="1:8" ht="13.2" x14ac:dyDescent="0.25">
      <c r="A2485" s="1"/>
      <c r="B2485" s="1"/>
      <c r="C2485" s="1"/>
      <c r="D2485" s="1"/>
      <c r="E2485" s="1"/>
      <c r="F2485" s="1"/>
      <c r="G2485" s="3"/>
      <c r="H2485" s="1"/>
    </row>
    <row r="2486" spans="1:8" ht="13.2" x14ac:dyDescent="0.25">
      <c r="A2486" s="1"/>
      <c r="B2486" s="1"/>
      <c r="C2486" s="1"/>
      <c r="D2486" s="1"/>
      <c r="E2486" s="1"/>
      <c r="F2486" s="1"/>
      <c r="G2486" s="3"/>
      <c r="H2486" s="1"/>
    </row>
    <row r="2487" spans="1:8" ht="13.2" x14ac:dyDescent="0.25">
      <c r="A2487" s="1"/>
      <c r="B2487" s="1"/>
      <c r="C2487" s="1"/>
      <c r="D2487" s="1"/>
      <c r="E2487" s="1"/>
      <c r="F2487" s="1"/>
      <c r="G2487" s="1"/>
      <c r="H2487" s="1"/>
    </row>
    <row r="2488" spans="1:8" ht="13.2" x14ac:dyDescent="0.25">
      <c r="A2488" s="2"/>
      <c r="B2488" s="1"/>
      <c r="C2488" s="1"/>
      <c r="D2488" s="1"/>
      <c r="E2488" s="1"/>
      <c r="F2488" s="1"/>
      <c r="G2488" s="1"/>
      <c r="H2488" s="1"/>
    </row>
    <row r="2489" spans="1:8" ht="13.2" x14ac:dyDescent="0.25">
      <c r="A2489" s="2"/>
      <c r="B2489" s="1"/>
      <c r="C2489" s="1"/>
      <c r="D2489" s="1"/>
      <c r="E2489" s="1"/>
      <c r="F2489" s="1"/>
      <c r="G2489" s="1"/>
      <c r="H2489" s="1"/>
    </row>
    <row r="2490" spans="1:8" ht="13.2" x14ac:dyDescent="0.25">
      <c r="A2490" s="1"/>
      <c r="B2490" s="1"/>
      <c r="C2490" s="1"/>
      <c r="D2490" s="1"/>
      <c r="E2490" s="1"/>
      <c r="F2490" s="1"/>
      <c r="G2490" s="3"/>
      <c r="H2490" s="1"/>
    </row>
    <row r="2491" spans="1:8" ht="13.2" x14ac:dyDescent="0.25">
      <c r="A2491" s="1"/>
      <c r="B2491" s="1"/>
      <c r="C2491" s="1"/>
      <c r="D2491" s="1"/>
      <c r="E2491" s="1"/>
      <c r="F2491" s="1"/>
      <c r="G2491" s="3"/>
      <c r="H2491" s="1"/>
    </row>
    <row r="2492" spans="1:8" ht="13.2" x14ac:dyDescent="0.25">
      <c r="A2492" s="2"/>
      <c r="B2492" s="1"/>
      <c r="C2492" s="1"/>
      <c r="D2492" s="1"/>
      <c r="E2492" s="1"/>
      <c r="F2492" s="1"/>
      <c r="G2492" s="1"/>
      <c r="H2492" s="1"/>
    </row>
    <row r="2493" spans="1:8" ht="13.2" x14ac:dyDescent="0.25">
      <c r="A2493" s="2"/>
      <c r="B2493" s="1"/>
      <c r="C2493" s="1"/>
      <c r="D2493" s="1"/>
      <c r="E2493" s="1"/>
      <c r="F2493" s="1"/>
      <c r="G2493" s="1"/>
      <c r="H2493" s="1"/>
    </row>
    <row r="2494" spans="1:8" ht="13.2" x14ac:dyDescent="0.25">
      <c r="A2494" s="1"/>
      <c r="B2494" s="1"/>
      <c r="C2494" s="1"/>
      <c r="D2494" s="1"/>
      <c r="E2494" s="1"/>
      <c r="F2494" s="1"/>
      <c r="G2494" s="1"/>
      <c r="H2494" s="1"/>
    </row>
    <row r="2495" spans="1:8" ht="13.2" x14ac:dyDescent="0.25">
      <c r="A2495" s="1"/>
      <c r="B2495" s="1"/>
      <c r="C2495" s="1"/>
      <c r="D2495" s="1"/>
      <c r="E2495" s="1"/>
      <c r="F2495" s="1"/>
      <c r="G2495" s="1"/>
      <c r="H2495" s="1"/>
    </row>
    <row r="2496" spans="1:8" ht="13.2" x14ac:dyDescent="0.25">
      <c r="A2496" s="2"/>
      <c r="B2496" s="1"/>
      <c r="C2496" s="1"/>
      <c r="D2496" s="1"/>
      <c r="E2496" s="1"/>
      <c r="F2496" s="1"/>
      <c r="G2496" s="1"/>
      <c r="H2496" s="1"/>
    </row>
    <row r="2497" spans="1:8" ht="13.2" x14ac:dyDescent="0.25">
      <c r="A2497" s="2"/>
      <c r="B2497" s="1"/>
      <c r="C2497" s="1"/>
      <c r="D2497" s="1"/>
      <c r="E2497" s="1"/>
      <c r="F2497" s="1"/>
      <c r="G2497" s="3"/>
      <c r="H2497" s="1"/>
    </row>
    <row r="2498" spans="1:8" ht="13.2" x14ac:dyDescent="0.25">
      <c r="A2498" s="1"/>
      <c r="B2498" s="1"/>
      <c r="C2498" s="1"/>
      <c r="D2498" s="1"/>
      <c r="E2498" s="1"/>
      <c r="F2498" s="1"/>
      <c r="G2498" s="3"/>
      <c r="H2498" s="1"/>
    </row>
    <row r="2499" spans="1:8" ht="13.2" x14ac:dyDescent="0.25">
      <c r="A2499" s="2"/>
      <c r="B2499" s="1"/>
      <c r="C2499" s="1"/>
      <c r="D2499" s="1"/>
      <c r="E2499" s="1"/>
      <c r="F2499" s="1"/>
      <c r="G2499" s="3"/>
      <c r="H2499" s="1"/>
    </row>
    <row r="2500" spans="1:8" ht="13.2" x14ac:dyDescent="0.25">
      <c r="A2500" s="1"/>
      <c r="B2500" s="1"/>
      <c r="C2500" s="1"/>
      <c r="D2500" s="1"/>
      <c r="E2500" s="1"/>
      <c r="F2500" s="1"/>
      <c r="G2500" s="1"/>
      <c r="H2500" s="1"/>
    </row>
    <row r="2501" spans="1:8" ht="13.2" x14ac:dyDescent="0.25">
      <c r="A2501" s="1"/>
      <c r="B2501" s="1"/>
      <c r="C2501" s="1"/>
      <c r="D2501" s="1"/>
      <c r="E2501" s="1"/>
      <c r="F2501" s="1"/>
      <c r="G2501" s="1"/>
      <c r="H2501" s="1"/>
    </row>
    <row r="2502" spans="1:8" ht="13.2" x14ac:dyDescent="0.25">
      <c r="A2502" s="1"/>
      <c r="B2502" s="1"/>
      <c r="C2502" s="1"/>
      <c r="D2502" s="1"/>
      <c r="E2502" s="1"/>
      <c r="F2502" s="1"/>
      <c r="G2502" s="3"/>
      <c r="H2502" s="1"/>
    </row>
    <row r="2503" spans="1:8" ht="13.2" x14ac:dyDescent="0.25">
      <c r="A2503" s="1"/>
      <c r="B2503" s="1"/>
      <c r="C2503" s="1"/>
      <c r="D2503" s="1"/>
      <c r="E2503" s="1"/>
      <c r="F2503" s="1"/>
      <c r="G2503" s="1"/>
      <c r="H2503" s="1"/>
    </row>
    <row r="2504" spans="1:8" ht="13.2" x14ac:dyDescent="0.25">
      <c r="A2504" s="1"/>
      <c r="B2504" s="1"/>
      <c r="C2504" s="1"/>
      <c r="D2504" s="1"/>
      <c r="E2504" s="1"/>
      <c r="F2504" s="1"/>
      <c r="G2504" s="3"/>
      <c r="H2504" s="1"/>
    </row>
    <row r="2505" spans="1:8" ht="13.2" x14ac:dyDescent="0.25">
      <c r="A2505" s="2"/>
      <c r="B2505" s="1"/>
      <c r="C2505" s="1"/>
      <c r="D2505" s="1"/>
      <c r="E2505" s="1"/>
      <c r="F2505" s="1"/>
      <c r="G2505" s="1"/>
      <c r="H2505" s="1"/>
    </row>
    <row r="2506" spans="1:8" ht="13.2" x14ac:dyDescent="0.25">
      <c r="A2506" s="1"/>
      <c r="B2506" s="1"/>
      <c r="C2506" s="1"/>
      <c r="D2506" s="1"/>
      <c r="E2506" s="1"/>
      <c r="F2506" s="1"/>
      <c r="G2506" s="1"/>
      <c r="H2506" s="1"/>
    </row>
    <row r="2507" spans="1:8" ht="13.2" x14ac:dyDescent="0.25">
      <c r="A2507" s="1"/>
      <c r="B2507" s="1"/>
      <c r="C2507" s="1"/>
      <c r="D2507" s="1"/>
      <c r="E2507" s="1"/>
      <c r="F2507" s="1"/>
      <c r="G2507" s="3"/>
      <c r="H2507" s="1"/>
    </row>
    <row r="2508" spans="1:8" ht="13.2" x14ac:dyDescent="0.25">
      <c r="A2508" s="2"/>
      <c r="B2508" s="1"/>
      <c r="C2508" s="1"/>
      <c r="D2508" s="1"/>
      <c r="E2508" s="1"/>
      <c r="F2508" s="1"/>
      <c r="G2508" s="1"/>
      <c r="H2508" s="1"/>
    </row>
    <row r="2509" spans="1:8" ht="13.2" x14ac:dyDescent="0.25">
      <c r="A2509" s="2"/>
      <c r="B2509" s="1"/>
      <c r="C2509" s="1"/>
      <c r="D2509" s="1"/>
      <c r="E2509" s="1"/>
      <c r="F2509" s="1"/>
      <c r="G2509" s="3"/>
      <c r="H2509" s="1"/>
    </row>
    <row r="2510" spans="1:8" ht="13.2" x14ac:dyDescent="0.25">
      <c r="A2510" s="1"/>
      <c r="B2510" s="1"/>
      <c r="C2510" s="1"/>
      <c r="D2510" s="1"/>
      <c r="E2510" s="1"/>
      <c r="F2510" s="1"/>
      <c r="G2510" s="1"/>
      <c r="H2510" s="1"/>
    </row>
    <row r="2511" spans="1:8" ht="13.2" x14ac:dyDescent="0.25">
      <c r="A2511" s="1"/>
      <c r="B2511" s="1"/>
      <c r="C2511" s="1"/>
      <c r="D2511" s="1"/>
      <c r="E2511" s="1"/>
      <c r="F2511" s="1"/>
      <c r="G2511" s="1"/>
      <c r="H2511" s="1"/>
    </row>
    <row r="2512" spans="1:8" ht="13.2" x14ac:dyDescent="0.25">
      <c r="A2512" s="1"/>
      <c r="B2512" s="1"/>
      <c r="C2512" s="1"/>
      <c r="D2512" s="1"/>
      <c r="E2512" s="1"/>
      <c r="F2512" s="1"/>
      <c r="G2512" s="1"/>
      <c r="H2512" s="1"/>
    </row>
    <row r="2513" spans="1:8" ht="13.2" x14ac:dyDescent="0.25">
      <c r="A2513" s="1"/>
      <c r="B2513" s="1"/>
      <c r="C2513" s="1"/>
      <c r="D2513" s="1"/>
      <c r="E2513" s="1"/>
      <c r="F2513" s="1"/>
      <c r="G2513" s="1"/>
      <c r="H2513" s="1"/>
    </row>
    <row r="2514" spans="1:8" ht="13.2" x14ac:dyDescent="0.25">
      <c r="A2514" s="2"/>
      <c r="B2514" s="1"/>
      <c r="C2514" s="1"/>
      <c r="D2514" s="1"/>
      <c r="E2514" s="1"/>
      <c r="F2514" s="1"/>
      <c r="G2514" s="1"/>
      <c r="H2514" s="1"/>
    </row>
    <row r="2515" spans="1:8" ht="13.2" x14ac:dyDescent="0.25">
      <c r="A2515" s="1"/>
      <c r="B2515" s="1"/>
      <c r="C2515" s="1"/>
      <c r="D2515" s="1"/>
      <c r="E2515" s="1"/>
      <c r="F2515" s="1"/>
      <c r="G2515" s="1"/>
      <c r="H2515" s="1"/>
    </row>
    <row r="2516" spans="1:8" ht="13.2" x14ac:dyDescent="0.25">
      <c r="A2516" s="1"/>
      <c r="B2516" s="1"/>
      <c r="C2516" s="1"/>
      <c r="D2516" s="1"/>
      <c r="E2516" s="1"/>
      <c r="F2516" s="1"/>
      <c r="G2516" s="1"/>
      <c r="H2516" s="1"/>
    </row>
    <row r="2517" spans="1:8" ht="13.2" x14ac:dyDescent="0.25">
      <c r="A2517" s="1"/>
      <c r="B2517" s="1"/>
      <c r="C2517" s="1"/>
      <c r="D2517" s="1"/>
      <c r="E2517" s="1"/>
      <c r="F2517" s="1"/>
      <c r="G2517" s="1"/>
      <c r="H2517" s="1"/>
    </row>
    <row r="2518" spans="1:8" ht="13.2" x14ac:dyDescent="0.25">
      <c r="A2518" s="1"/>
      <c r="B2518" s="1"/>
      <c r="C2518" s="1"/>
      <c r="D2518" s="1"/>
      <c r="E2518" s="1"/>
      <c r="F2518" s="1"/>
      <c r="G2518" s="1"/>
      <c r="H2518" s="1"/>
    </row>
    <row r="2519" spans="1:8" ht="13.2" x14ac:dyDescent="0.25">
      <c r="A2519" s="1"/>
      <c r="B2519" s="1"/>
      <c r="C2519" s="1"/>
      <c r="D2519" s="1"/>
      <c r="E2519" s="1"/>
      <c r="F2519" s="1"/>
      <c r="G2519" s="1"/>
      <c r="H2519" s="1"/>
    </row>
    <row r="2520" spans="1:8" ht="13.2" x14ac:dyDescent="0.25">
      <c r="A2520" s="1"/>
      <c r="B2520" s="1"/>
      <c r="C2520" s="1"/>
      <c r="D2520" s="1"/>
      <c r="E2520" s="1"/>
      <c r="F2520" s="1"/>
      <c r="G2520" s="1"/>
      <c r="H2520" s="1"/>
    </row>
    <row r="2521" spans="1:8" ht="13.2" x14ac:dyDescent="0.25">
      <c r="A2521" s="1"/>
      <c r="B2521" s="1"/>
      <c r="C2521" s="1"/>
      <c r="D2521" s="1"/>
      <c r="E2521" s="1"/>
      <c r="F2521" s="1"/>
      <c r="G2521" s="1"/>
      <c r="H2521" s="1"/>
    </row>
    <row r="2522" spans="1:8" ht="13.2" x14ac:dyDescent="0.25">
      <c r="A2522" s="1"/>
      <c r="B2522" s="1"/>
      <c r="C2522" s="1"/>
      <c r="D2522" s="1"/>
      <c r="E2522" s="1"/>
      <c r="F2522" s="1"/>
      <c r="G2522" s="1"/>
      <c r="H2522" s="1"/>
    </row>
    <row r="2523" spans="1:8" ht="13.2" x14ac:dyDescent="0.25">
      <c r="A2523" s="2"/>
      <c r="B2523" s="1"/>
      <c r="C2523" s="1"/>
      <c r="D2523" s="1"/>
      <c r="E2523" s="1"/>
      <c r="F2523" s="1"/>
      <c r="G2523" s="1"/>
      <c r="H2523" s="1"/>
    </row>
    <row r="2524" spans="1:8" ht="13.2" x14ac:dyDescent="0.25">
      <c r="A2524" s="1"/>
      <c r="B2524" s="1"/>
      <c r="C2524" s="1"/>
      <c r="D2524" s="1"/>
      <c r="E2524" s="1"/>
      <c r="F2524" s="1"/>
      <c r="G2524" s="1"/>
      <c r="H2524" s="1"/>
    </row>
    <row r="2525" spans="1:8" ht="13.2" x14ac:dyDescent="0.25">
      <c r="A2525" s="2"/>
      <c r="B2525" s="1"/>
      <c r="C2525" s="1"/>
      <c r="D2525" s="1"/>
      <c r="E2525" s="1"/>
      <c r="F2525" s="1"/>
      <c r="G2525" s="1"/>
      <c r="H2525" s="1"/>
    </row>
    <row r="2526" spans="1:8" ht="13.2" x14ac:dyDescent="0.25">
      <c r="A2526" s="1"/>
      <c r="B2526" s="1"/>
      <c r="C2526" s="1"/>
      <c r="D2526" s="1"/>
      <c r="E2526" s="1"/>
      <c r="F2526" s="1"/>
      <c r="G2526" s="3"/>
      <c r="H2526" s="1"/>
    </row>
    <row r="2527" spans="1:8" ht="13.2" x14ac:dyDescent="0.25">
      <c r="A2527" s="1"/>
      <c r="B2527" s="1"/>
      <c r="C2527" s="1"/>
      <c r="D2527" s="1"/>
      <c r="E2527" s="1"/>
      <c r="F2527" s="1"/>
      <c r="G2527" s="3"/>
      <c r="H2527" s="1"/>
    </row>
    <row r="2528" spans="1:8" ht="13.2" x14ac:dyDescent="0.25">
      <c r="A2528" s="1"/>
      <c r="B2528" s="1"/>
      <c r="C2528" s="1"/>
      <c r="D2528" s="1"/>
      <c r="E2528" s="1"/>
      <c r="F2528" s="1"/>
      <c r="G2528" s="1"/>
      <c r="H2528" s="1"/>
    </row>
    <row r="2529" spans="1:8" ht="13.2" x14ac:dyDescent="0.25">
      <c r="A2529" s="1"/>
      <c r="B2529" s="1"/>
      <c r="C2529" s="1"/>
      <c r="D2529" s="1"/>
      <c r="E2529" s="1"/>
      <c r="F2529" s="1"/>
      <c r="G2529" s="1"/>
      <c r="H2529" s="1"/>
    </row>
    <row r="2530" spans="1:8" ht="13.2" x14ac:dyDescent="0.25">
      <c r="A2530" s="1"/>
      <c r="B2530" s="1"/>
      <c r="C2530" s="1"/>
      <c r="D2530" s="1"/>
      <c r="E2530" s="1"/>
      <c r="F2530" s="1"/>
      <c r="G2530" s="1"/>
      <c r="H2530" s="1"/>
    </row>
    <row r="2531" spans="1:8" ht="13.2" x14ac:dyDescent="0.25">
      <c r="A2531" s="1"/>
      <c r="B2531" s="1"/>
      <c r="C2531" s="1"/>
      <c r="D2531" s="1"/>
      <c r="E2531" s="1"/>
      <c r="F2531" s="1"/>
      <c r="G2531" s="1"/>
      <c r="H2531" s="1"/>
    </row>
    <row r="2532" spans="1:8" ht="13.2" x14ac:dyDescent="0.25">
      <c r="A2532" s="2"/>
      <c r="B2532" s="1"/>
      <c r="C2532" s="1"/>
      <c r="D2532" s="1"/>
      <c r="E2532" s="1"/>
      <c r="F2532" s="1"/>
      <c r="G2532" s="1"/>
      <c r="H2532" s="1"/>
    </row>
    <row r="2533" spans="1:8" ht="13.2" x14ac:dyDescent="0.25">
      <c r="A2533" s="1"/>
      <c r="B2533" s="1"/>
      <c r="C2533" s="1"/>
      <c r="D2533" s="1"/>
      <c r="E2533" s="1"/>
      <c r="F2533" s="1"/>
      <c r="G2533" s="1"/>
      <c r="H2533" s="1"/>
    </row>
    <row r="2534" spans="1:8" ht="13.2" x14ac:dyDescent="0.25">
      <c r="A2534" s="2"/>
      <c r="B2534" s="1"/>
      <c r="C2534" s="1"/>
      <c r="D2534" s="1"/>
      <c r="E2534" s="1"/>
      <c r="F2534" s="1"/>
      <c r="G2534" s="1"/>
      <c r="H2534" s="1"/>
    </row>
    <row r="2535" spans="1:8" ht="13.2" x14ac:dyDescent="0.25">
      <c r="A2535" s="1"/>
      <c r="B2535" s="1"/>
      <c r="C2535" s="1"/>
      <c r="D2535" s="1"/>
      <c r="E2535" s="1"/>
      <c r="F2535" s="1"/>
      <c r="G2535" s="1"/>
      <c r="H2535" s="1"/>
    </row>
    <row r="2536" spans="1:8" ht="13.2" x14ac:dyDescent="0.25">
      <c r="A2536" s="1"/>
      <c r="B2536" s="1"/>
      <c r="C2536" s="1"/>
      <c r="D2536" s="1"/>
      <c r="E2536" s="1"/>
      <c r="F2536" s="1"/>
      <c r="G2536" s="1"/>
      <c r="H2536" s="1"/>
    </row>
    <row r="2537" spans="1:8" ht="13.2" x14ac:dyDescent="0.25">
      <c r="A2537" s="2"/>
      <c r="B2537" s="1"/>
      <c r="C2537" s="1"/>
      <c r="D2537" s="1"/>
      <c r="E2537" s="1"/>
      <c r="F2537" s="2"/>
      <c r="G2537" s="1"/>
      <c r="H2537" s="1"/>
    </row>
    <row r="2538" spans="1:8" ht="13.2" x14ac:dyDescent="0.25">
      <c r="A2538" s="1"/>
      <c r="B2538" s="1"/>
      <c r="C2538" s="1"/>
      <c r="D2538" s="1"/>
      <c r="E2538" s="1"/>
      <c r="F2538" s="1"/>
      <c r="G2538" s="1"/>
      <c r="H2538" s="1"/>
    </row>
    <row r="2539" spans="1:8" ht="13.2" x14ac:dyDescent="0.25">
      <c r="A2539" s="1"/>
      <c r="B2539" s="1"/>
      <c r="C2539" s="1"/>
      <c r="D2539" s="1"/>
      <c r="E2539" s="1"/>
      <c r="F2539" s="1"/>
      <c r="G2539" s="1"/>
      <c r="H2539" s="1"/>
    </row>
    <row r="2540" spans="1:8" ht="13.2" x14ac:dyDescent="0.25">
      <c r="A2540" s="1"/>
      <c r="B2540" s="1"/>
      <c r="C2540" s="1"/>
      <c r="D2540" s="1"/>
      <c r="E2540" s="1"/>
      <c r="F2540" s="1"/>
      <c r="G2540" s="3"/>
      <c r="H2540" s="1"/>
    </row>
    <row r="2541" spans="1:8" ht="13.2" x14ac:dyDescent="0.25">
      <c r="A2541" s="1"/>
      <c r="B2541" s="1"/>
      <c r="C2541" s="1"/>
      <c r="D2541" s="1"/>
      <c r="E2541" s="1"/>
      <c r="F2541" s="1"/>
      <c r="G2541" s="3"/>
      <c r="H2541" s="1"/>
    </row>
    <row r="2542" spans="1:8" ht="13.2" x14ac:dyDescent="0.25">
      <c r="A2542" s="2"/>
      <c r="B2542" s="1"/>
      <c r="C2542" s="1"/>
      <c r="D2542" s="1"/>
      <c r="E2542" s="1"/>
      <c r="F2542" s="1"/>
      <c r="G2542" s="1"/>
      <c r="H2542" s="1"/>
    </row>
    <row r="2543" spans="1:8" ht="13.2" x14ac:dyDescent="0.25">
      <c r="A2543" s="2"/>
      <c r="B2543" s="1"/>
      <c r="C2543" s="1"/>
      <c r="D2543" s="1"/>
      <c r="E2543" s="1"/>
      <c r="F2543" s="2"/>
      <c r="G2543" s="1"/>
      <c r="H2543" s="1"/>
    </row>
    <row r="2544" spans="1:8" ht="13.2" x14ac:dyDescent="0.25">
      <c r="A2544" s="2"/>
      <c r="B2544" s="1"/>
      <c r="C2544" s="1"/>
      <c r="D2544" s="1"/>
      <c r="E2544" s="1"/>
      <c r="F2544" s="2"/>
      <c r="G2544" s="1"/>
      <c r="H2544" s="1"/>
    </row>
    <row r="2545" spans="1:8" ht="13.2" x14ac:dyDescent="0.25">
      <c r="A2545" s="1"/>
      <c r="B2545" s="1"/>
      <c r="C2545" s="1"/>
      <c r="D2545" s="1"/>
      <c r="E2545" s="1"/>
      <c r="F2545" s="1"/>
      <c r="G2545" s="1"/>
      <c r="H2545" s="1"/>
    </row>
    <row r="2546" spans="1:8" ht="13.2" x14ac:dyDescent="0.25">
      <c r="A2546" s="2"/>
      <c r="B2546" s="1"/>
      <c r="C2546" s="1"/>
      <c r="D2546" s="1"/>
      <c r="E2546" s="1"/>
      <c r="F2546" s="1"/>
      <c r="G2546" s="3"/>
      <c r="H2546" s="1"/>
    </row>
    <row r="2547" spans="1:8" ht="13.2" x14ac:dyDescent="0.25">
      <c r="A2547" s="1"/>
      <c r="B2547" s="1"/>
      <c r="C2547" s="1"/>
      <c r="D2547" s="1"/>
      <c r="E2547" s="1"/>
      <c r="F2547" s="1"/>
      <c r="G2547" s="3"/>
      <c r="H2547" s="1"/>
    </row>
    <row r="2548" spans="1:8" ht="13.2" x14ac:dyDescent="0.25">
      <c r="A2548" s="1"/>
      <c r="B2548" s="1"/>
      <c r="C2548" s="1"/>
      <c r="D2548" s="1"/>
      <c r="E2548" s="1"/>
      <c r="F2548" s="1"/>
      <c r="G2548" s="3"/>
      <c r="H2548" s="1"/>
    </row>
    <row r="2549" spans="1:8" ht="13.2" x14ac:dyDescent="0.25">
      <c r="A2549" s="1"/>
      <c r="B2549" s="1"/>
      <c r="C2549" s="1"/>
      <c r="D2549" s="1"/>
      <c r="E2549" s="1"/>
      <c r="F2549" s="1"/>
      <c r="G2549" s="3"/>
      <c r="H2549" s="1"/>
    </row>
    <row r="2550" spans="1:8" ht="13.2" x14ac:dyDescent="0.25">
      <c r="A2550" s="1"/>
      <c r="B2550" s="1"/>
      <c r="C2550" s="1"/>
      <c r="D2550" s="1"/>
      <c r="E2550" s="1"/>
      <c r="F2550" s="1"/>
      <c r="G2550" s="1"/>
      <c r="H2550" s="1"/>
    </row>
    <row r="2551" spans="1:8" ht="13.2" x14ac:dyDescent="0.25">
      <c r="A2551" s="2"/>
      <c r="B2551" s="1"/>
      <c r="C2551" s="1"/>
      <c r="D2551" s="1"/>
      <c r="E2551" s="1"/>
      <c r="F2551" s="1"/>
      <c r="G2551" s="1"/>
      <c r="H2551" s="1"/>
    </row>
    <row r="2552" spans="1:8" ht="13.2" x14ac:dyDescent="0.25">
      <c r="A2552" s="1"/>
      <c r="B2552" s="1"/>
      <c r="C2552" s="1"/>
      <c r="D2552" s="1"/>
      <c r="E2552" s="1"/>
      <c r="F2552" s="1"/>
      <c r="G2552" s="3"/>
      <c r="H2552" s="1"/>
    </row>
    <row r="2553" spans="1:8" ht="13.2" x14ac:dyDescent="0.25">
      <c r="A2553" s="1"/>
      <c r="B2553" s="1"/>
      <c r="C2553" s="1"/>
      <c r="D2553" s="1"/>
      <c r="E2553" s="1"/>
      <c r="F2553" s="1"/>
      <c r="G2553" s="3"/>
      <c r="H2553" s="1"/>
    </row>
    <row r="2554" spans="1:8" ht="13.2" x14ac:dyDescent="0.25">
      <c r="A2554" s="2"/>
      <c r="B2554" s="1"/>
      <c r="C2554" s="1"/>
      <c r="D2554" s="1"/>
      <c r="E2554" s="1"/>
      <c r="F2554" s="1"/>
      <c r="G2554" s="1"/>
      <c r="H2554" s="1"/>
    </row>
    <row r="2555" spans="1:8" ht="13.2" x14ac:dyDescent="0.25">
      <c r="A2555" s="2"/>
      <c r="B2555" s="1"/>
      <c r="C2555" s="1"/>
      <c r="D2555" s="1"/>
      <c r="E2555" s="1"/>
      <c r="F2555" s="1"/>
      <c r="G2555" s="1"/>
      <c r="H2555" s="1"/>
    </row>
    <row r="2556" spans="1:8" ht="13.2" x14ac:dyDescent="0.25">
      <c r="A2556" s="2"/>
      <c r="B2556" s="1"/>
      <c r="C2556" s="1"/>
      <c r="D2556" s="1"/>
      <c r="E2556" s="1"/>
      <c r="F2556" s="1"/>
      <c r="G2556" s="1"/>
      <c r="H2556" s="1"/>
    </row>
    <row r="2557" spans="1:8" ht="13.2" x14ac:dyDescent="0.25">
      <c r="A2557" s="1"/>
      <c r="B2557" s="1"/>
      <c r="C2557" s="1"/>
      <c r="D2557" s="1"/>
      <c r="E2557" s="1"/>
      <c r="F2557" s="1"/>
      <c r="G2557" s="1"/>
      <c r="H2557" s="1"/>
    </row>
    <row r="2558" spans="1:8" ht="13.2" x14ac:dyDescent="0.25">
      <c r="A2558" s="1"/>
      <c r="B2558" s="1"/>
      <c r="C2558" s="1"/>
      <c r="D2558" s="1"/>
      <c r="E2558" s="1"/>
      <c r="F2558" s="1"/>
      <c r="G2558" s="3"/>
      <c r="H2558" s="1"/>
    </row>
    <row r="2559" spans="1:8" ht="13.2" x14ac:dyDescent="0.25">
      <c r="A2559" s="1"/>
      <c r="B2559" s="1"/>
      <c r="C2559" s="1"/>
      <c r="D2559" s="1"/>
      <c r="E2559" s="1"/>
      <c r="F2559" s="1"/>
      <c r="G2559" s="1"/>
      <c r="H2559" s="1"/>
    </row>
    <row r="2560" spans="1:8" ht="13.2" x14ac:dyDescent="0.25">
      <c r="A2560" s="1"/>
      <c r="B2560" s="1"/>
      <c r="C2560" s="1"/>
      <c r="D2560" s="1"/>
      <c r="E2560" s="1"/>
      <c r="F2560" s="1"/>
      <c r="G2560" s="1"/>
      <c r="H2560" s="1"/>
    </row>
    <row r="2561" spans="1:8" ht="13.2" x14ac:dyDescent="0.25">
      <c r="A2561" s="1"/>
      <c r="B2561" s="1"/>
      <c r="C2561" s="1"/>
      <c r="D2561" s="1"/>
      <c r="E2561" s="1"/>
      <c r="F2561" s="1"/>
      <c r="G2561" s="1"/>
      <c r="H2561" s="1"/>
    </row>
    <row r="2562" spans="1:8" ht="13.2" x14ac:dyDescent="0.25">
      <c r="A2562" s="1"/>
      <c r="B2562" s="1"/>
      <c r="C2562" s="1"/>
      <c r="D2562" s="1"/>
      <c r="E2562" s="1"/>
      <c r="F2562" s="1"/>
      <c r="G2562" s="1"/>
      <c r="H2562" s="1"/>
    </row>
    <row r="2563" spans="1:8" ht="13.2" x14ac:dyDescent="0.25">
      <c r="A2563" s="1"/>
      <c r="B2563" s="1"/>
      <c r="C2563" s="1"/>
      <c r="D2563" s="1"/>
      <c r="E2563" s="1"/>
      <c r="F2563" s="1"/>
      <c r="G2563" s="1"/>
      <c r="H2563" s="1"/>
    </row>
    <row r="2564" spans="1:8" ht="13.2" x14ac:dyDescent="0.25">
      <c r="A2564" s="1"/>
      <c r="B2564" s="1"/>
      <c r="C2564" s="1"/>
      <c r="D2564" s="1"/>
      <c r="E2564" s="1"/>
      <c r="F2564" s="1"/>
      <c r="G2564" s="3"/>
      <c r="H2564" s="1"/>
    </row>
    <row r="2565" spans="1:8" ht="13.2" x14ac:dyDescent="0.25">
      <c r="A2565" s="1"/>
      <c r="B2565" s="1"/>
      <c r="C2565" s="1"/>
      <c r="D2565" s="1"/>
      <c r="E2565" s="1"/>
      <c r="F2565" s="1"/>
      <c r="G2565" s="3"/>
      <c r="H2565" s="1"/>
    </row>
    <row r="2566" spans="1:8" ht="13.2" x14ac:dyDescent="0.25">
      <c r="A2566" s="1"/>
      <c r="B2566" s="1"/>
      <c r="C2566" s="1"/>
      <c r="D2566" s="1"/>
      <c r="E2566" s="1"/>
      <c r="F2566" s="1"/>
      <c r="G2566" s="1"/>
      <c r="H2566" s="1"/>
    </row>
    <row r="2567" spans="1:8" ht="13.2" x14ac:dyDescent="0.25">
      <c r="A2567" s="1"/>
      <c r="B2567" s="1"/>
      <c r="C2567" s="1"/>
      <c r="D2567" s="1"/>
      <c r="E2567" s="1"/>
      <c r="F2567" s="1"/>
      <c r="G2567" s="1"/>
      <c r="H2567" s="1"/>
    </row>
    <row r="2568" spans="1:8" ht="13.2" x14ac:dyDescent="0.25">
      <c r="A2568" s="2"/>
      <c r="B2568" s="1"/>
      <c r="C2568" s="1"/>
      <c r="D2568" s="1"/>
      <c r="E2568" s="1"/>
      <c r="F2568" s="1"/>
      <c r="G2568" s="3"/>
      <c r="H2568" s="1"/>
    </row>
    <row r="2569" spans="1:8" ht="13.2" x14ac:dyDescent="0.25">
      <c r="A2569" s="1"/>
      <c r="B2569" s="1"/>
      <c r="C2569" s="1"/>
      <c r="D2569" s="1"/>
      <c r="E2569" s="1"/>
      <c r="F2569" s="1"/>
      <c r="G2569" s="1"/>
      <c r="H2569" s="1"/>
    </row>
    <row r="2570" spans="1:8" ht="13.2" x14ac:dyDescent="0.25">
      <c r="A2570" s="2"/>
      <c r="B2570" s="1"/>
      <c r="C2570" s="1"/>
      <c r="D2570" s="1"/>
      <c r="E2570" s="1"/>
      <c r="F2570" s="1"/>
      <c r="G2570" s="1"/>
      <c r="H2570" s="1"/>
    </row>
    <row r="2571" spans="1:8" ht="13.2" x14ac:dyDescent="0.25">
      <c r="A2571" s="1"/>
      <c r="B2571" s="1"/>
      <c r="C2571" s="1"/>
      <c r="D2571" s="1"/>
      <c r="E2571" s="1"/>
      <c r="F2571" s="1"/>
      <c r="G2571" s="1"/>
      <c r="H2571" s="1"/>
    </row>
    <row r="2572" spans="1:8" ht="13.2" x14ac:dyDescent="0.25">
      <c r="A2572" s="2"/>
      <c r="B2572" s="1"/>
      <c r="C2572" s="1"/>
      <c r="D2572" s="1"/>
      <c r="E2572" s="1"/>
      <c r="F2572" s="1"/>
      <c r="G2572" s="1"/>
      <c r="H2572" s="1"/>
    </row>
    <row r="2573" spans="1:8" ht="13.2" x14ac:dyDescent="0.25">
      <c r="A2573" s="2"/>
      <c r="B2573" s="1"/>
      <c r="C2573" s="1"/>
      <c r="D2573" s="1"/>
      <c r="E2573" s="1"/>
      <c r="F2573" s="1"/>
      <c r="G2573" s="3"/>
      <c r="H2573" s="1"/>
    </row>
    <row r="2574" spans="1:8" ht="13.2" x14ac:dyDescent="0.25">
      <c r="A2574" s="2"/>
      <c r="B2574" s="1"/>
      <c r="C2574" s="1"/>
      <c r="D2574" s="1"/>
      <c r="E2574" s="1"/>
      <c r="F2574" s="1"/>
      <c r="G2574" s="3"/>
      <c r="H2574" s="1"/>
    </row>
    <row r="2575" spans="1:8" ht="13.2" x14ac:dyDescent="0.25">
      <c r="A2575" s="1"/>
      <c r="B2575" s="1"/>
      <c r="C2575" s="1"/>
      <c r="D2575" s="1"/>
      <c r="E2575" s="1"/>
      <c r="F2575" s="1"/>
      <c r="G2575" s="1"/>
      <c r="H2575" s="1"/>
    </row>
    <row r="2576" spans="1:8" ht="13.2" x14ac:dyDescent="0.25">
      <c r="A2576" s="2"/>
      <c r="B2576" s="1"/>
      <c r="C2576" s="1"/>
      <c r="D2576" s="1"/>
      <c r="E2576" s="1"/>
      <c r="F2576" s="1"/>
      <c r="G2576" s="3"/>
      <c r="H2576" s="1"/>
    </row>
    <row r="2577" spans="1:8" ht="13.2" x14ac:dyDescent="0.25">
      <c r="A2577" s="1"/>
      <c r="B2577" s="1"/>
      <c r="C2577" s="1"/>
      <c r="D2577" s="1"/>
      <c r="E2577" s="1"/>
      <c r="F2577" s="1"/>
      <c r="G2577" s="1"/>
      <c r="H2577" s="1"/>
    </row>
    <row r="2578" spans="1:8" ht="13.2" x14ac:dyDescent="0.25">
      <c r="A2578" s="2"/>
      <c r="B2578" s="1"/>
      <c r="C2578" s="1"/>
      <c r="D2578" s="1"/>
      <c r="E2578" s="1"/>
      <c r="F2578" s="1"/>
      <c r="G2578" s="1"/>
      <c r="H2578" s="1"/>
    </row>
    <row r="2579" spans="1:8" ht="13.2" x14ac:dyDescent="0.25">
      <c r="A2579" s="2"/>
      <c r="B2579" s="1"/>
      <c r="C2579" s="1"/>
      <c r="D2579" s="1"/>
      <c r="E2579" s="1"/>
      <c r="F2579" s="1"/>
      <c r="G2579" s="1"/>
      <c r="H2579" s="1"/>
    </row>
    <row r="2580" spans="1:8" ht="13.2" x14ac:dyDescent="0.25">
      <c r="A2580" s="1"/>
      <c r="B2580" s="1"/>
      <c r="C2580" s="1"/>
      <c r="D2580" s="1"/>
      <c r="E2580" s="1"/>
      <c r="F2580" s="1"/>
      <c r="G2580" s="1"/>
      <c r="H2580" s="1"/>
    </row>
    <row r="2581" spans="1:8" ht="13.2" x14ac:dyDescent="0.25">
      <c r="A2581" s="2"/>
      <c r="B2581" s="1"/>
      <c r="C2581" s="1"/>
      <c r="D2581" s="1"/>
      <c r="E2581" s="1"/>
      <c r="F2581" s="1"/>
      <c r="G2581" s="1"/>
      <c r="H2581" s="1"/>
    </row>
    <row r="2582" spans="1:8" ht="13.2" x14ac:dyDescent="0.25">
      <c r="A2582" s="1"/>
      <c r="B2582" s="1"/>
      <c r="C2582" s="1"/>
      <c r="D2582" s="1"/>
      <c r="E2582" s="1"/>
      <c r="F2582" s="1"/>
      <c r="G2582" s="1"/>
      <c r="H2582" s="1"/>
    </row>
    <row r="2583" spans="1:8" ht="13.2" x14ac:dyDescent="0.25">
      <c r="A2583" s="2"/>
      <c r="B2583" s="1"/>
      <c r="C2583" s="1"/>
      <c r="D2583" s="1"/>
      <c r="E2583" s="1"/>
      <c r="F2583" s="1"/>
      <c r="G2583" s="1"/>
      <c r="H2583" s="1"/>
    </row>
    <row r="2584" spans="1:8" ht="13.2" x14ac:dyDescent="0.25">
      <c r="A2584" s="1"/>
      <c r="B2584" s="1"/>
      <c r="C2584" s="1"/>
      <c r="D2584" s="1"/>
      <c r="E2584" s="1"/>
      <c r="F2584" s="1"/>
      <c r="G2584" s="3"/>
      <c r="H2584" s="1"/>
    </row>
    <row r="2585" spans="1:8" ht="13.2" x14ac:dyDescent="0.25">
      <c r="A2585" s="1"/>
      <c r="B2585" s="1"/>
      <c r="C2585" s="1"/>
      <c r="D2585" s="1"/>
      <c r="E2585" s="1"/>
      <c r="F2585" s="1"/>
      <c r="G2585" s="3"/>
      <c r="H2585" s="1"/>
    </row>
    <row r="2586" spans="1:8" ht="13.2" x14ac:dyDescent="0.25">
      <c r="A2586" s="2"/>
      <c r="B2586" s="1"/>
      <c r="C2586" s="1"/>
      <c r="D2586" s="1"/>
      <c r="E2586" s="1"/>
      <c r="F2586" s="1"/>
      <c r="G2586" s="1"/>
      <c r="H2586" s="1"/>
    </row>
    <row r="2587" spans="1:8" ht="13.2" x14ac:dyDescent="0.25">
      <c r="A2587" s="1"/>
      <c r="B2587" s="1"/>
      <c r="C2587" s="1"/>
      <c r="D2587" s="1"/>
      <c r="E2587" s="1"/>
      <c r="F2587" s="1"/>
      <c r="G2587" s="3"/>
      <c r="H2587" s="1"/>
    </row>
    <row r="2588" spans="1:8" ht="13.2" x14ac:dyDescent="0.25">
      <c r="A2588" s="2"/>
      <c r="B2588" s="1"/>
      <c r="C2588" s="1"/>
      <c r="D2588" s="1"/>
      <c r="E2588" s="1"/>
      <c r="F2588" s="1"/>
      <c r="G2588" s="1"/>
      <c r="H2588" s="1"/>
    </row>
    <row r="2589" spans="1:8" ht="13.2" x14ac:dyDescent="0.25">
      <c r="A2589" s="1"/>
      <c r="B2589" s="1"/>
      <c r="C2589" s="1"/>
      <c r="D2589" s="1"/>
      <c r="E2589" s="1"/>
      <c r="F2589" s="1"/>
      <c r="G2589" s="1"/>
      <c r="H2589" s="1"/>
    </row>
    <row r="2590" spans="1:8" ht="13.2" x14ac:dyDescent="0.25">
      <c r="A2590" s="1"/>
      <c r="B2590" s="1"/>
      <c r="C2590" s="1"/>
      <c r="D2590" s="1"/>
      <c r="E2590" s="1"/>
      <c r="F2590" s="1"/>
      <c r="G2590" s="1"/>
      <c r="H2590" s="1"/>
    </row>
    <row r="2591" spans="1:8" ht="13.2" x14ac:dyDescent="0.25">
      <c r="A2591" s="2"/>
      <c r="B2591" s="1"/>
      <c r="C2591" s="1"/>
      <c r="D2591" s="1"/>
      <c r="E2591" s="1"/>
      <c r="F2591" s="1"/>
      <c r="G2591" s="3"/>
      <c r="H2591" s="1"/>
    </row>
    <row r="2592" spans="1:8" ht="13.2" x14ac:dyDescent="0.25">
      <c r="A2592" s="2"/>
      <c r="B2592" s="1"/>
      <c r="C2592" s="1"/>
      <c r="D2592" s="1"/>
      <c r="E2592" s="1"/>
      <c r="F2592" s="1"/>
      <c r="G2592" s="1"/>
      <c r="H2592" s="1"/>
    </row>
    <row r="2593" spans="1:8" ht="13.2" x14ac:dyDescent="0.25">
      <c r="A2593" s="1"/>
      <c r="B2593" s="1"/>
      <c r="C2593" s="1"/>
      <c r="D2593" s="1"/>
      <c r="E2593" s="1"/>
      <c r="F2593" s="1"/>
      <c r="G2593" s="1"/>
      <c r="H2593" s="1"/>
    </row>
    <row r="2594" spans="1:8" ht="13.2" x14ac:dyDescent="0.25">
      <c r="A2594" s="1"/>
      <c r="B2594" s="1"/>
      <c r="C2594" s="1"/>
      <c r="D2594" s="1"/>
      <c r="E2594" s="1"/>
      <c r="F2594" s="1"/>
      <c r="G2594" s="1"/>
      <c r="H2594" s="1"/>
    </row>
    <row r="2595" spans="1:8" ht="13.2" x14ac:dyDescent="0.25">
      <c r="A2595" s="1"/>
      <c r="B2595" s="1"/>
      <c r="C2595" s="1"/>
      <c r="D2595" s="1"/>
      <c r="E2595" s="1"/>
      <c r="F2595" s="1"/>
      <c r="G2595" s="1"/>
      <c r="H2595" s="1"/>
    </row>
    <row r="2596" spans="1:8" ht="13.2" x14ac:dyDescent="0.25">
      <c r="A2596" s="2"/>
      <c r="B2596" s="1"/>
      <c r="C2596" s="1"/>
      <c r="D2596" s="1"/>
      <c r="E2596" s="1"/>
      <c r="F2596" s="1"/>
      <c r="G2596" s="3"/>
      <c r="H2596" s="1"/>
    </row>
    <row r="2597" spans="1:8" ht="13.2" x14ac:dyDescent="0.25">
      <c r="A2597" s="1"/>
      <c r="B2597" s="1"/>
      <c r="C2597" s="1"/>
      <c r="D2597" s="1"/>
      <c r="E2597" s="1"/>
      <c r="F2597" s="1"/>
      <c r="G2597" s="3"/>
      <c r="H2597" s="1"/>
    </row>
    <row r="2598" spans="1:8" ht="13.2" x14ac:dyDescent="0.25">
      <c r="A2598" s="1"/>
      <c r="B2598" s="1"/>
      <c r="C2598" s="1"/>
      <c r="D2598" s="1"/>
      <c r="E2598" s="1"/>
      <c r="F2598" s="1"/>
      <c r="G2598" s="3"/>
      <c r="H2598" s="1"/>
    </row>
    <row r="2599" spans="1:8" ht="13.2" x14ac:dyDescent="0.25">
      <c r="A2599" s="1"/>
      <c r="B2599" s="1"/>
      <c r="C2599" s="1"/>
      <c r="D2599" s="1"/>
      <c r="E2599" s="1"/>
      <c r="F2599" s="1"/>
      <c r="G2599" s="1"/>
      <c r="H2599" s="1"/>
    </row>
    <row r="2600" spans="1:8" ht="13.2" x14ac:dyDescent="0.25">
      <c r="A2600" s="1"/>
      <c r="B2600" s="1"/>
      <c r="C2600" s="1"/>
      <c r="D2600" s="1"/>
      <c r="E2600" s="1"/>
      <c r="F2600" s="1"/>
      <c r="G2600" s="3"/>
      <c r="H2600" s="1"/>
    </row>
    <row r="2601" spans="1:8" ht="13.2" x14ac:dyDescent="0.25">
      <c r="A2601" s="1"/>
      <c r="B2601" s="1"/>
      <c r="C2601" s="1"/>
      <c r="D2601" s="1"/>
      <c r="E2601" s="1"/>
      <c r="F2601" s="1"/>
      <c r="G2601" s="3"/>
      <c r="H2601" s="1"/>
    </row>
    <row r="2602" spans="1:8" ht="13.2" x14ac:dyDescent="0.25">
      <c r="A2602" s="1"/>
      <c r="B2602" s="1"/>
      <c r="C2602" s="1"/>
      <c r="D2602" s="1"/>
      <c r="E2602" s="1"/>
      <c r="F2602" s="1"/>
      <c r="G2602" s="3"/>
      <c r="H2602" s="1"/>
    </row>
    <row r="2603" spans="1:8" ht="13.2" x14ac:dyDescent="0.25">
      <c r="A2603" s="1"/>
      <c r="B2603" s="1"/>
      <c r="C2603" s="1"/>
      <c r="D2603" s="1"/>
      <c r="E2603" s="1"/>
      <c r="F2603" s="1"/>
      <c r="G2603" s="1"/>
      <c r="H2603" s="1"/>
    </row>
    <row r="2604" spans="1:8" ht="13.2" x14ac:dyDescent="0.25">
      <c r="A2604" s="1"/>
      <c r="B2604" s="1"/>
      <c r="C2604" s="1"/>
      <c r="D2604" s="1"/>
      <c r="E2604" s="1"/>
      <c r="F2604" s="1"/>
      <c r="G2604" s="3"/>
      <c r="H2604" s="1"/>
    </row>
    <row r="2605" spans="1:8" ht="13.2" x14ac:dyDescent="0.25">
      <c r="A2605" s="2"/>
      <c r="B2605" s="1"/>
      <c r="C2605" s="1"/>
      <c r="D2605" s="1"/>
      <c r="E2605" s="1"/>
      <c r="F2605" s="1"/>
      <c r="G2605" s="1"/>
      <c r="H2605" s="1"/>
    </row>
    <row r="2606" spans="1:8" ht="13.2" x14ac:dyDescent="0.25">
      <c r="A2606" s="1"/>
      <c r="B2606" s="1"/>
      <c r="C2606" s="1"/>
      <c r="D2606" s="1"/>
      <c r="E2606" s="1"/>
      <c r="F2606" s="1"/>
      <c r="G2606" s="1"/>
      <c r="H2606" s="1"/>
    </row>
    <row r="2607" spans="1:8" ht="13.2" x14ac:dyDescent="0.25">
      <c r="A2607" s="1"/>
      <c r="B2607" s="1"/>
      <c r="C2607" s="1"/>
      <c r="D2607" s="1"/>
      <c r="E2607" s="1"/>
      <c r="F2607" s="1"/>
      <c r="G2607" s="1"/>
      <c r="H2607" s="1"/>
    </row>
    <row r="2608" spans="1:8" ht="13.2" x14ac:dyDescent="0.25">
      <c r="A2608" s="1"/>
      <c r="B2608" s="1"/>
      <c r="C2608" s="1"/>
      <c r="D2608" s="1"/>
      <c r="E2608" s="1"/>
      <c r="F2608" s="1"/>
      <c r="G2608" s="3"/>
      <c r="H2608" s="1"/>
    </row>
    <row r="2609" spans="1:8" ht="13.2" x14ac:dyDescent="0.25">
      <c r="A2609" s="1"/>
      <c r="B2609" s="1"/>
      <c r="C2609" s="1"/>
      <c r="D2609" s="1"/>
      <c r="E2609" s="1"/>
      <c r="F2609" s="1"/>
      <c r="G2609" s="1"/>
      <c r="H2609" s="1"/>
    </row>
    <row r="2610" spans="1:8" ht="13.2" x14ac:dyDescent="0.25">
      <c r="A2610" s="1"/>
      <c r="B2610" s="1"/>
      <c r="C2610" s="1"/>
      <c r="D2610" s="1"/>
      <c r="E2610" s="1"/>
      <c r="F2610" s="1"/>
      <c r="G2610" s="3"/>
      <c r="H2610" s="1"/>
    </row>
    <row r="2611" spans="1:8" ht="13.2" x14ac:dyDescent="0.25">
      <c r="A2611" s="2"/>
      <c r="B2611" s="1"/>
      <c r="C2611" s="1"/>
      <c r="D2611" s="1"/>
      <c r="E2611" s="1"/>
      <c r="F2611" s="1"/>
      <c r="G2611" s="1"/>
      <c r="H2611" s="1"/>
    </row>
    <row r="2612" spans="1:8" ht="13.2" x14ac:dyDescent="0.25">
      <c r="A2612" s="1"/>
      <c r="B2612" s="1"/>
      <c r="C2612" s="1"/>
      <c r="D2612" s="1"/>
      <c r="E2612" s="1"/>
      <c r="F2612" s="1"/>
      <c r="G2612" s="1"/>
      <c r="H2612" s="1"/>
    </row>
    <row r="2613" spans="1:8" ht="13.2" x14ac:dyDescent="0.25">
      <c r="A2613" s="2"/>
      <c r="B2613" s="1"/>
      <c r="C2613" s="1"/>
      <c r="D2613" s="1"/>
      <c r="E2613" s="1"/>
      <c r="F2613" s="1"/>
      <c r="G2613" s="1"/>
      <c r="H2613" s="1"/>
    </row>
    <row r="2614" spans="1:8" ht="13.2" x14ac:dyDescent="0.25">
      <c r="A2614" s="1"/>
      <c r="B2614" s="1"/>
      <c r="C2614" s="1"/>
      <c r="D2614" s="1"/>
      <c r="E2614" s="1"/>
      <c r="F2614" s="1"/>
      <c r="G2614" s="3"/>
      <c r="H2614" s="1"/>
    </row>
    <row r="2615" spans="1:8" ht="13.2" x14ac:dyDescent="0.25">
      <c r="A2615" s="1"/>
      <c r="B2615" s="1"/>
      <c r="C2615" s="1"/>
      <c r="D2615" s="1"/>
      <c r="E2615" s="1"/>
      <c r="F2615" s="1"/>
      <c r="G2615" s="3"/>
      <c r="H2615" s="1"/>
    </row>
    <row r="2616" spans="1:8" ht="13.2" x14ac:dyDescent="0.25">
      <c r="A2616" s="1"/>
      <c r="B2616" s="1"/>
      <c r="C2616" s="1"/>
      <c r="D2616" s="1"/>
      <c r="E2616" s="1"/>
      <c r="F2616" s="1"/>
      <c r="G2616" s="3"/>
      <c r="H2616" s="1"/>
    </row>
    <row r="2617" spans="1:8" ht="13.2" x14ac:dyDescent="0.25">
      <c r="A2617" s="1"/>
      <c r="B2617" s="1"/>
      <c r="C2617" s="1"/>
      <c r="D2617" s="1"/>
      <c r="E2617" s="1"/>
      <c r="F2617" s="1"/>
      <c r="G2617" s="3"/>
      <c r="H2617" s="1"/>
    </row>
    <row r="2618" spans="1:8" ht="13.2" x14ac:dyDescent="0.25">
      <c r="A2618" s="2"/>
      <c r="B2618" s="1"/>
      <c r="C2618" s="1"/>
      <c r="D2618" s="1"/>
      <c r="E2618" s="1"/>
      <c r="F2618" s="1"/>
      <c r="G2618" s="3"/>
      <c r="H2618" s="1"/>
    </row>
    <row r="2619" spans="1:8" ht="13.2" x14ac:dyDescent="0.25">
      <c r="A2619" s="1"/>
      <c r="B2619" s="1"/>
      <c r="C2619" s="1"/>
      <c r="D2619" s="1"/>
      <c r="E2619" s="1"/>
      <c r="F2619" s="1"/>
      <c r="G2619" s="1"/>
      <c r="H2619" s="1"/>
    </row>
    <row r="2620" spans="1:8" ht="13.2" x14ac:dyDescent="0.25">
      <c r="A2620" s="1"/>
      <c r="B2620" s="1"/>
      <c r="C2620" s="1"/>
      <c r="D2620" s="1"/>
      <c r="E2620" s="1"/>
      <c r="F2620" s="1"/>
      <c r="G2620" s="1"/>
      <c r="H2620" s="1"/>
    </row>
    <row r="2621" spans="1:8" ht="13.2" x14ac:dyDescent="0.25">
      <c r="A2621" s="2"/>
      <c r="B2621" s="1"/>
      <c r="C2621" s="1"/>
      <c r="D2621" s="1"/>
      <c r="E2621" s="1"/>
      <c r="F2621" s="1"/>
      <c r="G2621" s="1"/>
      <c r="H2621" s="1"/>
    </row>
    <row r="2622" spans="1:8" ht="13.2" x14ac:dyDescent="0.25">
      <c r="A2622" s="1"/>
      <c r="B2622" s="1"/>
      <c r="C2622" s="1"/>
      <c r="D2622" s="1"/>
      <c r="E2622" s="1"/>
      <c r="F2622" s="1"/>
      <c r="G2622" s="1"/>
      <c r="H2622" s="1"/>
    </row>
    <row r="2623" spans="1:8" ht="13.2" x14ac:dyDescent="0.25">
      <c r="A2623" s="1"/>
      <c r="B2623" s="1"/>
      <c r="C2623" s="1"/>
      <c r="D2623" s="1"/>
      <c r="E2623" s="1"/>
      <c r="F2623" s="1"/>
      <c r="G2623" s="1"/>
      <c r="H2623" s="1"/>
    </row>
    <row r="2624" spans="1:8" ht="13.2" x14ac:dyDescent="0.25">
      <c r="A2624" s="2"/>
      <c r="B2624" s="1"/>
      <c r="C2624" s="1"/>
      <c r="D2624" s="1"/>
      <c r="E2624" s="1"/>
      <c r="F2624" s="1"/>
      <c r="G2624" s="1"/>
      <c r="H2624" s="1"/>
    </row>
    <row r="2625" spans="1:8" ht="13.2" x14ac:dyDescent="0.25">
      <c r="A2625" s="1"/>
      <c r="B2625" s="1"/>
      <c r="C2625" s="1"/>
      <c r="D2625" s="1"/>
      <c r="E2625" s="1"/>
      <c r="F2625" s="1"/>
      <c r="G2625" s="1"/>
      <c r="H2625" s="1"/>
    </row>
    <row r="2626" spans="1:8" ht="13.2" x14ac:dyDescent="0.25">
      <c r="A2626" s="2"/>
      <c r="B2626" s="1"/>
      <c r="C2626" s="1"/>
      <c r="D2626" s="1"/>
      <c r="E2626" s="1"/>
      <c r="F2626" s="1"/>
      <c r="G2626" s="1"/>
      <c r="H2626" s="1"/>
    </row>
    <row r="2627" spans="1:8" ht="13.2" x14ac:dyDescent="0.25">
      <c r="A2627" s="1"/>
      <c r="B2627" s="1"/>
      <c r="C2627" s="1"/>
      <c r="D2627" s="1"/>
      <c r="E2627" s="1"/>
      <c r="F2627" s="1"/>
      <c r="G2627" s="1"/>
      <c r="H2627" s="1"/>
    </row>
    <row r="2628" spans="1:8" ht="13.2" x14ac:dyDescent="0.25">
      <c r="A2628" s="2"/>
      <c r="B2628" s="1"/>
      <c r="C2628" s="1"/>
      <c r="D2628" s="1"/>
      <c r="E2628" s="1"/>
      <c r="F2628" s="1"/>
      <c r="G2628" s="3"/>
      <c r="H2628" s="1"/>
    </row>
    <row r="2629" spans="1:8" ht="13.2" x14ac:dyDescent="0.25">
      <c r="A2629" s="1"/>
      <c r="B2629" s="1"/>
      <c r="C2629" s="1"/>
      <c r="D2629" s="1"/>
      <c r="E2629" s="1"/>
      <c r="F2629" s="1"/>
      <c r="G2629" s="3"/>
      <c r="H2629" s="1"/>
    </row>
    <row r="2630" spans="1:8" ht="13.2" x14ac:dyDescent="0.25">
      <c r="A2630" s="1"/>
      <c r="B2630" s="1"/>
      <c r="C2630" s="1"/>
      <c r="D2630" s="1"/>
      <c r="E2630" s="1"/>
      <c r="F2630" s="1"/>
      <c r="G2630" s="1"/>
      <c r="H2630" s="1"/>
    </row>
    <row r="2631" spans="1:8" ht="13.2" x14ac:dyDescent="0.25">
      <c r="A2631" s="2"/>
      <c r="B2631" s="1"/>
      <c r="C2631" s="1"/>
      <c r="D2631" s="1"/>
      <c r="E2631" s="1"/>
      <c r="F2631" s="1"/>
      <c r="G2631" s="1"/>
      <c r="H2631" s="1"/>
    </row>
    <row r="2632" spans="1:8" ht="13.2" x14ac:dyDescent="0.25">
      <c r="A2632" s="1"/>
      <c r="B2632" s="1"/>
      <c r="C2632" s="1"/>
      <c r="D2632" s="1"/>
      <c r="E2632" s="1"/>
      <c r="F2632" s="1"/>
      <c r="G2632" s="3"/>
      <c r="H2632" s="1"/>
    </row>
    <row r="2633" spans="1:8" ht="13.2" x14ac:dyDescent="0.25">
      <c r="A2633" s="2"/>
      <c r="B2633" s="1"/>
      <c r="C2633" s="1"/>
      <c r="D2633" s="1"/>
      <c r="E2633" s="1"/>
      <c r="F2633" s="1"/>
      <c r="G2633" s="1"/>
      <c r="H2633" s="1"/>
    </row>
    <row r="2634" spans="1:8" ht="13.2" x14ac:dyDescent="0.25">
      <c r="A2634" s="1"/>
      <c r="B2634" s="1"/>
      <c r="C2634" s="1"/>
      <c r="D2634" s="1"/>
      <c r="E2634" s="1"/>
      <c r="F2634" s="1"/>
      <c r="G2634" s="3"/>
      <c r="H2634" s="1"/>
    </row>
    <row r="2635" spans="1:8" ht="13.2" x14ac:dyDescent="0.25">
      <c r="A2635" s="2"/>
      <c r="B2635" s="1"/>
      <c r="C2635" s="1"/>
      <c r="D2635" s="1"/>
      <c r="E2635" s="1"/>
      <c r="F2635" s="1"/>
      <c r="G2635" s="3"/>
      <c r="H2635" s="1"/>
    </row>
    <row r="2636" spans="1:8" ht="13.2" x14ac:dyDescent="0.25">
      <c r="A2636" s="1"/>
      <c r="B2636" s="1"/>
      <c r="C2636" s="1"/>
      <c r="D2636" s="1"/>
      <c r="E2636" s="1"/>
      <c r="F2636" s="1"/>
      <c r="G2636" s="1"/>
      <c r="H2636" s="1"/>
    </row>
    <row r="2637" spans="1:8" ht="13.2" x14ac:dyDescent="0.25">
      <c r="A2637" s="1"/>
      <c r="B2637" s="1"/>
      <c r="C2637" s="1"/>
      <c r="D2637" s="1"/>
      <c r="E2637" s="1"/>
      <c r="F2637" s="1"/>
      <c r="G2637" s="1"/>
      <c r="H2637" s="1"/>
    </row>
    <row r="2638" spans="1:8" ht="13.2" x14ac:dyDescent="0.25">
      <c r="A2638" s="1"/>
      <c r="B2638" s="1"/>
      <c r="C2638" s="1"/>
      <c r="D2638" s="1"/>
      <c r="E2638" s="1"/>
      <c r="F2638" s="1"/>
      <c r="G2638" s="3"/>
      <c r="H2638" s="1"/>
    </row>
    <row r="2639" spans="1:8" ht="13.2" x14ac:dyDescent="0.25">
      <c r="A2639" s="2"/>
      <c r="B2639" s="1"/>
      <c r="C2639" s="1"/>
      <c r="D2639" s="1"/>
      <c r="E2639" s="1"/>
      <c r="F2639" s="1"/>
      <c r="G2639" s="1"/>
      <c r="H2639" s="1"/>
    </row>
    <row r="2640" spans="1:8" ht="13.2" x14ac:dyDescent="0.25">
      <c r="A2640" s="1"/>
      <c r="B2640" s="1"/>
      <c r="C2640" s="1"/>
      <c r="D2640" s="1"/>
      <c r="E2640" s="1"/>
      <c r="F2640" s="1"/>
      <c r="G2640" s="3"/>
      <c r="H2640" s="1"/>
    </row>
    <row r="2641" spans="1:8" ht="13.2" x14ac:dyDescent="0.25">
      <c r="A2641" s="1"/>
      <c r="B2641" s="1"/>
      <c r="C2641" s="1"/>
      <c r="D2641" s="1"/>
      <c r="E2641" s="1"/>
      <c r="F2641" s="1"/>
      <c r="G2641" s="3"/>
      <c r="H2641" s="1"/>
    </row>
    <row r="2642" spans="1:8" ht="13.2" x14ac:dyDescent="0.25">
      <c r="A2642" s="2"/>
      <c r="B2642" s="1"/>
      <c r="C2642" s="1"/>
      <c r="D2642" s="1"/>
      <c r="E2642" s="1"/>
      <c r="F2642" s="1"/>
      <c r="G2642" s="1"/>
      <c r="H2642" s="1"/>
    </row>
    <row r="2643" spans="1:8" ht="13.2" x14ac:dyDescent="0.25">
      <c r="A2643" s="1"/>
      <c r="B2643" s="1"/>
      <c r="C2643" s="1"/>
      <c r="D2643" s="1"/>
      <c r="E2643" s="1"/>
      <c r="F2643" s="1"/>
      <c r="G2643" s="3"/>
      <c r="H2643" s="1"/>
    </row>
    <row r="2644" spans="1:8" ht="13.2" x14ac:dyDescent="0.25">
      <c r="A2644" s="1"/>
      <c r="B2644" s="1"/>
      <c r="C2644" s="1"/>
      <c r="D2644" s="1"/>
      <c r="E2644" s="1"/>
      <c r="F2644" s="1"/>
      <c r="G2644" s="1"/>
      <c r="H2644" s="1"/>
    </row>
    <row r="2645" spans="1:8" ht="13.2" x14ac:dyDescent="0.25">
      <c r="A2645" s="1"/>
      <c r="B2645" s="1"/>
      <c r="C2645" s="1"/>
      <c r="D2645" s="1"/>
      <c r="E2645" s="1"/>
      <c r="F2645" s="1"/>
      <c r="G2645" s="3"/>
      <c r="H2645" s="1"/>
    </row>
    <row r="2646" spans="1:8" ht="13.2" x14ac:dyDescent="0.25">
      <c r="A2646" s="2"/>
      <c r="B2646" s="1"/>
      <c r="C2646" s="1"/>
      <c r="D2646" s="1"/>
      <c r="E2646" s="1"/>
      <c r="F2646" s="1"/>
      <c r="G2646" s="1"/>
      <c r="H2646" s="1"/>
    </row>
    <row r="2647" spans="1:8" ht="13.2" x14ac:dyDescent="0.25">
      <c r="A2647" s="2"/>
      <c r="B2647" s="1"/>
      <c r="C2647" s="1"/>
      <c r="D2647" s="1"/>
      <c r="E2647" s="1"/>
      <c r="F2647" s="1"/>
      <c r="G2647" s="1"/>
      <c r="H2647" s="1"/>
    </row>
    <row r="2648" spans="1:8" ht="13.2" x14ac:dyDescent="0.25">
      <c r="A2648" s="1"/>
      <c r="B2648" s="1"/>
      <c r="C2648" s="1"/>
      <c r="D2648" s="1"/>
      <c r="E2648" s="1"/>
      <c r="F2648" s="1"/>
      <c r="G2648" s="1"/>
      <c r="H2648" s="1"/>
    </row>
    <row r="2649" spans="1:8" ht="13.2" x14ac:dyDescent="0.25">
      <c r="A2649" s="1"/>
      <c r="B2649" s="1"/>
      <c r="C2649" s="1"/>
      <c r="D2649" s="1"/>
      <c r="E2649" s="1"/>
      <c r="F2649" s="1"/>
      <c r="G2649" s="3"/>
      <c r="H2649" s="1"/>
    </row>
    <row r="2650" spans="1:8" ht="13.2" x14ac:dyDescent="0.25">
      <c r="A2650" s="1"/>
      <c r="B2650" s="1"/>
      <c r="C2650" s="1"/>
      <c r="D2650" s="1"/>
      <c r="E2650" s="1"/>
      <c r="F2650" s="1"/>
      <c r="G2650" s="3"/>
      <c r="H2650" s="1"/>
    </row>
    <row r="2651" spans="1:8" ht="13.2" x14ac:dyDescent="0.25">
      <c r="A2651" s="1"/>
      <c r="B2651" s="1"/>
      <c r="C2651" s="1"/>
      <c r="D2651" s="1"/>
      <c r="E2651" s="1"/>
      <c r="F2651" s="1"/>
      <c r="G2651" s="1"/>
      <c r="H2651" s="1"/>
    </row>
    <row r="2652" spans="1:8" ht="13.2" x14ac:dyDescent="0.25">
      <c r="A2652" s="1"/>
      <c r="B2652" s="1"/>
      <c r="C2652" s="1"/>
      <c r="D2652" s="1"/>
      <c r="E2652" s="1"/>
      <c r="F2652" s="1"/>
      <c r="G2652" s="1"/>
      <c r="H2652" s="1"/>
    </row>
    <row r="2653" spans="1:8" ht="13.2" x14ac:dyDescent="0.25">
      <c r="A2653" s="1"/>
      <c r="B2653" s="1"/>
      <c r="C2653" s="1"/>
      <c r="D2653" s="1"/>
      <c r="E2653" s="1"/>
      <c r="F2653" s="1"/>
      <c r="G2653" s="3"/>
      <c r="H2653" s="1"/>
    </row>
    <row r="2654" spans="1:8" ht="13.2" x14ac:dyDescent="0.25">
      <c r="A2654" s="1"/>
      <c r="B2654" s="1"/>
      <c r="C2654" s="1"/>
      <c r="D2654" s="1"/>
      <c r="E2654" s="1"/>
      <c r="F2654" s="1"/>
      <c r="G2654" s="3"/>
      <c r="H2654" s="1"/>
    </row>
    <row r="2655" spans="1:8" ht="13.2" x14ac:dyDescent="0.25">
      <c r="A2655" s="2"/>
      <c r="B2655" s="1"/>
      <c r="C2655" s="1"/>
      <c r="D2655" s="1"/>
      <c r="E2655" s="1"/>
      <c r="F2655" s="1"/>
      <c r="G2655" s="1"/>
      <c r="H2655" s="1"/>
    </row>
    <row r="2656" spans="1:8" ht="13.2" x14ac:dyDescent="0.25">
      <c r="A2656" s="1"/>
      <c r="B2656" s="1"/>
      <c r="C2656" s="1"/>
      <c r="D2656" s="1"/>
      <c r="E2656" s="1"/>
      <c r="F2656" s="1"/>
      <c r="G2656" s="3"/>
      <c r="H2656" s="1"/>
    </row>
    <row r="2657" spans="1:8" ht="13.2" x14ac:dyDescent="0.25">
      <c r="A2657" s="1"/>
      <c r="B2657" s="1"/>
      <c r="C2657" s="1"/>
      <c r="D2657" s="1"/>
      <c r="E2657" s="1"/>
      <c r="F2657" s="1"/>
      <c r="G2657" s="3"/>
      <c r="H2657" s="1"/>
    </row>
    <row r="2658" spans="1:8" ht="13.2" x14ac:dyDescent="0.25">
      <c r="A2658" s="1"/>
      <c r="B2658" s="1"/>
      <c r="C2658" s="1"/>
      <c r="D2658" s="1"/>
      <c r="E2658" s="1"/>
      <c r="F2658" s="1"/>
      <c r="G2658" s="1"/>
      <c r="H2658" s="1"/>
    </row>
    <row r="2659" spans="1:8" ht="13.2" x14ac:dyDescent="0.25">
      <c r="A2659" s="1"/>
      <c r="B2659" s="1"/>
      <c r="C2659" s="1"/>
      <c r="D2659" s="1"/>
      <c r="E2659" s="1"/>
      <c r="F2659" s="1"/>
      <c r="G2659" s="1"/>
      <c r="H2659" s="1"/>
    </row>
    <row r="2660" spans="1:8" ht="13.2" x14ac:dyDescent="0.25">
      <c r="A2660" s="2"/>
      <c r="B2660" s="1"/>
      <c r="C2660" s="1"/>
      <c r="D2660" s="1"/>
      <c r="E2660" s="1"/>
      <c r="F2660" s="1"/>
      <c r="G2660" s="1"/>
      <c r="H2660" s="1"/>
    </row>
    <row r="2661" spans="1:8" ht="13.2" x14ac:dyDescent="0.25">
      <c r="A2661" s="1"/>
      <c r="B2661" s="1"/>
      <c r="C2661" s="1"/>
      <c r="D2661" s="1"/>
      <c r="E2661" s="1"/>
      <c r="F2661" s="1"/>
      <c r="G2661" s="3"/>
      <c r="H2661" s="1"/>
    </row>
    <row r="2662" spans="1:8" ht="13.2" x14ac:dyDescent="0.25">
      <c r="A2662" s="2"/>
      <c r="B2662" s="1"/>
      <c r="C2662" s="1"/>
      <c r="D2662" s="1"/>
      <c r="E2662" s="1"/>
      <c r="F2662" s="1"/>
      <c r="G2662" s="1"/>
      <c r="H2662" s="1"/>
    </row>
    <row r="2663" spans="1:8" ht="13.2" x14ac:dyDescent="0.25">
      <c r="A2663" s="1"/>
      <c r="B2663" s="1"/>
      <c r="C2663" s="1"/>
      <c r="D2663" s="1"/>
      <c r="E2663" s="1"/>
      <c r="F2663" s="1"/>
      <c r="G2663" s="3"/>
      <c r="H2663" s="1"/>
    </row>
    <row r="2664" spans="1:8" ht="13.2" x14ac:dyDescent="0.25">
      <c r="A2664" s="1"/>
      <c r="B2664" s="1"/>
      <c r="C2664" s="1"/>
      <c r="D2664" s="1"/>
      <c r="E2664" s="1"/>
      <c r="F2664" s="1"/>
      <c r="G2664" s="1"/>
      <c r="H2664" s="1"/>
    </row>
    <row r="2665" spans="1:8" ht="13.2" x14ac:dyDescent="0.25">
      <c r="A2665" s="2"/>
      <c r="B2665" s="1"/>
      <c r="C2665" s="1"/>
      <c r="D2665" s="1"/>
      <c r="E2665" s="1"/>
      <c r="F2665" s="1"/>
      <c r="G2665" s="1"/>
      <c r="H2665" s="1"/>
    </row>
    <row r="2666" spans="1:8" ht="13.2" x14ac:dyDescent="0.25">
      <c r="A2666" s="1"/>
      <c r="B2666" s="1"/>
      <c r="C2666" s="1"/>
      <c r="D2666" s="1"/>
      <c r="E2666" s="1"/>
      <c r="F2666" s="1"/>
      <c r="G2666" s="1"/>
      <c r="H2666" s="1"/>
    </row>
    <row r="2667" spans="1:8" ht="13.2" x14ac:dyDescent="0.25">
      <c r="A2667" s="1"/>
      <c r="B2667" s="1"/>
      <c r="C2667" s="1"/>
      <c r="D2667" s="1"/>
      <c r="E2667" s="1"/>
      <c r="F2667" s="1"/>
      <c r="G2667" s="1"/>
      <c r="H2667" s="1"/>
    </row>
    <row r="2668" spans="1:8" ht="13.2" x14ac:dyDescent="0.25">
      <c r="A2668" s="1"/>
      <c r="B2668" s="1"/>
      <c r="C2668" s="1"/>
      <c r="D2668" s="1"/>
      <c r="E2668" s="1"/>
      <c r="F2668" s="1"/>
      <c r="G2668" s="1"/>
      <c r="H2668" s="1"/>
    </row>
    <row r="2669" spans="1:8" ht="13.2" x14ac:dyDescent="0.25">
      <c r="A2669" s="1"/>
      <c r="B2669" s="1"/>
      <c r="C2669" s="1"/>
      <c r="D2669" s="1"/>
      <c r="E2669" s="1"/>
      <c r="F2669" s="1"/>
      <c r="G2669" s="1"/>
      <c r="H2669" s="1"/>
    </row>
    <row r="2670" spans="1:8" ht="13.2" x14ac:dyDescent="0.25">
      <c r="A2670" s="1"/>
      <c r="B2670" s="1"/>
      <c r="C2670" s="1"/>
      <c r="D2670" s="1"/>
      <c r="E2670" s="1"/>
      <c r="F2670" s="1"/>
      <c r="G2670" s="3"/>
      <c r="H2670" s="1"/>
    </row>
    <row r="2671" spans="1:8" ht="13.2" x14ac:dyDescent="0.25">
      <c r="A2671" s="1"/>
      <c r="B2671" s="1"/>
      <c r="C2671" s="1"/>
      <c r="D2671" s="1"/>
      <c r="E2671" s="1"/>
      <c r="F2671" s="1"/>
      <c r="G2671" s="3"/>
      <c r="H2671" s="1"/>
    </row>
    <row r="2672" spans="1:8" ht="13.2" x14ac:dyDescent="0.25">
      <c r="A2672" s="1"/>
      <c r="B2672" s="1"/>
      <c r="C2672" s="1"/>
      <c r="D2672" s="1"/>
      <c r="E2672" s="1"/>
      <c r="F2672" s="1"/>
      <c r="G2672" s="1"/>
      <c r="H2672" s="1"/>
    </row>
    <row r="2673" spans="1:8" ht="13.2" x14ac:dyDescent="0.25">
      <c r="A2673" s="1"/>
      <c r="B2673" s="1"/>
      <c r="C2673" s="1"/>
      <c r="D2673" s="1"/>
      <c r="E2673" s="1"/>
      <c r="F2673" s="1"/>
      <c r="G2673" s="3"/>
      <c r="H2673" s="1"/>
    </row>
    <row r="2674" spans="1:8" ht="13.2" x14ac:dyDescent="0.25">
      <c r="A2674" s="1"/>
      <c r="B2674" s="1"/>
      <c r="C2674" s="1"/>
      <c r="D2674" s="1"/>
      <c r="E2674" s="1"/>
      <c r="F2674" s="1"/>
      <c r="G2674" s="3"/>
      <c r="H2674" s="1"/>
    </row>
    <row r="2675" spans="1:8" ht="13.2" x14ac:dyDescent="0.25">
      <c r="A2675" s="1"/>
      <c r="B2675" s="1"/>
      <c r="C2675" s="1"/>
      <c r="D2675" s="1"/>
      <c r="E2675" s="1"/>
      <c r="F2675" s="1"/>
      <c r="G2675" s="3"/>
      <c r="H2675" s="1"/>
    </row>
    <row r="2676" spans="1:8" ht="13.2" x14ac:dyDescent="0.25">
      <c r="A2676" s="1"/>
      <c r="B2676" s="1"/>
      <c r="C2676" s="1"/>
      <c r="D2676" s="1"/>
      <c r="E2676" s="1"/>
      <c r="F2676" s="1"/>
      <c r="G2676" s="1"/>
      <c r="H2676" s="1"/>
    </row>
    <row r="2677" spans="1:8" ht="13.2" x14ac:dyDescent="0.25">
      <c r="A2677" s="1"/>
      <c r="B2677" s="1"/>
      <c r="C2677" s="1"/>
      <c r="D2677" s="1"/>
      <c r="E2677" s="1"/>
      <c r="F2677" s="1"/>
      <c r="G2677" s="3"/>
      <c r="H2677" s="1"/>
    </row>
    <row r="2678" spans="1:8" ht="13.2" x14ac:dyDescent="0.25">
      <c r="A2678" s="1"/>
      <c r="B2678" s="1"/>
      <c r="C2678" s="1"/>
      <c r="D2678" s="1"/>
      <c r="E2678" s="1"/>
      <c r="F2678" s="1"/>
      <c r="G2678" s="1"/>
      <c r="H2678" s="1"/>
    </row>
    <row r="2679" spans="1:8" ht="13.2" x14ac:dyDescent="0.25">
      <c r="A2679" s="1"/>
      <c r="B2679" s="1"/>
      <c r="C2679" s="1"/>
      <c r="D2679" s="1"/>
      <c r="E2679" s="1"/>
      <c r="F2679" s="1"/>
      <c r="G2679" s="1"/>
      <c r="H2679" s="1"/>
    </row>
    <row r="2680" spans="1:8" ht="13.2" x14ac:dyDescent="0.25">
      <c r="A2680" s="2"/>
      <c r="B2680" s="1"/>
      <c r="C2680" s="1"/>
      <c r="D2680" s="1"/>
      <c r="E2680" s="1"/>
      <c r="F2680" s="1"/>
      <c r="G2680" s="1"/>
      <c r="H2680" s="1"/>
    </row>
    <row r="2681" spans="1:8" ht="13.2" x14ac:dyDescent="0.25">
      <c r="A2681" s="1"/>
      <c r="B2681" s="1"/>
      <c r="C2681" s="1"/>
      <c r="D2681" s="1"/>
      <c r="E2681" s="1"/>
      <c r="F2681" s="1"/>
      <c r="G2681" s="1"/>
      <c r="H2681" s="1"/>
    </row>
    <row r="2682" spans="1:8" ht="13.2" x14ac:dyDescent="0.25">
      <c r="A2682" s="1"/>
      <c r="B2682" s="1"/>
      <c r="C2682" s="1"/>
      <c r="D2682" s="1"/>
      <c r="E2682" s="1"/>
      <c r="F2682" s="1"/>
      <c r="G2682" s="1"/>
      <c r="H2682" s="1"/>
    </row>
    <row r="2683" spans="1:8" ht="13.2" x14ac:dyDescent="0.25">
      <c r="A2683" s="1"/>
      <c r="B2683" s="1"/>
      <c r="C2683" s="1"/>
      <c r="D2683" s="1"/>
      <c r="E2683" s="1"/>
      <c r="F2683" s="1"/>
      <c r="G2683" s="1"/>
      <c r="H2683" s="1"/>
    </row>
    <row r="2684" spans="1:8" ht="13.2" x14ac:dyDescent="0.25">
      <c r="A2684" s="2"/>
      <c r="B2684" s="1"/>
      <c r="C2684" s="1"/>
      <c r="D2684" s="1"/>
      <c r="E2684" s="1"/>
      <c r="F2684" s="1"/>
      <c r="G2684" s="1"/>
      <c r="H2684" s="1"/>
    </row>
    <row r="2685" spans="1:8" ht="13.2" x14ac:dyDescent="0.25">
      <c r="A2685" s="1"/>
      <c r="B2685" s="1"/>
      <c r="C2685" s="1"/>
      <c r="D2685" s="1"/>
      <c r="E2685" s="1"/>
      <c r="F2685" s="1"/>
      <c r="G2685" s="1"/>
      <c r="H2685" s="1"/>
    </row>
    <row r="2686" spans="1:8" ht="13.2" x14ac:dyDescent="0.25">
      <c r="A2686" s="1"/>
      <c r="B2686" s="1"/>
      <c r="C2686" s="1"/>
      <c r="D2686" s="1"/>
      <c r="E2686" s="1"/>
      <c r="F2686" s="1"/>
      <c r="G2686" s="1"/>
      <c r="H2686" s="1"/>
    </row>
    <row r="2687" spans="1:8" ht="13.2" x14ac:dyDescent="0.25">
      <c r="A2687" s="1"/>
      <c r="B2687" s="1"/>
      <c r="C2687" s="1"/>
      <c r="D2687" s="1"/>
      <c r="E2687" s="1"/>
      <c r="F2687" s="1"/>
      <c r="G2687" s="1"/>
      <c r="H2687" s="1"/>
    </row>
    <row r="2688" spans="1:8" ht="13.2" x14ac:dyDescent="0.25">
      <c r="A2688" s="1"/>
      <c r="B2688" s="1"/>
      <c r="C2688" s="1"/>
      <c r="D2688" s="1"/>
      <c r="E2688" s="1"/>
      <c r="F2688" s="1"/>
      <c r="G2688" s="3"/>
      <c r="H2688" s="1"/>
    </row>
    <row r="2689" spans="1:8" ht="13.2" x14ac:dyDescent="0.25">
      <c r="A2689" s="1"/>
      <c r="B2689" s="1"/>
      <c r="C2689" s="1"/>
      <c r="D2689" s="1"/>
      <c r="E2689" s="1"/>
      <c r="F2689" s="1"/>
      <c r="G2689" s="1"/>
      <c r="H2689" s="1"/>
    </row>
    <row r="2690" spans="1:8" ht="13.2" x14ac:dyDescent="0.25">
      <c r="A2690" s="2"/>
      <c r="B2690" s="1"/>
      <c r="C2690" s="1"/>
      <c r="D2690" s="1"/>
      <c r="E2690" s="1"/>
      <c r="F2690" s="1"/>
      <c r="G2690" s="3"/>
      <c r="H2690" s="1"/>
    </row>
    <row r="2691" spans="1:8" ht="13.2" x14ac:dyDescent="0.25">
      <c r="A2691" s="1"/>
      <c r="B2691" s="1"/>
      <c r="C2691" s="1"/>
      <c r="D2691" s="1"/>
      <c r="E2691" s="1"/>
      <c r="F2691" s="1"/>
      <c r="G2691" s="3"/>
      <c r="H2691" s="1"/>
    </row>
    <row r="2692" spans="1:8" ht="13.2" x14ac:dyDescent="0.25">
      <c r="A2692" s="2"/>
      <c r="B2692" s="1"/>
      <c r="C2692" s="1"/>
      <c r="D2692" s="1"/>
      <c r="E2692" s="1"/>
      <c r="F2692" s="1"/>
      <c r="G2692" s="1"/>
      <c r="H2692" s="1"/>
    </row>
    <row r="2693" spans="1:8" ht="13.2" x14ac:dyDescent="0.25">
      <c r="A2693" s="2"/>
      <c r="B2693" s="1"/>
      <c r="C2693" s="1"/>
      <c r="D2693" s="1"/>
      <c r="E2693" s="1"/>
      <c r="F2693" s="1"/>
      <c r="G2693" s="3"/>
      <c r="H2693" s="1"/>
    </row>
    <row r="2694" spans="1:8" ht="13.2" x14ac:dyDescent="0.25">
      <c r="A2694" s="1"/>
      <c r="B2694" s="1"/>
      <c r="C2694" s="1"/>
      <c r="D2694" s="1"/>
      <c r="E2694" s="1"/>
      <c r="F2694" s="1"/>
      <c r="G2694" s="3"/>
      <c r="H2694" s="1"/>
    </row>
    <row r="2695" spans="1:8" ht="13.2" x14ac:dyDescent="0.25">
      <c r="A2695" s="1"/>
      <c r="B2695" s="1"/>
      <c r="C2695" s="1"/>
      <c r="D2695" s="1"/>
      <c r="E2695" s="1"/>
      <c r="F2695" s="1"/>
      <c r="G2695" s="3"/>
      <c r="H2695" s="1"/>
    </row>
    <row r="2696" spans="1:8" ht="13.2" x14ac:dyDescent="0.25">
      <c r="A2696" s="1"/>
      <c r="B2696" s="1"/>
      <c r="C2696" s="1"/>
      <c r="D2696" s="1"/>
      <c r="E2696" s="1"/>
      <c r="F2696" s="1"/>
      <c r="G2696" s="3"/>
      <c r="H2696" s="1"/>
    </row>
    <row r="2697" spans="1:8" ht="13.2" x14ac:dyDescent="0.25">
      <c r="A2697" s="1"/>
      <c r="B2697" s="1"/>
      <c r="C2697" s="1"/>
      <c r="D2697" s="1"/>
      <c r="E2697" s="1"/>
      <c r="F2697" s="1"/>
      <c r="G2697" s="3"/>
      <c r="H2697" s="1"/>
    </row>
    <row r="2698" spans="1:8" ht="13.2" x14ac:dyDescent="0.25">
      <c r="A2698" s="1"/>
      <c r="B2698" s="1"/>
      <c r="C2698" s="1"/>
      <c r="D2698" s="1"/>
      <c r="E2698" s="1"/>
      <c r="F2698" s="1"/>
      <c r="G2698" s="3"/>
      <c r="H2698" s="1"/>
    </row>
    <row r="2699" spans="1:8" ht="13.2" x14ac:dyDescent="0.25">
      <c r="A2699" s="2"/>
      <c r="B2699" s="1"/>
      <c r="C2699" s="1"/>
      <c r="D2699" s="1"/>
      <c r="E2699" s="1"/>
      <c r="F2699" s="1"/>
      <c r="G2699" s="1"/>
      <c r="H2699" s="1"/>
    </row>
    <row r="2700" spans="1:8" ht="13.2" x14ac:dyDescent="0.25">
      <c r="A2700" s="2"/>
      <c r="B2700" s="1"/>
      <c r="C2700" s="1"/>
      <c r="D2700" s="1"/>
      <c r="E2700" s="1"/>
      <c r="F2700" s="1"/>
      <c r="G2700" s="1"/>
      <c r="H2700" s="1"/>
    </row>
    <row r="2701" spans="1:8" ht="13.2" x14ac:dyDescent="0.25">
      <c r="A2701" s="1"/>
      <c r="B2701" s="1"/>
      <c r="C2701" s="1"/>
      <c r="D2701" s="1"/>
      <c r="E2701" s="1"/>
      <c r="F2701" s="1"/>
      <c r="G2701" s="1"/>
      <c r="H2701" s="1"/>
    </row>
    <row r="2702" spans="1:8" ht="13.2" x14ac:dyDescent="0.25">
      <c r="A2702" s="1"/>
      <c r="B2702" s="1"/>
      <c r="C2702" s="1"/>
      <c r="D2702" s="1"/>
      <c r="E2702" s="1"/>
      <c r="F2702" s="1"/>
      <c r="G2702" s="3"/>
      <c r="H2702" s="1"/>
    </row>
    <row r="2703" spans="1:8" ht="13.2" x14ac:dyDescent="0.25">
      <c r="A2703" s="1"/>
      <c r="B2703" s="1"/>
      <c r="C2703" s="1"/>
      <c r="D2703" s="1"/>
      <c r="E2703" s="1"/>
      <c r="F2703" s="1"/>
      <c r="G2703" s="1"/>
      <c r="H2703" s="1"/>
    </row>
    <row r="2704" spans="1:8" ht="13.2" x14ac:dyDescent="0.25">
      <c r="A2704" s="2"/>
      <c r="B2704" s="1"/>
      <c r="C2704" s="1"/>
      <c r="D2704" s="1"/>
      <c r="E2704" s="1"/>
      <c r="F2704" s="1"/>
      <c r="G2704" s="1"/>
      <c r="H2704" s="1"/>
    </row>
    <row r="2705" spans="1:8" ht="13.2" x14ac:dyDescent="0.25">
      <c r="A2705" s="1"/>
      <c r="B2705" s="1"/>
      <c r="C2705" s="1"/>
      <c r="D2705" s="1"/>
      <c r="E2705" s="1"/>
      <c r="F2705" s="1"/>
      <c r="G2705" s="3"/>
      <c r="H2705" s="1"/>
    </row>
    <row r="2706" spans="1:8" ht="13.2" x14ac:dyDescent="0.25">
      <c r="A2706" s="1"/>
      <c r="B2706" s="1"/>
      <c r="C2706" s="1"/>
      <c r="D2706" s="1"/>
      <c r="E2706" s="1"/>
      <c r="F2706" s="1"/>
      <c r="G2706" s="1"/>
      <c r="H2706" s="1"/>
    </row>
    <row r="2707" spans="1:8" ht="13.2" x14ac:dyDescent="0.25">
      <c r="A2707" s="2"/>
      <c r="B2707" s="1"/>
      <c r="C2707" s="1"/>
      <c r="D2707" s="1"/>
      <c r="E2707" s="1"/>
      <c r="F2707" s="1"/>
      <c r="G2707" s="1"/>
      <c r="H2707" s="1"/>
    </row>
    <row r="2708" spans="1:8" ht="13.2" x14ac:dyDescent="0.25">
      <c r="A2708" s="2"/>
      <c r="B2708" s="1"/>
      <c r="C2708" s="1"/>
      <c r="D2708" s="1"/>
      <c r="E2708" s="1"/>
      <c r="F2708" s="1"/>
      <c r="G2708" s="1"/>
      <c r="H2708" s="1"/>
    </row>
    <row r="2709" spans="1:8" ht="13.2" x14ac:dyDescent="0.25">
      <c r="A2709" s="1"/>
      <c r="B2709" s="1"/>
      <c r="C2709" s="1"/>
      <c r="D2709" s="1"/>
      <c r="E2709" s="1"/>
      <c r="F2709" s="1"/>
      <c r="G2709" s="1"/>
      <c r="H2709" s="1"/>
    </row>
    <row r="2710" spans="1:8" ht="13.2" x14ac:dyDescent="0.25">
      <c r="A2710" s="1"/>
      <c r="B2710" s="1"/>
      <c r="C2710" s="1"/>
      <c r="D2710" s="1"/>
      <c r="E2710" s="1"/>
      <c r="F2710" s="1"/>
      <c r="G2710" s="3"/>
      <c r="H2710" s="1"/>
    </row>
    <row r="2711" spans="1:8" ht="13.2" x14ac:dyDescent="0.25">
      <c r="A2711" s="1"/>
      <c r="B2711" s="1"/>
      <c r="C2711" s="1"/>
      <c r="D2711" s="1"/>
      <c r="E2711" s="1"/>
      <c r="F2711" s="1"/>
      <c r="G2711" s="3"/>
      <c r="H2711" s="1"/>
    </row>
    <row r="2712" spans="1:8" ht="13.2" x14ac:dyDescent="0.25">
      <c r="A2712" s="2"/>
      <c r="B2712" s="1"/>
      <c r="C2712" s="1"/>
      <c r="D2712" s="1"/>
      <c r="E2712" s="1"/>
      <c r="F2712" s="1"/>
      <c r="G2712" s="1"/>
      <c r="H2712" s="1"/>
    </row>
    <row r="2713" spans="1:8" ht="13.2" x14ac:dyDescent="0.25">
      <c r="A2713" s="1"/>
      <c r="B2713" s="1"/>
      <c r="C2713" s="1"/>
      <c r="D2713" s="1"/>
      <c r="E2713" s="1"/>
      <c r="F2713" s="1"/>
      <c r="G2713" s="3"/>
      <c r="H2713" s="1"/>
    </row>
    <row r="2714" spans="1:8" ht="13.2" x14ac:dyDescent="0.25">
      <c r="A2714" s="1"/>
      <c r="B2714" s="1"/>
      <c r="C2714" s="1"/>
      <c r="D2714" s="1"/>
      <c r="E2714" s="1"/>
      <c r="F2714" s="1"/>
      <c r="G2714" s="3"/>
      <c r="H2714" s="1"/>
    </row>
    <row r="2715" spans="1:8" ht="13.2" x14ac:dyDescent="0.25">
      <c r="A2715" s="1"/>
      <c r="B2715" s="1"/>
      <c r="C2715" s="1"/>
      <c r="D2715" s="1"/>
      <c r="E2715" s="1"/>
      <c r="F2715" s="1"/>
      <c r="G2715" s="3"/>
      <c r="H2715" s="1"/>
    </row>
    <row r="2716" spans="1:8" ht="13.2" x14ac:dyDescent="0.25">
      <c r="A2716" s="2"/>
      <c r="B2716" s="1"/>
      <c r="C2716" s="1"/>
      <c r="D2716" s="1"/>
      <c r="E2716" s="1"/>
      <c r="F2716" s="1"/>
      <c r="G2716" s="1"/>
      <c r="H2716" s="1"/>
    </row>
    <row r="2717" spans="1:8" ht="13.2" x14ac:dyDescent="0.25">
      <c r="A2717" s="2"/>
      <c r="B2717" s="1"/>
      <c r="C2717" s="1"/>
      <c r="D2717" s="1"/>
      <c r="E2717" s="1"/>
      <c r="F2717" s="1"/>
      <c r="G2717" s="1"/>
      <c r="H2717" s="1"/>
    </row>
    <row r="2718" spans="1:8" ht="13.2" x14ac:dyDescent="0.25">
      <c r="A2718" s="1"/>
      <c r="B2718" s="1"/>
      <c r="C2718" s="1"/>
      <c r="D2718" s="1"/>
      <c r="E2718" s="1"/>
      <c r="F2718" s="1"/>
      <c r="G2718" s="3"/>
      <c r="H2718" s="1"/>
    </row>
    <row r="2719" spans="1:8" ht="13.2" x14ac:dyDescent="0.25">
      <c r="A2719" s="1"/>
      <c r="B2719" s="1"/>
      <c r="C2719" s="1"/>
      <c r="D2719" s="1"/>
      <c r="E2719" s="1"/>
      <c r="F2719" s="1"/>
      <c r="G2719" s="1"/>
      <c r="H2719" s="1"/>
    </row>
    <row r="2720" spans="1:8" ht="13.2" x14ac:dyDescent="0.25">
      <c r="A2720" s="1"/>
      <c r="B2720" s="1"/>
      <c r="C2720" s="1"/>
      <c r="D2720" s="1"/>
      <c r="E2720" s="1"/>
      <c r="F2720" s="1"/>
      <c r="G2720" s="1"/>
      <c r="H2720" s="1"/>
    </row>
    <row r="2721" spans="1:8" ht="13.2" x14ac:dyDescent="0.25">
      <c r="A2721" s="2"/>
      <c r="B2721" s="1"/>
      <c r="C2721" s="1"/>
      <c r="D2721" s="1"/>
      <c r="E2721" s="1"/>
      <c r="F2721" s="1"/>
      <c r="G2721" s="3"/>
      <c r="H2721" s="1"/>
    </row>
    <row r="2722" spans="1:8" ht="13.2" x14ac:dyDescent="0.25">
      <c r="A2722" s="1"/>
      <c r="B2722" s="1"/>
      <c r="C2722" s="1"/>
      <c r="D2722" s="1"/>
      <c r="E2722" s="1"/>
      <c r="F2722" s="1"/>
      <c r="G2722" s="1"/>
      <c r="H2722" s="1"/>
    </row>
    <row r="2723" spans="1:8" ht="13.2" x14ac:dyDescent="0.25">
      <c r="A2723" s="1"/>
      <c r="B2723" s="1"/>
      <c r="C2723" s="1"/>
      <c r="D2723" s="1"/>
      <c r="E2723" s="1"/>
      <c r="F2723" s="1"/>
      <c r="G2723" s="1"/>
      <c r="H2723" s="1"/>
    </row>
    <row r="2724" spans="1:8" ht="13.2" x14ac:dyDescent="0.25">
      <c r="A2724" s="2"/>
      <c r="B2724" s="1"/>
      <c r="C2724" s="1"/>
      <c r="D2724" s="1"/>
      <c r="E2724" s="1"/>
      <c r="F2724" s="1"/>
      <c r="G2724" s="1"/>
      <c r="H2724" s="1"/>
    </row>
    <row r="2725" spans="1:8" ht="13.2" x14ac:dyDescent="0.25">
      <c r="A2725" s="1"/>
      <c r="B2725" s="1"/>
      <c r="C2725" s="1"/>
      <c r="D2725" s="1"/>
      <c r="E2725" s="1"/>
      <c r="F2725" s="1"/>
      <c r="G2725" s="1"/>
      <c r="H2725" s="1"/>
    </row>
    <row r="2726" spans="1:8" ht="13.2" x14ac:dyDescent="0.25">
      <c r="A2726" s="2"/>
      <c r="B2726" s="1"/>
      <c r="C2726" s="1"/>
      <c r="D2726" s="1"/>
      <c r="E2726" s="1"/>
      <c r="F2726" s="1"/>
      <c r="G2726" s="3"/>
      <c r="H2726" s="1"/>
    </row>
    <row r="2727" spans="1:8" ht="13.2" x14ac:dyDescent="0.25">
      <c r="A2727" s="1"/>
      <c r="B2727" s="1"/>
      <c r="C2727" s="1"/>
      <c r="D2727" s="1"/>
      <c r="E2727" s="1"/>
      <c r="F2727" s="1"/>
      <c r="G2727" s="3"/>
      <c r="H2727" s="1"/>
    </row>
    <row r="2728" spans="1:8" ht="13.2" x14ac:dyDescent="0.25">
      <c r="A2728" s="1"/>
      <c r="B2728" s="1"/>
      <c r="C2728" s="1"/>
      <c r="D2728" s="1"/>
      <c r="E2728" s="1"/>
      <c r="F2728" s="1"/>
      <c r="G2728" s="1"/>
      <c r="H2728" s="1"/>
    </row>
    <row r="2729" spans="1:8" ht="13.2" x14ac:dyDescent="0.25">
      <c r="A2729" s="1"/>
      <c r="B2729" s="1"/>
      <c r="C2729" s="1"/>
      <c r="D2729" s="1"/>
      <c r="E2729" s="1"/>
      <c r="F2729" s="1"/>
      <c r="G2729" s="3"/>
      <c r="H2729" s="1"/>
    </row>
    <row r="2730" spans="1:8" ht="13.2" x14ac:dyDescent="0.25">
      <c r="A2730" s="2"/>
      <c r="B2730" s="1"/>
      <c r="C2730" s="1"/>
      <c r="D2730" s="1"/>
      <c r="E2730" s="1"/>
      <c r="F2730" s="1"/>
      <c r="G2730" s="1"/>
      <c r="H2730" s="1"/>
    </row>
    <row r="2731" spans="1:8" ht="13.2" x14ac:dyDescent="0.25">
      <c r="A2731" s="1"/>
      <c r="B2731" s="1"/>
      <c r="C2731" s="1"/>
      <c r="D2731" s="1"/>
      <c r="E2731" s="1"/>
      <c r="F2731" s="1"/>
      <c r="G2731" s="3"/>
      <c r="H2731" s="1"/>
    </row>
    <row r="2732" spans="1:8" ht="13.2" x14ac:dyDescent="0.25">
      <c r="A2732" s="1"/>
      <c r="B2732" s="1"/>
      <c r="C2732" s="1"/>
      <c r="D2732" s="1"/>
      <c r="E2732" s="1"/>
      <c r="F2732" s="1"/>
      <c r="G2732" s="1"/>
      <c r="H2732" s="1"/>
    </row>
    <row r="2733" spans="1:8" ht="13.2" x14ac:dyDescent="0.25">
      <c r="A2733" s="2"/>
      <c r="B2733" s="1"/>
      <c r="C2733" s="1"/>
      <c r="D2733" s="1"/>
      <c r="E2733" s="1"/>
      <c r="F2733" s="1"/>
      <c r="G2733" s="3"/>
      <c r="H2733" s="1"/>
    </row>
    <row r="2734" spans="1:8" ht="13.2" x14ac:dyDescent="0.25">
      <c r="A2734" s="2"/>
      <c r="B2734" s="1"/>
      <c r="C2734" s="1"/>
      <c r="D2734" s="1"/>
      <c r="E2734" s="1"/>
      <c r="F2734" s="1"/>
      <c r="G2734" s="3"/>
      <c r="H2734" s="1"/>
    </row>
    <row r="2735" spans="1:8" ht="13.2" x14ac:dyDescent="0.25">
      <c r="A2735" s="1"/>
      <c r="B2735" s="1"/>
      <c r="C2735" s="1"/>
      <c r="D2735" s="1"/>
      <c r="E2735" s="1"/>
      <c r="F2735" s="1"/>
      <c r="G2735" s="1"/>
      <c r="H2735" s="1"/>
    </row>
    <row r="2736" spans="1:8" ht="13.2" x14ac:dyDescent="0.25">
      <c r="A2736" s="2"/>
      <c r="B2736" s="1"/>
      <c r="C2736" s="1"/>
      <c r="D2736" s="1"/>
      <c r="E2736" s="1"/>
      <c r="F2736" s="1"/>
      <c r="G2736" s="1"/>
      <c r="H2736" s="1"/>
    </row>
    <row r="2737" spans="1:8" ht="13.2" x14ac:dyDescent="0.25">
      <c r="A2737" s="2"/>
      <c r="B2737" s="1"/>
      <c r="C2737" s="1"/>
      <c r="D2737" s="1"/>
      <c r="E2737" s="1"/>
      <c r="F2737" s="1"/>
      <c r="G2737" s="1"/>
      <c r="H2737" s="1"/>
    </row>
    <row r="2738" spans="1:8" ht="13.2" x14ac:dyDescent="0.25">
      <c r="A2738" s="1"/>
      <c r="B2738" s="1"/>
      <c r="C2738" s="1"/>
      <c r="D2738" s="1"/>
      <c r="E2738" s="1"/>
      <c r="F2738" s="1"/>
      <c r="G2738" s="3"/>
      <c r="H2738" s="1"/>
    </row>
    <row r="2739" spans="1:8" ht="13.2" x14ac:dyDescent="0.25">
      <c r="A2739" s="2"/>
      <c r="B2739" s="1"/>
      <c r="C2739" s="1"/>
      <c r="D2739" s="1"/>
      <c r="E2739" s="1"/>
      <c r="F2739" s="1"/>
      <c r="G2739" s="1"/>
      <c r="H2739" s="1"/>
    </row>
    <row r="2740" spans="1:8" ht="13.2" x14ac:dyDescent="0.25">
      <c r="A2740" s="1"/>
      <c r="B2740" s="1"/>
      <c r="C2740" s="1"/>
      <c r="D2740" s="1"/>
      <c r="E2740" s="1"/>
      <c r="F2740" s="1"/>
      <c r="G2740" s="3"/>
      <c r="H2740" s="1"/>
    </row>
    <row r="2741" spans="1:8" ht="13.2" x14ac:dyDescent="0.25">
      <c r="A2741" s="1"/>
      <c r="B2741" s="1"/>
      <c r="C2741" s="1"/>
      <c r="D2741" s="1"/>
      <c r="E2741" s="1"/>
      <c r="F2741" s="1"/>
      <c r="G2741" s="1"/>
      <c r="H2741" s="1"/>
    </row>
    <row r="2742" spans="1:8" ht="13.2" x14ac:dyDescent="0.25">
      <c r="A2742" s="1"/>
      <c r="B2742" s="1"/>
      <c r="C2742" s="1"/>
      <c r="D2742" s="1"/>
      <c r="E2742" s="1"/>
      <c r="F2742" s="1"/>
      <c r="G2742" s="3"/>
      <c r="H2742" s="1"/>
    </row>
    <row r="2743" spans="1:8" ht="13.2" x14ac:dyDescent="0.25">
      <c r="A2743" s="1"/>
      <c r="B2743" s="1"/>
      <c r="C2743" s="1"/>
      <c r="D2743" s="1"/>
      <c r="E2743" s="1"/>
      <c r="F2743" s="1"/>
      <c r="G2743" s="3"/>
      <c r="H2743" s="1"/>
    </row>
    <row r="2744" spans="1:8" ht="13.2" x14ac:dyDescent="0.25">
      <c r="A2744" s="1"/>
      <c r="B2744" s="1"/>
      <c r="C2744" s="1"/>
      <c r="D2744" s="1"/>
      <c r="E2744" s="1"/>
      <c r="F2744" s="1"/>
      <c r="G2744" s="3"/>
      <c r="H2744" s="1"/>
    </row>
    <row r="2745" spans="1:8" ht="13.2" x14ac:dyDescent="0.25">
      <c r="A2745" s="2"/>
      <c r="B2745" s="1"/>
      <c r="C2745" s="1"/>
      <c r="D2745" s="1"/>
      <c r="E2745" s="1"/>
      <c r="F2745" s="1"/>
      <c r="G2745" s="1"/>
      <c r="H2745" s="1"/>
    </row>
    <row r="2746" spans="1:8" ht="13.2" x14ac:dyDescent="0.25">
      <c r="A2746" s="2"/>
      <c r="B2746" s="1"/>
      <c r="C2746" s="1"/>
      <c r="D2746" s="1"/>
      <c r="E2746" s="1"/>
      <c r="F2746" s="1"/>
      <c r="G2746" s="1"/>
      <c r="H2746" s="1"/>
    </row>
    <row r="2747" spans="1:8" ht="13.2" x14ac:dyDescent="0.25">
      <c r="A2747" s="1"/>
      <c r="B2747" s="1"/>
      <c r="C2747" s="1"/>
      <c r="D2747" s="1"/>
      <c r="E2747" s="1"/>
      <c r="F2747" s="1"/>
      <c r="G2747" s="1"/>
      <c r="H2747" s="1"/>
    </row>
    <row r="2748" spans="1:8" ht="13.2" x14ac:dyDescent="0.25">
      <c r="A2748" s="1"/>
      <c r="B2748" s="1"/>
      <c r="C2748" s="1"/>
      <c r="D2748" s="1"/>
      <c r="E2748" s="1"/>
      <c r="F2748" s="1"/>
      <c r="G2748" s="1"/>
      <c r="H2748" s="1"/>
    </row>
    <row r="2749" spans="1:8" ht="13.2" x14ac:dyDescent="0.25">
      <c r="A2749" s="1"/>
      <c r="B2749" s="1"/>
      <c r="C2749" s="1"/>
      <c r="D2749" s="1"/>
      <c r="E2749" s="1"/>
      <c r="F2749" s="1"/>
      <c r="G2749" s="1"/>
      <c r="H2749" s="1"/>
    </row>
    <row r="2750" spans="1:8" ht="13.2" x14ac:dyDescent="0.25">
      <c r="A2750" s="1"/>
      <c r="B2750" s="1"/>
      <c r="C2750" s="1"/>
      <c r="D2750" s="1"/>
      <c r="E2750" s="1"/>
      <c r="F2750" s="1"/>
      <c r="G2750" s="3"/>
      <c r="H2750" s="1"/>
    </row>
    <row r="2751" spans="1:8" ht="13.2" x14ac:dyDescent="0.25">
      <c r="A2751" s="1"/>
      <c r="B2751" s="1"/>
      <c r="C2751" s="1"/>
      <c r="D2751" s="1"/>
      <c r="E2751" s="1"/>
      <c r="F2751" s="1"/>
      <c r="G2751" s="1"/>
      <c r="H2751" s="1"/>
    </row>
    <row r="2752" spans="1:8" ht="13.2" x14ac:dyDescent="0.25">
      <c r="A2752" s="2"/>
      <c r="B2752" s="1"/>
      <c r="C2752" s="1"/>
      <c r="D2752" s="1"/>
      <c r="E2752" s="1"/>
      <c r="F2752" s="1"/>
      <c r="G2752" s="1"/>
      <c r="H2752" s="1"/>
    </row>
    <row r="2753" spans="1:8" ht="13.2" x14ac:dyDescent="0.25">
      <c r="A2753" s="1"/>
      <c r="B2753" s="1"/>
      <c r="C2753" s="1"/>
      <c r="D2753" s="1"/>
      <c r="E2753" s="1"/>
      <c r="F2753" s="1"/>
      <c r="G2753" s="1"/>
      <c r="H2753" s="1"/>
    </row>
    <row r="2754" spans="1:8" ht="13.2" x14ac:dyDescent="0.25">
      <c r="A2754" s="1"/>
      <c r="B2754" s="1"/>
      <c r="C2754" s="1"/>
      <c r="D2754" s="1"/>
      <c r="E2754" s="1"/>
      <c r="F2754" s="1"/>
      <c r="G2754" s="3"/>
      <c r="H2754" s="1"/>
    </row>
    <row r="2755" spans="1:8" ht="13.2" x14ac:dyDescent="0.25">
      <c r="A2755" s="2"/>
      <c r="B2755" s="1"/>
      <c r="C2755" s="1"/>
      <c r="D2755" s="1"/>
      <c r="E2755" s="1"/>
      <c r="F2755" s="1"/>
      <c r="G2755" s="3"/>
      <c r="H2755" s="1"/>
    </row>
    <row r="2756" spans="1:8" ht="13.2" x14ac:dyDescent="0.25">
      <c r="A2756" s="1"/>
      <c r="B2756" s="1"/>
      <c r="C2756" s="1"/>
      <c r="D2756" s="1"/>
      <c r="E2756" s="1"/>
      <c r="F2756" s="1"/>
      <c r="G2756" s="1"/>
      <c r="H2756" s="1"/>
    </row>
    <row r="2757" spans="1:8" ht="13.2" x14ac:dyDescent="0.25">
      <c r="A2757" s="2"/>
      <c r="B2757" s="1"/>
      <c r="C2757" s="1"/>
      <c r="D2757" s="1"/>
      <c r="E2757" s="1"/>
      <c r="F2757" s="1"/>
      <c r="G2757" s="1"/>
      <c r="H2757" s="1"/>
    </row>
    <row r="2758" spans="1:8" ht="13.2" x14ac:dyDescent="0.25">
      <c r="A2758" s="1"/>
      <c r="B2758" s="1"/>
      <c r="C2758" s="1"/>
      <c r="D2758" s="1"/>
      <c r="E2758" s="1"/>
      <c r="F2758" s="1"/>
      <c r="G2758" s="1"/>
      <c r="H2758" s="1"/>
    </row>
    <row r="2759" spans="1:8" ht="13.2" x14ac:dyDescent="0.25">
      <c r="A2759" s="1"/>
      <c r="B2759" s="1"/>
      <c r="C2759" s="1"/>
      <c r="D2759" s="1"/>
      <c r="E2759" s="1"/>
      <c r="F2759" s="1"/>
      <c r="G2759" s="3"/>
      <c r="H2759" s="1"/>
    </row>
    <row r="2760" spans="1:8" ht="13.2" x14ac:dyDescent="0.25">
      <c r="A2760" s="1"/>
      <c r="B2760" s="1"/>
      <c r="C2760" s="1"/>
      <c r="D2760" s="1"/>
      <c r="E2760" s="1"/>
      <c r="F2760" s="1"/>
      <c r="G2760" s="3"/>
      <c r="H2760" s="1"/>
    </row>
    <row r="2761" spans="1:8" ht="13.2" x14ac:dyDescent="0.25">
      <c r="A2761" s="1"/>
      <c r="B2761" s="1"/>
      <c r="C2761" s="1"/>
      <c r="D2761" s="1"/>
      <c r="E2761" s="1"/>
      <c r="F2761" s="1"/>
      <c r="G2761" s="3"/>
      <c r="H2761" s="1"/>
    </row>
    <row r="2762" spans="1:8" ht="13.2" x14ac:dyDescent="0.25">
      <c r="A2762" s="1"/>
      <c r="B2762" s="1"/>
      <c r="C2762" s="1"/>
      <c r="D2762" s="1"/>
      <c r="E2762" s="1"/>
      <c r="F2762" s="1"/>
      <c r="G2762" s="1"/>
      <c r="H2762" s="1"/>
    </row>
    <row r="2763" spans="1:8" ht="13.2" x14ac:dyDescent="0.25">
      <c r="A2763" s="1"/>
      <c r="B2763" s="1"/>
      <c r="C2763" s="1"/>
      <c r="D2763" s="1"/>
      <c r="E2763" s="1"/>
      <c r="F2763" s="1"/>
      <c r="G2763" s="1"/>
      <c r="H2763" s="1"/>
    </row>
    <row r="2764" spans="1:8" ht="13.2" x14ac:dyDescent="0.25">
      <c r="A2764" s="1"/>
      <c r="B2764" s="1"/>
      <c r="C2764" s="1"/>
      <c r="D2764" s="1"/>
      <c r="E2764" s="1"/>
      <c r="F2764" s="1"/>
      <c r="G2764" s="3"/>
      <c r="H2764" s="1"/>
    </row>
    <row r="2765" spans="1:8" ht="13.2" x14ac:dyDescent="0.25">
      <c r="A2765" s="1"/>
      <c r="B2765" s="1"/>
      <c r="C2765" s="1"/>
      <c r="D2765" s="1"/>
      <c r="E2765" s="1"/>
      <c r="F2765" s="1"/>
      <c r="G2765" s="1"/>
      <c r="H2765" s="1"/>
    </row>
    <row r="2766" spans="1:8" ht="13.2" x14ac:dyDescent="0.25">
      <c r="A2766" s="1"/>
      <c r="B2766" s="1"/>
      <c r="C2766" s="1"/>
      <c r="D2766" s="1"/>
      <c r="E2766" s="1"/>
      <c r="F2766" s="1"/>
      <c r="G2766" s="3"/>
      <c r="H2766" s="1"/>
    </row>
    <row r="2767" spans="1:8" ht="13.2" x14ac:dyDescent="0.25">
      <c r="A2767" s="2"/>
      <c r="B2767" s="1"/>
      <c r="C2767" s="1"/>
      <c r="D2767" s="1"/>
      <c r="E2767" s="1"/>
      <c r="F2767" s="1"/>
      <c r="G2767" s="1"/>
      <c r="H2767" s="1"/>
    </row>
    <row r="2768" spans="1:8" ht="13.2" x14ac:dyDescent="0.25">
      <c r="A2768" s="1"/>
      <c r="B2768" s="1"/>
      <c r="C2768" s="1"/>
      <c r="D2768" s="1"/>
      <c r="E2768" s="1"/>
      <c r="F2768" s="1"/>
      <c r="G2768" s="3"/>
      <c r="H2768" s="1"/>
    </row>
    <row r="2769" spans="1:8" ht="13.2" x14ac:dyDescent="0.25">
      <c r="A2769" s="2"/>
      <c r="B2769" s="1"/>
      <c r="C2769" s="1"/>
      <c r="D2769" s="1"/>
      <c r="E2769" s="1"/>
      <c r="F2769" s="1"/>
      <c r="G2769" s="1"/>
      <c r="H2769" s="1"/>
    </row>
    <row r="2770" spans="1:8" ht="13.2" x14ac:dyDescent="0.25">
      <c r="A2770" s="2"/>
      <c r="B2770" s="1"/>
      <c r="C2770" s="1"/>
      <c r="D2770" s="1"/>
      <c r="E2770" s="1"/>
      <c r="F2770" s="1"/>
      <c r="G2770" s="1"/>
      <c r="H2770" s="1"/>
    </row>
    <row r="2771" spans="1:8" ht="13.2" x14ac:dyDescent="0.25">
      <c r="A2771" s="1"/>
      <c r="B2771" s="1"/>
      <c r="C2771" s="1"/>
      <c r="D2771" s="1"/>
      <c r="E2771" s="1"/>
      <c r="F2771" s="1"/>
      <c r="G2771" s="1"/>
      <c r="H2771" s="1"/>
    </row>
    <row r="2772" spans="1:8" ht="13.2" x14ac:dyDescent="0.25">
      <c r="A2772" s="1"/>
      <c r="B2772" s="1"/>
      <c r="C2772" s="1"/>
      <c r="D2772" s="1"/>
      <c r="E2772" s="1"/>
      <c r="F2772" s="1"/>
      <c r="G2772" s="1"/>
      <c r="H2772" s="1"/>
    </row>
    <row r="2773" spans="1:8" ht="13.2" x14ac:dyDescent="0.25">
      <c r="A2773" s="1"/>
      <c r="B2773" s="1"/>
      <c r="C2773" s="1"/>
      <c r="D2773" s="1"/>
      <c r="E2773" s="1"/>
      <c r="F2773" s="1"/>
      <c r="G2773" s="1"/>
      <c r="H2773" s="1"/>
    </row>
    <row r="2774" spans="1:8" ht="13.2" x14ac:dyDescent="0.25">
      <c r="A2774" s="2"/>
      <c r="B2774" s="1"/>
      <c r="C2774" s="1"/>
      <c r="D2774" s="1"/>
      <c r="E2774" s="1"/>
      <c r="F2774" s="1"/>
      <c r="G2774" s="3"/>
      <c r="H2774" s="1"/>
    </row>
    <row r="2775" spans="1:8" ht="13.2" x14ac:dyDescent="0.25">
      <c r="A2775" s="2"/>
      <c r="B2775" s="1"/>
      <c r="C2775" s="1"/>
      <c r="D2775" s="1"/>
      <c r="E2775" s="1"/>
      <c r="F2775" s="1"/>
      <c r="G2775" s="1"/>
      <c r="H2775" s="1"/>
    </row>
    <row r="2776" spans="1:8" ht="13.2" x14ac:dyDescent="0.25">
      <c r="A2776" s="2"/>
      <c r="B2776" s="1"/>
      <c r="C2776" s="1"/>
      <c r="D2776" s="1"/>
      <c r="E2776" s="1"/>
      <c r="F2776" s="1"/>
      <c r="G2776" s="1"/>
      <c r="H2776" s="1"/>
    </row>
    <row r="2777" spans="1:8" ht="13.2" x14ac:dyDescent="0.25">
      <c r="A2777" s="2"/>
      <c r="B2777" s="1"/>
      <c r="C2777" s="1"/>
      <c r="D2777" s="1"/>
      <c r="E2777" s="1"/>
      <c r="F2777" s="1"/>
      <c r="G2777" s="1"/>
      <c r="H2777" s="1"/>
    </row>
    <row r="2778" spans="1:8" ht="13.2" x14ac:dyDescent="0.25">
      <c r="A2778" s="1"/>
      <c r="B2778" s="1"/>
      <c r="C2778" s="1"/>
      <c r="D2778" s="1"/>
      <c r="E2778" s="1"/>
      <c r="F2778" s="1"/>
      <c r="G2778" s="1"/>
      <c r="H2778" s="1"/>
    </row>
    <row r="2779" spans="1:8" ht="13.2" x14ac:dyDescent="0.25">
      <c r="A2779" s="1"/>
      <c r="B2779" s="1"/>
      <c r="C2779" s="1"/>
      <c r="D2779" s="1"/>
      <c r="E2779" s="1"/>
      <c r="F2779" s="1"/>
      <c r="G2779" s="1"/>
      <c r="H2779" s="1"/>
    </row>
    <row r="2780" spans="1:8" ht="13.2" x14ac:dyDescent="0.25">
      <c r="A2780" s="1"/>
      <c r="B2780" s="1"/>
      <c r="C2780" s="1"/>
      <c r="D2780" s="1"/>
      <c r="E2780" s="1"/>
      <c r="F2780" s="1"/>
      <c r="G2780" s="1"/>
      <c r="H2780" s="1"/>
    </row>
    <row r="2781" spans="1:8" ht="13.2" x14ac:dyDescent="0.25">
      <c r="A2781" s="1"/>
      <c r="B2781" s="1"/>
      <c r="C2781" s="1"/>
      <c r="D2781" s="1"/>
      <c r="E2781" s="1"/>
      <c r="F2781" s="1"/>
      <c r="G2781" s="1"/>
      <c r="H2781" s="1"/>
    </row>
    <row r="2782" spans="1:8" ht="13.2" x14ac:dyDescent="0.25">
      <c r="A2782" s="2"/>
      <c r="B2782" s="1"/>
      <c r="C2782" s="1"/>
      <c r="D2782" s="1"/>
      <c r="E2782" s="1"/>
      <c r="F2782" s="1"/>
      <c r="G2782" s="1"/>
      <c r="H2782" s="1"/>
    </row>
    <row r="2783" spans="1:8" ht="13.2" x14ac:dyDescent="0.25">
      <c r="A2783" s="1"/>
      <c r="B2783" s="1"/>
      <c r="C2783" s="1"/>
      <c r="D2783" s="1"/>
      <c r="E2783" s="1"/>
      <c r="F2783" s="1"/>
      <c r="G2783" s="1"/>
      <c r="H2783" s="1"/>
    </row>
    <row r="2784" spans="1:8" ht="13.2" x14ac:dyDescent="0.25">
      <c r="A2784" s="1"/>
      <c r="B2784" s="1"/>
      <c r="C2784" s="1"/>
      <c r="D2784" s="1"/>
      <c r="E2784" s="1"/>
      <c r="F2784" s="1"/>
      <c r="G2784" s="1"/>
      <c r="H2784" s="1"/>
    </row>
    <row r="2785" spans="1:8" ht="13.2" x14ac:dyDescent="0.25">
      <c r="A2785" s="1"/>
      <c r="B2785" s="1"/>
      <c r="C2785" s="1"/>
      <c r="D2785" s="1"/>
      <c r="E2785" s="1"/>
      <c r="F2785" s="1"/>
      <c r="G2785" s="1"/>
      <c r="H2785" s="1"/>
    </row>
    <row r="2786" spans="1:8" ht="13.2" x14ac:dyDescent="0.25">
      <c r="A2786" s="1"/>
      <c r="B2786" s="1"/>
      <c r="C2786" s="1"/>
      <c r="D2786" s="1"/>
      <c r="E2786" s="1"/>
      <c r="F2786" s="1"/>
      <c r="G2786" s="3"/>
      <c r="H2786" s="1"/>
    </row>
    <row r="2787" spans="1:8" ht="13.2" x14ac:dyDescent="0.25">
      <c r="A2787" s="1"/>
      <c r="B2787" s="1"/>
      <c r="C2787" s="1"/>
      <c r="D2787" s="1"/>
      <c r="E2787" s="1"/>
      <c r="F2787" s="1"/>
      <c r="G2787" s="3"/>
      <c r="H2787" s="1"/>
    </row>
    <row r="2788" spans="1:8" ht="13.2" x14ac:dyDescent="0.25">
      <c r="A2788" s="2"/>
      <c r="B2788" s="1"/>
      <c r="C2788" s="1"/>
      <c r="D2788" s="1"/>
      <c r="E2788" s="1"/>
      <c r="F2788" s="1"/>
      <c r="G2788" s="3"/>
      <c r="H2788" s="1"/>
    </row>
    <row r="2789" spans="1:8" ht="13.2" x14ac:dyDescent="0.25">
      <c r="A2789" s="2"/>
      <c r="B2789" s="1"/>
      <c r="C2789" s="1"/>
      <c r="D2789" s="1"/>
      <c r="E2789" s="1"/>
      <c r="F2789" s="1"/>
      <c r="G2789" s="3"/>
      <c r="H2789" s="1"/>
    </row>
    <row r="2790" spans="1:8" ht="13.2" x14ac:dyDescent="0.25">
      <c r="A2790" s="1"/>
      <c r="B2790" s="1"/>
      <c r="C2790" s="1"/>
      <c r="D2790" s="1"/>
      <c r="E2790" s="1"/>
      <c r="F2790" s="1"/>
      <c r="G2790" s="1"/>
      <c r="H2790" s="1"/>
    </row>
    <row r="2791" spans="1:8" ht="13.2" x14ac:dyDescent="0.25">
      <c r="A2791" s="1"/>
      <c r="B2791" s="1"/>
      <c r="C2791" s="1"/>
      <c r="D2791" s="1"/>
      <c r="E2791" s="1"/>
      <c r="F2791" s="1"/>
      <c r="G2791" s="1"/>
      <c r="H2791" s="1"/>
    </row>
    <row r="2792" spans="1:8" ht="13.2" x14ac:dyDescent="0.25">
      <c r="A2792" s="1"/>
      <c r="B2792" s="1"/>
      <c r="C2792" s="1"/>
      <c r="D2792" s="1"/>
      <c r="E2792" s="1"/>
      <c r="F2792" s="1"/>
      <c r="G2792" s="1"/>
      <c r="H2792" s="1"/>
    </row>
    <row r="2793" spans="1:8" ht="13.2" x14ac:dyDescent="0.25">
      <c r="A2793" s="1"/>
      <c r="B2793" s="1"/>
      <c r="C2793" s="1"/>
      <c r="D2793" s="1"/>
      <c r="E2793" s="1"/>
      <c r="F2793" s="1"/>
      <c r="G2793" s="3"/>
      <c r="H2793" s="1"/>
    </row>
    <row r="2794" spans="1:8" ht="13.2" x14ac:dyDescent="0.25">
      <c r="A2794" s="2"/>
      <c r="B2794" s="1"/>
      <c r="C2794" s="1"/>
      <c r="D2794" s="1"/>
      <c r="E2794" s="1"/>
      <c r="F2794" s="1"/>
      <c r="G2794" s="1"/>
      <c r="H2794" s="1"/>
    </row>
    <row r="2795" spans="1:8" ht="13.2" x14ac:dyDescent="0.25">
      <c r="A2795" s="2"/>
      <c r="B2795" s="1"/>
      <c r="C2795" s="1"/>
      <c r="D2795" s="1"/>
      <c r="E2795" s="1"/>
      <c r="F2795" s="1"/>
      <c r="G2795" s="3"/>
      <c r="H2795" s="1"/>
    </row>
    <row r="2796" spans="1:8" ht="13.2" x14ac:dyDescent="0.25">
      <c r="A2796" s="1"/>
      <c r="B2796" s="1"/>
      <c r="C2796" s="1"/>
      <c r="D2796" s="1"/>
      <c r="E2796" s="1"/>
      <c r="F2796" s="1"/>
      <c r="G2796" s="3"/>
      <c r="H2796" s="1"/>
    </row>
    <row r="2797" spans="1:8" ht="13.2" x14ac:dyDescent="0.25">
      <c r="A2797" s="1"/>
      <c r="B2797" s="1"/>
      <c r="C2797" s="1"/>
      <c r="D2797" s="1"/>
      <c r="E2797" s="1"/>
      <c r="F2797" s="1"/>
      <c r="G2797" s="3"/>
      <c r="H2797" s="1"/>
    </row>
    <row r="2798" spans="1:8" ht="13.2" x14ac:dyDescent="0.25">
      <c r="A2798" s="2"/>
      <c r="B2798" s="1"/>
      <c r="C2798" s="1"/>
      <c r="D2798" s="1"/>
      <c r="E2798" s="1"/>
      <c r="F2798" s="1"/>
      <c r="G2798" s="3"/>
      <c r="H2798" s="1"/>
    </row>
    <row r="2799" spans="1:8" ht="13.2" x14ac:dyDescent="0.25">
      <c r="A2799" s="1"/>
      <c r="B2799" s="1"/>
      <c r="C2799" s="1"/>
      <c r="D2799" s="1"/>
      <c r="E2799" s="1"/>
      <c r="F2799" s="1"/>
      <c r="G2799" s="1"/>
      <c r="H2799" s="1"/>
    </row>
    <row r="2800" spans="1:8" ht="13.2" x14ac:dyDescent="0.25">
      <c r="A2800" s="1"/>
      <c r="B2800" s="1"/>
      <c r="C2800" s="1"/>
      <c r="D2800" s="1"/>
      <c r="E2800" s="1"/>
      <c r="F2800" s="1"/>
      <c r="G2800" s="3"/>
      <c r="H2800" s="1"/>
    </row>
    <row r="2801" spans="1:8" ht="13.2" x14ac:dyDescent="0.25">
      <c r="A2801" s="1"/>
      <c r="B2801" s="1"/>
      <c r="C2801" s="1"/>
      <c r="D2801" s="1"/>
      <c r="E2801" s="1"/>
      <c r="F2801" s="1"/>
      <c r="G2801" s="3"/>
      <c r="H2801" s="1"/>
    </row>
    <row r="2802" spans="1:8" ht="13.2" x14ac:dyDescent="0.25">
      <c r="A2802" s="1"/>
      <c r="B2802" s="1"/>
      <c r="C2802" s="1"/>
      <c r="D2802" s="1"/>
      <c r="E2802" s="1"/>
      <c r="F2802" s="1"/>
      <c r="G2802" s="3"/>
      <c r="H2802" s="1"/>
    </row>
    <row r="2803" spans="1:8" ht="13.2" x14ac:dyDescent="0.25">
      <c r="A2803" s="1"/>
      <c r="B2803" s="1"/>
      <c r="C2803" s="1"/>
      <c r="D2803" s="1"/>
      <c r="E2803" s="1"/>
      <c r="F2803" s="1"/>
      <c r="G2803" s="3"/>
      <c r="H2803" s="1"/>
    </row>
    <row r="2804" spans="1:8" ht="13.2" x14ac:dyDescent="0.25">
      <c r="A2804" s="1"/>
      <c r="B2804" s="1"/>
      <c r="C2804" s="1"/>
      <c r="D2804" s="1"/>
      <c r="E2804" s="1"/>
      <c r="F2804" s="1"/>
      <c r="G2804" s="3"/>
      <c r="H2804" s="1"/>
    </row>
    <row r="2805" spans="1:8" ht="13.2" x14ac:dyDescent="0.25">
      <c r="A2805" s="2"/>
      <c r="B2805" s="1"/>
      <c r="C2805" s="1"/>
      <c r="D2805" s="1"/>
      <c r="E2805" s="1"/>
      <c r="F2805" s="1"/>
      <c r="G2805" s="3"/>
      <c r="H2805" s="1"/>
    </row>
    <row r="2806" spans="1:8" ht="13.2" x14ac:dyDescent="0.25">
      <c r="A2806" s="1"/>
      <c r="B2806" s="1"/>
      <c r="C2806" s="1"/>
      <c r="D2806" s="1"/>
      <c r="E2806" s="1"/>
      <c r="F2806" s="1"/>
      <c r="G2806" s="3"/>
      <c r="H2806" s="1"/>
    </row>
    <row r="2807" spans="1:8" ht="13.2" x14ac:dyDescent="0.25">
      <c r="A2807" s="1"/>
      <c r="B2807" s="1"/>
      <c r="C2807" s="1"/>
      <c r="D2807" s="1"/>
      <c r="E2807" s="1"/>
      <c r="F2807" s="1"/>
      <c r="G2807" s="3"/>
      <c r="H2807" s="1"/>
    </row>
    <row r="2808" spans="1:8" ht="13.2" x14ac:dyDescent="0.25">
      <c r="A2808" s="1"/>
      <c r="B2808" s="1"/>
      <c r="C2808" s="1"/>
      <c r="D2808" s="1"/>
      <c r="E2808" s="1"/>
      <c r="F2808" s="1"/>
      <c r="G2808" s="1"/>
      <c r="H2808" s="1"/>
    </row>
    <row r="2809" spans="1:8" ht="13.2" x14ac:dyDescent="0.25">
      <c r="A2809" s="1"/>
      <c r="B2809" s="1"/>
      <c r="C2809" s="1"/>
      <c r="D2809" s="1"/>
      <c r="E2809" s="1"/>
      <c r="F2809" s="1"/>
      <c r="G2809" s="1"/>
      <c r="H2809" s="1"/>
    </row>
    <row r="2810" spans="1:8" ht="13.2" x14ac:dyDescent="0.25">
      <c r="A2810" s="1"/>
      <c r="B2810" s="1"/>
      <c r="C2810" s="1"/>
      <c r="D2810" s="1"/>
      <c r="E2810" s="1"/>
      <c r="F2810" s="1"/>
      <c r="G2810" s="1"/>
      <c r="H2810" s="1"/>
    </row>
    <row r="2811" spans="1:8" ht="13.2" x14ac:dyDescent="0.25">
      <c r="A2811" s="1"/>
      <c r="B2811" s="1"/>
      <c r="C2811" s="1"/>
      <c r="D2811" s="1"/>
      <c r="E2811" s="1"/>
      <c r="F2811" s="1"/>
      <c r="G2811" s="1"/>
      <c r="H2811" s="1"/>
    </row>
    <row r="2812" spans="1:8" ht="13.2" x14ac:dyDescent="0.25">
      <c r="A2812" s="1"/>
      <c r="B2812" s="1"/>
      <c r="C2812" s="1"/>
      <c r="D2812" s="1"/>
      <c r="E2812" s="1"/>
      <c r="F2812" s="1"/>
      <c r="G2812" s="1"/>
      <c r="H2812" s="1"/>
    </row>
    <row r="2813" spans="1:8" ht="13.2" x14ac:dyDescent="0.25">
      <c r="A2813" s="1"/>
      <c r="B2813" s="1"/>
      <c r="C2813" s="1"/>
      <c r="D2813" s="1"/>
      <c r="E2813" s="1"/>
      <c r="F2813" s="1"/>
      <c r="G2813" s="1"/>
      <c r="H2813" s="1"/>
    </row>
    <row r="2814" spans="1:8" ht="13.2" x14ac:dyDescent="0.25">
      <c r="A2814" s="1"/>
      <c r="B2814" s="1"/>
      <c r="C2814" s="1"/>
      <c r="D2814" s="1"/>
      <c r="E2814" s="1"/>
      <c r="F2814" s="1"/>
      <c r="G2814" s="1"/>
      <c r="H2814" s="1"/>
    </row>
    <row r="2815" spans="1:8" ht="13.2" x14ac:dyDescent="0.25">
      <c r="A2815" s="1"/>
      <c r="B2815" s="1"/>
      <c r="C2815" s="1"/>
      <c r="D2815" s="1"/>
      <c r="E2815" s="1"/>
      <c r="F2815" s="1"/>
      <c r="G2815" s="3"/>
      <c r="H2815" s="1"/>
    </row>
    <row r="2816" spans="1:8" ht="13.2" x14ac:dyDescent="0.25">
      <c r="A2816" s="1"/>
      <c r="B2816" s="1"/>
      <c r="C2816" s="1"/>
      <c r="D2816" s="1"/>
      <c r="E2816" s="1"/>
      <c r="F2816" s="1"/>
      <c r="G2816" s="1"/>
      <c r="H2816" s="1"/>
    </row>
    <row r="2817" spans="1:8" ht="13.2" x14ac:dyDescent="0.25">
      <c r="A2817" s="2"/>
      <c r="B2817" s="1"/>
      <c r="C2817" s="1"/>
      <c r="D2817" s="1"/>
      <c r="E2817" s="1"/>
      <c r="F2817" s="1"/>
      <c r="G2817" s="1"/>
      <c r="H2817" s="1"/>
    </row>
    <row r="2818" spans="1:8" ht="13.2" x14ac:dyDescent="0.25">
      <c r="A2818" s="2"/>
      <c r="B2818" s="1"/>
      <c r="C2818" s="1"/>
      <c r="D2818" s="1"/>
      <c r="E2818" s="1"/>
      <c r="F2818" s="1"/>
      <c r="G2818" s="1"/>
      <c r="H2818" s="1"/>
    </row>
    <row r="2819" spans="1:8" ht="13.2" x14ac:dyDescent="0.25">
      <c r="A2819" s="1"/>
      <c r="B2819" s="1"/>
      <c r="C2819" s="1"/>
      <c r="D2819" s="1"/>
      <c r="E2819" s="1"/>
      <c r="F2819" s="1"/>
      <c r="G2819" s="1"/>
      <c r="H2819" s="1"/>
    </row>
    <row r="2820" spans="1:8" ht="13.2" x14ac:dyDescent="0.25">
      <c r="A2820" s="1"/>
      <c r="B2820" s="1"/>
      <c r="C2820" s="1"/>
      <c r="D2820" s="1"/>
      <c r="E2820" s="1"/>
      <c r="F2820" s="1"/>
      <c r="G2820" s="1"/>
      <c r="H2820" s="1"/>
    </row>
    <row r="2821" spans="1:8" ht="13.2" x14ac:dyDescent="0.25">
      <c r="A2821" s="1"/>
      <c r="B2821" s="1"/>
      <c r="C2821" s="1"/>
      <c r="D2821" s="1"/>
      <c r="E2821" s="1"/>
      <c r="F2821" s="1"/>
      <c r="G2821" s="1"/>
      <c r="H2821" s="1"/>
    </row>
    <row r="2822" spans="1:8" ht="13.2" x14ac:dyDescent="0.25">
      <c r="A2822" s="1"/>
      <c r="B2822" s="1"/>
      <c r="C2822" s="1"/>
      <c r="D2822" s="1"/>
      <c r="E2822" s="1"/>
      <c r="F2822" s="1"/>
      <c r="G2822" s="1"/>
      <c r="H2822" s="1"/>
    </row>
    <row r="2823" spans="1:8" ht="13.2" x14ac:dyDescent="0.25">
      <c r="A2823" s="1"/>
      <c r="B2823" s="1"/>
      <c r="C2823" s="1"/>
      <c r="D2823" s="1"/>
      <c r="E2823" s="1"/>
      <c r="F2823" s="1"/>
      <c r="G2823" s="1"/>
      <c r="H2823" s="1"/>
    </row>
    <row r="2824" spans="1:8" ht="13.2" x14ac:dyDescent="0.25">
      <c r="A2824" s="1"/>
      <c r="B2824" s="1"/>
      <c r="C2824" s="1"/>
      <c r="D2824" s="1"/>
      <c r="E2824" s="1"/>
      <c r="F2824" s="1"/>
      <c r="G2824" s="1"/>
      <c r="H2824" s="1"/>
    </row>
    <row r="2825" spans="1:8" ht="13.2" x14ac:dyDescent="0.25">
      <c r="A2825" s="1"/>
      <c r="B2825" s="1"/>
      <c r="C2825" s="1"/>
      <c r="D2825" s="1"/>
      <c r="E2825" s="1"/>
      <c r="F2825" s="1"/>
      <c r="G2825" s="3"/>
      <c r="H2825" s="1"/>
    </row>
    <row r="2826" spans="1:8" ht="13.2" x14ac:dyDescent="0.25">
      <c r="A2826" s="1"/>
      <c r="B2826" s="1"/>
      <c r="C2826" s="1"/>
      <c r="D2826" s="1"/>
      <c r="E2826" s="1"/>
      <c r="F2826" s="1"/>
      <c r="G2826" s="1"/>
      <c r="H2826" s="1"/>
    </row>
    <row r="2827" spans="1:8" ht="13.2" x14ac:dyDescent="0.25">
      <c r="A2827" s="1"/>
      <c r="B2827" s="1"/>
      <c r="C2827" s="1"/>
      <c r="D2827" s="1"/>
      <c r="E2827" s="1"/>
      <c r="F2827" s="1"/>
      <c r="G2827" s="3"/>
      <c r="H2827" s="1"/>
    </row>
    <row r="2828" spans="1:8" ht="13.2" x14ac:dyDescent="0.25">
      <c r="A2828" s="2"/>
      <c r="B2828" s="1"/>
      <c r="C2828" s="1"/>
      <c r="D2828" s="1"/>
      <c r="E2828" s="1"/>
      <c r="F2828" s="1"/>
      <c r="G2828" s="1"/>
      <c r="H2828" s="1"/>
    </row>
    <row r="2829" spans="1:8" ht="13.2" x14ac:dyDescent="0.25">
      <c r="A2829" s="2"/>
      <c r="B2829" s="1"/>
      <c r="C2829" s="1"/>
      <c r="D2829" s="1"/>
      <c r="E2829" s="1"/>
      <c r="F2829" s="1"/>
      <c r="G2829" s="1"/>
      <c r="H2829" s="1"/>
    </row>
    <row r="2830" spans="1:8" ht="13.2" x14ac:dyDescent="0.25">
      <c r="A2830" s="2"/>
      <c r="B2830" s="1"/>
      <c r="C2830" s="1"/>
      <c r="D2830" s="1"/>
      <c r="E2830" s="1"/>
      <c r="F2830" s="1"/>
      <c r="G2830" s="3"/>
      <c r="H2830" s="1"/>
    </row>
    <row r="2831" spans="1:8" ht="13.2" x14ac:dyDescent="0.25">
      <c r="A2831" s="2"/>
      <c r="B2831" s="1"/>
      <c r="C2831" s="1"/>
      <c r="D2831" s="1"/>
      <c r="E2831" s="1"/>
      <c r="F2831" s="1"/>
      <c r="G2831" s="1"/>
      <c r="H2831" s="1"/>
    </row>
    <row r="2832" spans="1:8" ht="13.2" x14ac:dyDescent="0.25">
      <c r="A2832" s="1"/>
      <c r="B2832" s="1"/>
      <c r="C2832" s="1"/>
      <c r="D2832" s="1"/>
      <c r="E2832" s="1"/>
      <c r="F2832" s="1"/>
      <c r="G2832" s="1"/>
      <c r="H2832" s="1"/>
    </row>
    <row r="2833" spans="1:8" ht="13.2" x14ac:dyDescent="0.25">
      <c r="A2833" s="2"/>
      <c r="B2833" s="1"/>
      <c r="C2833" s="1"/>
      <c r="D2833" s="1"/>
      <c r="E2833" s="1"/>
      <c r="F2833" s="1"/>
      <c r="G2833" s="1"/>
      <c r="H2833" s="1"/>
    </row>
    <row r="2834" spans="1:8" ht="13.2" x14ac:dyDescent="0.25">
      <c r="A2834" s="1"/>
      <c r="B2834" s="1"/>
      <c r="C2834" s="1"/>
      <c r="D2834" s="1"/>
      <c r="E2834" s="1"/>
      <c r="F2834" s="1"/>
      <c r="G2834" s="1"/>
      <c r="H2834" s="1"/>
    </row>
    <row r="2835" spans="1:8" ht="13.2" x14ac:dyDescent="0.25">
      <c r="A2835" s="1"/>
      <c r="B2835" s="1"/>
      <c r="C2835" s="1"/>
      <c r="D2835" s="1"/>
      <c r="E2835" s="1"/>
      <c r="F2835" s="1"/>
      <c r="G2835" s="1"/>
      <c r="H2835" s="1"/>
    </row>
    <row r="2836" spans="1:8" ht="13.2" x14ac:dyDescent="0.25">
      <c r="A2836" s="1"/>
      <c r="B2836" s="1"/>
      <c r="C2836" s="1"/>
      <c r="D2836" s="1"/>
      <c r="E2836" s="1"/>
      <c r="F2836" s="1"/>
      <c r="G2836" s="3"/>
      <c r="H2836" s="1"/>
    </row>
    <row r="2837" spans="1:8" ht="13.2" x14ac:dyDescent="0.25">
      <c r="A2837" s="2"/>
      <c r="B2837" s="1"/>
      <c r="C2837" s="1"/>
      <c r="D2837" s="1"/>
      <c r="E2837" s="1"/>
      <c r="F2837" s="1"/>
      <c r="G2837" s="3"/>
      <c r="H2837" s="1"/>
    </row>
    <row r="2838" spans="1:8" ht="13.2" x14ac:dyDescent="0.25">
      <c r="A2838" s="1"/>
      <c r="B2838" s="1"/>
      <c r="C2838" s="1"/>
      <c r="D2838" s="1"/>
      <c r="E2838" s="1"/>
      <c r="F2838" s="1"/>
      <c r="G2838" s="1"/>
      <c r="H2838" s="1"/>
    </row>
    <row r="2839" spans="1:8" ht="13.2" x14ac:dyDescent="0.25">
      <c r="A2839" s="1"/>
      <c r="B2839" s="1"/>
      <c r="C2839" s="1"/>
      <c r="D2839" s="1"/>
      <c r="E2839" s="1"/>
      <c r="F2839" s="1"/>
      <c r="G2839" s="1"/>
      <c r="H2839" s="1"/>
    </row>
    <row r="2840" spans="1:8" ht="13.2" x14ac:dyDescent="0.25">
      <c r="A2840" s="1"/>
      <c r="B2840" s="1"/>
      <c r="C2840" s="1"/>
      <c r="D2840" s="1"/>
      <c r="E2840" s="1"/>
      <c r="F2840" s="1"/>
      <c r="G2840" s="3"/>
      <c r="H2840" s="1"/>
    </row>
    <row r="2841" spans="1:8" ht="13.2" x14ac:dyDescent="0.25">
      <c r="A2841" s="1"/>
      <c r="B2841" s="1"/>
      <c r="C2841" s="1"/>
      <c r="D2841" s="1"/>
      <c r="E2841" s="1"/>
      <c r="F2841" s="1"/>
      <c r="G2841" s="1"/>
      <c r="H2841" s="1"/>
    </row>
    <row r="2842" spans="1:8" ht="13.2" x14ac:dyDescent="0.25">
      <c r="A2842" s="1"/>
      <c r="B2842" s="1"/>
      <c r="C2842" s="1"/>
      <c r="D2842" s="1"/>
      <c r="E2842" s="1"/>
      <c r="F2842" s="1"/>
      <c r="G2842" s="1"/>
      <c r="H2842" s="1"/>
    </row>
    <row r="2843" spans="1:8" ht="13.2" x14ac:dyDescent="0.25">
      <c r="A2843" s="1"/>
      <c r="B2843" s="1"/>
      <c r="C2843" s="1"/>
      <c r="D2843" s="1"/>
      <c r="E2843" s="1"/>
      <c r="F2843" s="1"/>
      <c r="G2843" s="3"/>
      <c r="H2843" s="1"/>
    </row>
    <row r="2844" spans="1:8" ht="13.2" x14ac:dyDescent="0.25">
      <c r="A2844" s="2"/>
      <c r="B2844" s="1"/>
      <c r="C2844" s="1"/>
      <c r="D2844" s="1"/>
      <c r="E2844" s="1"/>
      <c r="F2844" s="1"/>
      <c r="G2844" s="3"/>
      <c r="H2844" s="1"/>
    </row>
    <row r="2845" spans="1:8" ht="13.2" x14ac:dyDescent="0.25">
      <c r="A2845" s="1"/>
      <c r="B2845" s="1"/>
      <c r="C2845" s="1"/>
      <c r="D2845" s="1"/>
      <c r="E2845" s="1"/>
      <c r="F2845" s="1"/>
      <c r="G2845" s="1"/>
      <c r="H2845" s="1"/>
    </row>
    <row r="2846" spans="1:8" ht="13.2" x14ac:dyDescent="0.25">
      <c r="A2846" s="1"/>
      <c r="B2846" s="1"/>
      <c r="C2846" s="1"/>
      <c r="D2846" s="1"/>
      <c r="E2846" s="1"/>
      <c r="F2846" s="1"/>
      <c r="G2846" s="1"/>
      <c r="H2846" s="1"/>
    </row>
    <row r="2847" spans="1:8" ht="13.2" x14ac:dyDescent="0.25">
      <c r="A2847" s="2"/>
      <c r="B2847" s="1"/>
      <c r="C2847" s="1"/>
      <c r="D2847" s="1"/>
      <c r="E2847" s="1"/>
      <c r="F2847" s="1"/>
      <c r="G2847" s="1"/>
      <c r="H2847" s="1"/>
    </row>
    <row r="2848" spans="1:8" ht="13.2" x14ac:dyDescent="0.25">
      <c r="A2848" s="1"/>
      <c r="B2848" s="1"/>
      <c r="C2848" s="1"/>
      <c r="D2848" s="1"/>
      <c r="E2848" s="1"/>
      <c r="F2848" s="1"/>
      <c r="G2848" s="1"/>
      <c r="H2848" s="1"/>
    </row>
    <row r="2849" spans="1:8" ht="13.2" x14ac:dyDescent="0.25">
      <c r="A2849" s="1"/>
      <c r="B2849" s="1"/>
      <c r="C2849" s="1"/>
      <c r="D2849" s="1"/>
      <c r="E2849" s="1"/>
      <c r="F2849" s="1"/>
      <c r="G2849" s="3"/>
      <c r="H2849" s="1"/>
    </row>
    <row r="2850" spans="1:8" ht="13.2" x14ac:dyDescent="0.25">
      <c r="A2850" s="2"/>
      <c r="B2850" s="1"/>
      <c r="C2850" s="1"/>
      <c r="D2850" s="1"/>
      <c r="E2850" s="1"/>
      <c r="F2850" s="1"/>
      <c r="G2850" s="1"/>
      <c r="H2850" s="1"/>
    </row>
    <row r="2851" spans="1:8" ht="13.2" x14ac:dyDescent="0.25">
      <c r="A2851" s="1"/>
      <c r="B2851" s="1"/>
      <c r="C2851" s="1"/>
      <c r="D2851" s="1"/>
      <c r="E2851" s="1"/>
      <c r="F2851" s="1"/>
      <c r="G2851" s="3"/>
      <c r="H2851" s="1"/>
    </row>
    <row r="2852" spans="1:8" ht="13.2" x14ac:dyDescent="0.25">
      <c r="A2852" s="2"/>
      <c r="B2852" s="1"/>
      <c r="C2852" s="1"/>
      <c r="D2852" s="1"/>
      <c r="E2852" s="1"/>
      <c r="F2852" s="1"/>
      <c r="G2852" s="1"/>
      <c r="H2852" s="1"/>
    </row>
    <row r="2853" spans="1:8" ht="13.2" x14ac:dyDescent="0.25">
      <c r="A2853" s="2"/>
      <c r="B2853" s="1"/>
      <c r="C2853" s="1"/>
      <c r="D2853" s="1"/>
      <c r="E2853" s="1"/>
      <c r="F2853" s="1"/>
      <c r="G2853" s="1"/>
      <c r="H2853" s="1"/>
    </row>
    <row r="2854" spans="1:8" ht="13.2" x14ac:dyDescent="0.25">
      <c r="A2854" s="1"/>
      <c r="B2854" s="1"/>
      <c r="C2854" s="1"/>
      <c r="D2854" s="1"/>
      <c r="E2854" s="1"/>
      <c r="F2854" s="1"/>
      <c r="G2854" s="1"/>
      <c r="H2854" s="1"/>
    </row>
    <row r="2855" spans="1:8" ht="13.2" x14ac:dyDescent="0.25">
      <c r="A2855" s="1"/>
      <c r="B2855" s="1"/>
      <c r="C2855" s="1"/>
      <c r="D2855" s="1"/>
      <c r="E2855" s="1"/>
      <c r="F2855" s="1"/>
      <c r="G2855" s="1"/>
      <c r="H2855" s="1"/>
    </row>
    <row r="2856" spans="1:8" ht="13.2" x14ac:dyDescent="0.25">
      <c r="A2856" s="2"/>
      <c r="B2856" s="1"/>
      <c r="C2856" s="1"/>
      <c r="D2856" s="1"/>
      <c r="E2856" s="1"/>
      <c r="F2856" s="1"/>
      <c r="G2856" s="1"/>
      <c r="H2856" s="1"/>
    </row>
    <row r="2857" spans="1:8" ht="13.2" x14ac:dyDescent="0.25">
      <c r="A2857" s="2"/>
      <c r="B2857" s="1"/>
      <c r="C2857" s="1"/>
      <c r="D2857" s="1"/>
      <c r="E2857" s="1"/>
      <c r="F2857" s="1"/>
      <c r="G2857" s="1"/>
      <c r="H2857" s="1"/>
    </row>
    <row r="2858" spans="1:8" ht="13.2" x14ac:dyDescent="0.25">
      <c r="A2858" s="1"/>
      <c r="B2858" s="1"/>
      <c r="C2858" s="1"/>
      <c r="D2858" s="1"/>
      <c r="E2858" s="1"/>
      <c r="F2858" s="1"/>
      <c r="G2858" s="1"/>
      <c r="H2858" s="1"/>
    </row>
    <row r="2859" spans="1:8" ht="13.2" x14ac:dyDescent="0.25">
      <c r="A2859" s="1"/>
      <c r="B2859" s="1"/>
      <c r="C2859" s="1"/>
      <c r="D2859" s="1"/>
      <c r="E2859" s="1"/>
      <c r="F2859" s="1"/>
      <c r="G2859" s="1"/>
      <c r="H2859" s="1"/>
    </row>
    <row r="2860" spans="1:8" ht="13.2" x14ac:dyDescent="0.25">
      <c r="A2860" s="2"/>
      <c r="B2860" s="1"/>
      <c r="C2860" s="1"/>
      <c r="D2860" s="1"/>
      <c r="E2860" s="1"/>
      <c r="F2860" s="1"/>
      <c r="G2860" s="3"/>
      <c r="H2860" s="1"/>
    </row>
    <row r="2861" spans="1:8" ht="13.2" x14ac:dyDescent="0.25">
      <c r="A2861" s="1"/>
      <c r="B2861" s="1"/>
      <c r="C2861" s="1"/>
      <c r="D2861" s="1"/>
      <c r="E2861" s="1"/>
      <c r="F2861" s="1"/>
      <c r="G2861" s="1"/>
      <c r="H2861" s="1"/>
    </row>
    <row r="2862" spans="1:8" ht="13.2" x14ac:dyDescent="0.25">
      <c r="A2862" s="2"/>
      <c r="B2862" s="1"/>
      <c r="C2862" s="1"/>
      <c r="D2862" s="1"/>
      <c r="E2862" s="1"/>
      <c r="F2862" s="1"/>
      <c r="G2862" s="3"/>
      <c r="H2862" s="1"/>
    </row>
    <row r="2863" spans="1:8" ht="13.2" x14ac:dyDescent="0.25">
      <c r="A2863" s="1"/>
      <c r="B2863" s="1"/>
      <c r="C2863" s="1"/>
      <c r="D2863" s="1"/>
      <c r="E2863" s="1"/>
      <c r="F2863" s="1"/>
      <c r="G2863" s="3"/>
      <c r="H2863" s="1"/>
    </row>
    <row r="2864" spans="1:8" ht="13.2" x14ac:dyDescent="0.25">
      <c r="A2864" s="1"/>
      <c r="B2864" s="1"/>
      <c r="C2864" s="1"/>
      <c r="D2864" s="1"/>
      <c r="E2864" s="1"/>
      <c r="F2864" s="1"/>
      <c r="G2864" s="1"/>
      <c r="H2864" s="1"/>
    </row>
    <row r="2865" spans="1:8" ht="13.2" x14ac:dyDescent="0.25">
      <c r="A2865" s="1"/>
      <c r="B2865" s="1"/>
      <c r="C2865" s="1"/>
      <c r="D2865" s="1"/>
      <c r="E2865" s="1"/>
      <c r="F2865" s="1"/>
      <c r="G2865" s="1"/>
      <c r="H2865" s="1"/>
    </row>
    <row r="2866" spans="1:8" ht="13.2" x14ac:dyDescent="0.25">
      <c r="A2866" s="1"/>
      <c r="B2866" s="1"/>
      <c r="C2866" s="1"/>
      <c r="D2866" s="1"/>
      <c r="E2866" s="1"/>
      <c r="F2866" s="1"/>
      <c r="G2866" s="1"/>
      <c r="H2866" s="1"/>
    </row>
    <row r="2867" spans="1:8" ht="13.2" x14ac:dyDescent="0.25">
      <c r="A2867" s="1"/>
      <c r="B2867" s="1"/>
      <c r="C2867" s="1"/>
      <c r="D2867" s="1"/>
      <c r="E2867" s="1"/>
      <c r="F2867" s="1"/>
      <c r="G2867" s="1"/>
      <c r="H2867" s="1"/>
    </row>
    <row r="2868" spans="1:8" ht="13.2" x14ac:dyDescent="0.25">
      <c r="A2868" s="1"/>
      <c r="B2868" s="1"/>
      <c r="C2868" s="1"/>
      <c r="D2868" s="1"/>
      <c r="E2868" s="1"/>
      <c r="F2868" s="1"/>
      <c r="G2868" s="3"/>
      <c r="H2868" s="1"/>
    </row>
    <row r="2869" spans="1:8" ht="13.2" x14ac:dyDescent="0.25">
      <c r="A2869" s="2"/>
      <c r="B2869" s="1"/>
      <c r="C2869" s="1"/>
      <c r="D2869" s="1"/>
      <c r="E2869" s="1"/>
      <c r="F2869" s="1"/>
      <c r="G2869" s="1"/>
      <c r="H2869" s="1"/>
    </row>
    <row r="2870" spans="1:8" ht="13.2" x14ac:dyDescent="0.25">
      <c r="A2870" s="2"/>
      <c r="B2870" s="1"/>
      <c r="C2870" s="1"/>
      <c r="D2870" s="1"/>
      <c r="E2870" s="1"/>
      <c r="F2870" s="1"/>
      <c r="G2870" s="3"/>
      <c r="H2870" s="1"/>
    </row>
    <row r="2871" spans="1:8" ht="13.2" x14ac:dyDescent="0.25">
      <c r="A2871" s="1"/>
      <c r="B2871" s="1"/>
      <c r="C2871" s="1"/>
      <c r="D2871" s="1"/>
      <c r="E2871" s="1"/>
      <c r="F2871" s="1"/>
      <c r="G2871" s="3"/>
      <c r="H2871" s="1"/>
    </row>
    <row r="2872" spans="1:8" ht="13.2" x14ac:dyDescent="0.25">
      <c r="A2872" s="1"/>
      <c r="B2872" s="1"/>
      <c r="C2872" s="1"/>
      <c r="D2872" s="1"/>
      <c r="E2872" s="1"/>
      <c r="F2872" s="1"/>
      <c r="G2872" s="1"/>
      <c r="H2872" s="1"/>
    </row>
    <row r="2873" spans="1:8" ht="13.2" x14ac:dyDescent="0.25">
      <c r="A2873" s="1"/>
      <c r="B2873" s="1"/>
      <c r="C2873" s="1"/>
      <c r="D2873" s="1"/>
      <c r="E2873" s="1"/>
      <c r="F2873" s="1"/>
      <c r="G2873" s="1"/>
      <c r="H2873" s="1"/>
    </row>
    <row r="2874" spans="1:8" ht="13.2" x14ac:dyDescent="0.25">
      <c r="A2874" s="2"/>
      <c r="B2874" s="1"/>
      <c r="C2874" s="1"/>
      <c r="D2874" s="1"/>
      <c r="E2874" s="1"/>
      <c r="F2874" s="1"/>
      <c r="G2874" s="1"/>
      <c r="H2874" s="1"/>
    </row>
    <row r="2875" spans="1:8" ht="13.2" x14ac:dyDescent="0.25">
      <c r="A2875" s="1"/>
      <c r="B2875" s="1"/>
      <c r="C2875" s="1"/>
      <c r="D2875" s="1"/>
      <c r="E2875" s="1"/>
      <c r="F2875" s="1"/>
      <c r="G2875" s="1"/>
      <c r="H2875" s="1"/>
    </row>
    <row r="2876" spans="1:8" ht="13.2" x14ac:dyDescent="0.25">
      <c r="A2876" s="2"/>
      <c r="B2876" s="1"/>
      <c r="C2876" s="1"/>
      <c r="D2876" s="1"/>
      <c r="E2876" s="1"/>
      <c r="F2876" s="1"/>
      <c r="G2876" s="1"/>
      <c r="H2876" s="1"/>
    </row>
    <row r="2877" spans="1:8" ht="13.2" x14ac:dyDescent="0.25">
      <c r="A2877" s="1"/>
      <c r="B2877" s="1"/>
      <c r="C2877" s="1"/>
      <c r="D2877" s="1"/>
      <c r="E2877" s="1"/>
      <c r="F2877" s="1"/>
      <c r="G2877" s="1"/>
      <c r="H2877" s="1"/>
    </row>
    <row r="2878" spans="1:8" ht="13.2" x14ac:dyDescent="0.25">
      <c r="A2878" s="2"/>
      <c r="B2878" s="1"/>
      <c r="C2878" s="1"/>
      <c r="D2878" s="1"/>
      <c r="E2878" s="1"/>
      <c r="F2878" s="1"/>
      <c r="G2878" s="3"/>
      <c r="H2878" s="1"/>
    </row>
    <row r="2879" spans="1:8" ht="13.2" x14ac:dyDescent="0.25">
      <c r="A2879" s="1"/>
      <c r="B2879" s="1"/>
      <c r="C2879" s="1"/>
      <c r="D2879" s="1"/>
      <c r="E2879" s="1"/>
      <c r="F2879" s="1"/>
      <c r="G2879" s="1"/>
      <c r="H2879" s="1"/>
    </row>
    <row r="2880" spans="1:8" ht="13.2" x14ac:dyDescent="0.25">
      <c r="A2880" s="1"/>
      <c r="B2880" s="1"/>
      <c r="C2880" s="1"/>
      <c r="D2880" s="1"/>
      <c r="E2880" s="1"/>
      <c r="F2880" s="1"/>
      <c r="G2880" s="3"/>
      <c r="H2880" s="1"/>
    </row>
    <row r="2881" spans="1:8" ht="13.2" x14ac:dyDescent="0.25">
      <c r="A2881" s="1"/>
      <c r="B2881" s="1"/>
      <c r="C2881" s="1"/>
      <c r="D2881" s="1"/>
      <c r="E2881" s="1"/>
      <c r="F2881" s="1"/>
      <c r="G2881" s="3"/>
      <c r="H2881" s="1"/>
    </row>
    <row r="2882" spans="1:8" ht="13.2" x14ac:dyDescent="0.25">
      <c r="A2882" s="2"/>
      <c r="B2882" s="1"/>
      <c r="C2882" s="1"/>
      <c r="D2882" s="1"/>
      <c r="E2882" s="1"/>
      <c r="F2882" s="1"/>
      <c r="G2882" s="1"/>
      <c r="H2882" s="1"/>
    </row>
    <row r="2883" spans="1:8" ht="13.2" x14ac:dyDescent="0.25">
      <c r="A2883" s="2"/>
      <c r="B2883" s="1"/>
      <c r="C2883" s="1"/>
      <c r="D2883" s="1"/>
      <c r="E2883" s="1"/>
      <c r="F2883" s="1"/>
      <c r="G2883" s="1"/>
      <c r="H2883" s="1"/>
    </row>
    <row r="2884" spans="1:8" ht="13.2" x14ac:dyDescent="0.25">
      <c r="A2884" s="1"/>
      <c r="B2884" s="1"/>
      <c r="C2884" s="1"/>
      <c r="D2884" s="1"/>
      <c r="E2884" s="1"/>
      <c r="F2884" s="1"/>
      <c r="G2884" s="3"/>
      <c r="H2884" s="1"/>
    </row>
    <row r="2885" spans="1:8" ht="13.2" x14ac:dyDescent="0.25">
      <c r="A2885" s="1"/>
      <c r="B2885" s="1"/>
      <c r="C2885" s="1"/>
      <c r="D2885" s="1"/>
      <c r="E2885" s="1"/>
      <c r="F2885" s="1"/>
      <c r="G2885" s="3"/>
      <c r="H2885" s="1"/>
    </row>
    <row r="2886" spans="1:8" ht="13.2" x14ac:dyDescent="0.25">
      <c r="A2886" s="1"/>
      <c r="B2886" s="1"/>
      <c r="C2886" s="1"/>
      <c r="D2886" s="1"/>
      <c r="E2886" s="1"/>
      <c r="F2886" s="1"/>
      <c r="G2886" s="1"/>
      <c r="H2886" s="1"/>
    </row>
    <row r="2887" spans="1:8" ht="13.2" x14ac:dyDescent="0.25">
      <c r="A2887" s="2"/>
      <c r="B2887" s="1"/>
      <c r="C2887" s="1"/>
      <c r="D2887" s="1"/>
      <c r="E2887" s="1"/>
      <c r="F2887" s="1"/>
      <c r="G2887" s="1"/>
      <c r="H2887" s="1"/>
    </row>
    <row r="2888" spans="1:8" ht="13.2" x14ac:dyDescent="0.25">
      <c r="A2888" s="1"/>
      <c r="B2888" s="1"/>
      <c r="C2888" s="1"/>
      <c r="D2888" s="1"/>
      <c r="E2888" s="1"/>
      <c r="F2888" s="1"/>
      <c r="G2888" s="3"/>
      <c r="H2888" s="1"/>
    </row>
    <row r="2889" spans="1:8" ht="13.2" x14ac:dyDescent="0.25">
      <c r="A2889" s="1"/>
      <c r="B2889" s="1"/>
      <c r="C2889" s="1"/>
      <c r="D2889" s="1"/>
      <c r="E2889" s="1"/>
      <c r="F2889" s="1"/>
      <c r="G2889" s="1"/>
      <c r="H2889" s="1"/>
    </row>
    <row r="2890" spans="1:8" ht="13.2" x14ac:dyDescent="0.25">
      <c r="A2890" s="2"/>
      <c r="B2890" s="1"/>
      <c r="C2890" s="1"/>
      <c r="D2890" s="1"/>
      <c r="E2890" s="1"/>
      <c r="F2890" s="1"/>
      <c r="G2890" s="1"/>
      <c r="H2890" s="1"/>
    </row>
    <row r="2891" spans="1:8" ht="13.2" x14ac:dyDescent="0.25">
      <c r="A2891" s="1"/>
      <c r="B2891" s="1"/>
      <c r="C2891" s="1"/>
      <c r="D2891" s="1"/>
      <c r="E2891" s="1"/>
      <c r="F2891" s="1"/>
      <c r="G2891" s="1"/>
      <c r="H2891" s="1"/>
    </row>
    <row r="2892" spans="1:8" ht="13.2" x14ac:dyDescent="0.25">
      <c r="A2892" s="2"/>
      <c r="B2892" s="1"/>
      <c r="C2892" s="1"/>
      <c r="D2892" s="1"/>
      <c r="E2892" s="1"/>
      <c r="F2892" s="1"/>
      <c r="G2892" s="1"/>
      <c r="H2892" s="1"/>
    </row>
    <row r="2893" spans="1:8" ht="13.2" x14ac:dyDescent="0.25">
      <c r="A2893" s="1"/>
      <c r="B2893" s="1"/>
      <c r="C2893" s="1"/>
      <c r="D2893" s="1"/>
      <c r="E2893" s="1"/>
      <c r="F2893" s="1"/>
      <c r="G2893" s="1"/>
      <c r="H2893" s="1"/>
    </row>
    <row r="2894" spans="1:8" ht="13.2" x14ac:dyDescent="0.25">
      <c r="A2894" s="2"/>
      <c r="B2894" s="1"/>
      <c r="C2894" s="1"/>
      <c r="D2894" s="1"/>
      <c r="E2894" s="1"/>
      <c r="F2894" s="1"/>
      <c r="G2894" s="3"/>
      <c r="H2894" s="1"/>
    </row>
    <row r="2895" spans="1:8" ht="13.2" x14ac:dyDescent="0.25">
      <c r="A2895" s="1"/>
      <c r="B2895" s="1"/>
      <c r="C2895" s="1"/>
      <c r="D2895" s="1"/>
      <c r="E2895" s="1"/>
      <c r="F2895" s="1"/>
      <c r="G2895" s="3"/>
      <c r="H2895" s="1"/>
    </row>
    <row r="2896" spans="1:8" ht="13.2" x14ac:dyDescent="0.25">
      <c r="A2896" s="1"/>
      <c r="B2896" s="1"/>
      <c r="C2896" s="1"/>
      <c r="D2896" s="1"/>
      <c r="E2896" s="1"/>
      <c r="F2896" s="1"/>
      <c r="G2896" s="3"/>
      <c r="H2896" s="1"/>
    </row>
    <row r="2897" spans="1:8" ht="13.2" x14ac:dyDescent="0.25">
      <c r="A2897" s="1"/>
      <c r="B2897" s="1"/>
      <c r="C2897" s="1"/>
      <c r="D2897" s="1"/>
      <c r="E2897" s="1"/>
      <c r="F2897" s="1"/>
      <c r="G2897" s="1"/>
      <c r="H2897" s="1"/>
    </row>
    <row r="2898" spans="1:8" ht="13.2" x14ac:dyDescent="0.25">
      <c r="A2898" s="1"/>
      <c r="B2898" s="1"/>
      <c r="C2898" s="1"/>
      <c r="D2898" s="1"/>
      <c r="E2898" s="1"/>
      <c r="F2898" s="1"/>
      <c r="G2898" s="1"/>
      <c r="H2898" s="1"/>
    </row>
    <row r="2899" spans="1:8" ht="13.2" x14ac:dyDescent="0.25">
      <c r="A2899" s="1"/>
      <c r="B2899" s="1"/>
      <c r="C2899" s="1"/>
      <c r="D2899" s="1"/>
      <c r="E2899" s="1"/>
      <c r="F2899" s="1"/>
      <c r="G2899" s="1"/>
      <c r="H2899" s="1"/>
    </row>
    <row r="2900" spans="1:8" ht="13.2" x14ac:dyDescent="0.25">
      <c r="A2900" s="2"/>
      <c r="B2900" s="1"/>
      <c r="C2900" s="1"/>
      <c r="D2900" s="1"/>
      <c r="E2900" s="1"/>
      <c r="F2900" s="1"/>
      <c r="G2900" s="1"/>
      <c r="H2900" s="1"/>
    </row>
    <row r="2901" spans="1:8" ht="13.2" x14ac:dyDescent="0.25">
      <c r="A2901" s="1"/>
      <c r="B2901" s="1"/>
      <c r="C2901" s="1"/>
      <c r="D2901" s="1"/>
      <c r="E2901" s="1"/>
      <c r="F2901" s="1"/>
      <c r="G2901" s="1"/>
      <c r="H2901" s="1"/>
    </row>
    <row r="2902" spans="1:8" ht="13.2" x14ac:dyDescent="0.25">
      <c r="A2902" s="1"/>
      <c r="B2902" s="1"/>
      <c r="C2902" s="1"/>
      <c r="D2902" s="1"/>
      <c r="E2902" s="1"/>
      <c r="F2902" s="1"/>
      <c r="G2902" s="1"/>
      <c r="H2902" s="1"/>
    </row>
    <row r="2903" spans="1:8" ht="13.2" x14ac:dyDescent="0.25">
      <c r="A2903" s="1"/>
      <c r="B2903" s="1"/>
      <c r="C2903" s="1"/>
      <c r="D2903" s="1"/>
      <c r="E2903" s="1"/>
      <c r="F2903" s="1"/>
      <c r="G2903" s="1"/>
      <c r="H2903" s="1"/>
    </row>
    <row r="2904" spans="1:8" ht="13.2" x14ac:dyDescent="0.25">
      <c r="A2904" s="1"/>
      <c r="B2904" s="1"/>
      <c r="C2904" s="1"/>
      <c r="D2904" s="1"/>
      <c r="E2904" s="1"/>
      <c r="F2904" s="1"/>
      <c r="G2904" s="1"/>
      <c r="H2904" s="1"/>
    </row>
    <row r="2905" spans="1:8" ht="13.2" x14ac:dyDescent="0.25">
      <c r="A2905" s="1"/>
      <c r="B2905" s="1"/>
      <c r="C2905" s="1"/>
      <c r="D2905" s="1"/>
      <c r="E2905" s="1"/>
      <c r="F2905" s="1"/>
      <c r="G2905" s="1"/>
      <c r="H2905" s="1"/>
    </row>
    <row r="2906" spans="1:8" ht="13.2" x14ac:dyDescent="0.25">
      <c r="A2906" s="1"/>
      <c r="B2906" s="1"/>
      <c r="C2906" s="1"/>
      <c r="D2906" s="1"/>
      <c r="E2906" s="1"/>
      <c r="F2906" s="1"/>
      <c r="G2906" s="1"/>
      <c r="H2906" s="1"/>
    </row>
    <row r="2907" spans="1:8" ht="13.2" x14ac:dyDescent="0.25">
      <c r="A2907" s="1"/>
      <c r="B2907" s="1"/>
      <c r="C2907" s="1"/>
      <c r="D2907" s="1"/>
      <c r="E2907" s="1"/>
      <c r="F2907" s="1"/>
      <c r="G2907" s="1"/>
      <c r="H2907" s="1"/>
    </row>
    <row r="2908" spans="1:8" ht="13.2" x14ac:dyDescent="0.25">
      <c r="A2908" s="1"/>
      <c r="B2908" s="1"/>
      <c r="C2908" s="1"/>
      <c r="D2908" s="1"/>
      <c r="E2908" s="1"/>
      <c r="F2908" s="1"/>
      <c r="G2908" s="3"/>
      <c r="H2908" s="1"/>
    </row>
    <row r="2909" spans="1:8" ht="13.2" x14ac:dyDescent="0.25">
      <c r="A2909" s="1"/>
      <c r="B2909" s="1"/>
      <c r="C2909" s="1"/>
      <c r="D2909" s="1"/>
      <c r="E2909" s="1"/>
      <c r="F2909" s="1"/>
      <c r="G2909" s="3"/>
      <c r="H2909" s="1"/>
    </row>
    <row r="2910" spans="1:8" ht="13.2" x14ac:dyDescent="0.25">
      <c r="A2910" s="1"/>
      <c r="B2910" s="1"/>
      <c r="C2910" s="1"/>
      <c r="D2910" s="1"/>
      <c r="E2910" s="1"/>
      <c r="F2910" s="1"/>
      <c r="G2910" s="3"/>
      <c r="H2910" s="1"/>
    </row>
    <row r="2911" spans="1:8" ht="13.2" x14ac:dyDescent="0.25">
      <c r="A2911" s="1"/>
      <c r="B2911" s="1"/>
      <c r="C2911" s="1"/>
      <c r="D2911" s="1"/>
      <c r="E2911" s="1"/>
      <c r="F2911" s="1"/>
      <c r="G2911" s="3"/>
      <c r="H2911" s="1"/>
    </row>
    <row r="2912" spans="1:8" ht="13.2" x14ac:dyDescent="0.25">
      <c r="A2912" s="1"/>
      <c r="B2912" s="1"/>
      <c r="C2912" s="1"/>
      <c r="D2912" s="1"/>
      <c r="E2912" s="1"/>
      <c r="F2912" s="1"/>
      <c r="G2912" s="1"/>
      <c r="H2912" s="1"/>
    </row>
    <row r="2913" spans="1:8" ht="13.2" x14ac:dyDescent="0.25">
      <c r="A2913" s="1"/>
      <c r="B2913" s="1"/>
      <c r="C2913" s="1"/>
      <c r="D2913" s="1"/>
      <c r="E2913" s="1"/>
      <c r="F2913" s="1"/>
      <c r="G2913" s="1"/>
      <c r="H2913" s="1"/>
    </row>
    <row r="2914" spans="1:8" ht="13.2" x14ac:dyDescent="0.25">
      <c r="A2914" s="2"/>
      <c r="B2914" s="1"/>
      <c r="C2914" s="1"/>
      <c r="D2914" s="1"/>
      <c r="E2914" s="1"/>
      <c r="F2914" s="1"/>
      <c r="G2914" s="3"/>
      <c r="H2914" s="1"/>
    </row>
    <row r="2915" spans="1:8" ht="13.2" x14ac:dyDescent="0.25">
      <c r="A2915" s="1"/>
      <c r="B2915" s="1"/>
      <c r="C2915" s="1"/>
      <c r="D2915" s="1"/>
      <c r="E2915" s="1"/>
      <c r="F2915" s="1"/>
      <c r="G2915" s="3"/>
      <c r="H2915" s="1"/>
    </row>
    <row r="2916" spans="1:8" ht="13.2" x14ac:dyDescent="0.25">
      <c r="A2916" s="2"/>
      <c r="B2916" s="1"/>
      <c r="C2916" s="1"/>
      <c r="D2916" s="1"/>
      <c r="E2916" s="1"/>
      <c r="F2916" s="1"/>
      <c r="G2916" s="1"/>
      <c r="H2916" s="1"/>
    </row>
    <row r="2917" spans="1:8" ht="13.2" x14ac:dyDescent="0.25">
      <c r="A2917" s="2"/>
      <c r="B2917" s="1"/>
      <c r="C2917" s="1"/>
      <c r="D2917" s="1"/>
      <c r="E2917" s="1"/>
      <c r="F2917" s="1"/>
      <c r="G2917" s="3"/>
      <c r="H2917" s="1"/>
    </row>
    <row r="2918" spans="1:8" ht="13.2" x14ac:dyDescent="0.25">
      <c r="A2918" s="1"/>
      <c r="B2918" s="1"/>
      <c r="C2918" s="1"/>
      <c r="D2918" s="1"/>
      <c r="E2918" s="1"/>
      <c r="F2918" s="1"/>
      <c r="G2918" s="1"/>
      <c r="H2918" s="1"/>
    </row>
    <row r="2919" spans="1:8" ht="13.2" x14ac:dyDescent="0.25">
      <c r="A2919" s="2"/>
      <c r="B2919" s="1"/>
      <c r="C2919" s="1"/>
      <c r="D2919" s="1"/>
      <c r="E2919" s="1"/>
      <c r="F2919" s="1"/>
      <c r="G2919" s="3"/>
      <c r="H2919" s="1"/>
    </row>
    <row r="2920" spans="1:8" ht="13.2" x14ac:dyDescent="0.25">
      <c r="A2920" s="2"/>
      <c r="B2920" s="1"/>
      <c r="C2920" s="1"/>
      <c r="D2920" s="1"/>
      <c r="E2920" s="1"/>
      <c r="F2920" s="1"/>
      <c r="G2920" s="1"/>
      <c r="H2920" s="1"/>
    </row>
    <row r="2921" spans="1:8" ht="13.2" x14ac:dyDescent="0.25">
      <c r="A2921" s="1"/>
      <c r="B2921" s="1"/>
      <c r="C2921" s="1"/>
      <c r="D2921" s="1"/>
      <c r="E2921" s="1"/>
      <c r="F2921" s="1"/>
      <c r="G2921" s="1"/>
      <c r="H2921" s="1"/>
    </row>
    <row r="2922" spans="1:8" ht="13.2" x14ac:dyDescent="0.25">
      <c r="A2922" s="1"/>
      <c r="B2922" s="1"/>
      <c r="C2922" s="1"/>
      <c r="D2922" s="1"/>
      <c r="E2922" s="1"/>
      <c r="F2922" s="1"/>
      <c r="G2922" s="3"/>
      <c r="H2922" s="1"/>
    </row>
    <row r="2923" spans="1:8" ht="13.2" x14ac:dyDescent="0.25">
      <c r="A2923" s="1"/>
      <c r="B2923" s="1"/>
      <c r="C2923" s="1"/>
      <c r="D2923" s="1"/>
      <c r="E2923" s="1"/>
      <c r="F2923" s="1"/>
      <c r="G2923" s="1"/>
      <c r="H2923" s="1"/>
    </row>
    <row r="2924" spans="1:8" ht="13.2" x14ac:dyDescent="0.25">
      <c r="A2924" s="1"/>
      <c r="B2924" s="1"/>
      <c r="C2924" s="1"/>
      <c r="D2924" s="1"/>
      <c r="E2924" s="1"/>
      <c r="F2924" s="1"/>
      <c r="G2924" s="3"/>
      <c r="H2924" s="1"/>
    </row>
    <row r="2925" spans="1:8" ht="13.2" x14ac:dyDescent="0.25">
      <c r="A2925" s="2"/>
      <c r="B2925" s="1"/>
      <c r="C2925" s="1"/>
      <c r="D2925" s="1"/>
      <c r="E2925" s="1"/>
      <c r="F2925" s="1"/>
      <c r="G2925" s="3"/>
      <c r="H2925" s="1"/>
    </row>
    <row r="2926" spans="1:8" ht="13.2" x14ac:dyDescent="0.25">
      <c r="A2926" s="1"/>
      <c r="B2926" s="1"/>
      <c r="C2926" s="1"/>
      <c r="D2926" s="1"/>
      <c r="E2926" s="1"/>
      <c r="F2926" s="1"/>
      <c r="G2926" s="1"/>
      <c r="H2926" s="1"/>
    </row>
    <row r="2927" spans="1:8" ht="13.2" x14ac:dyDescent="0.25">
      <c r="A2927" s="1"/>
      <c r="B2927" s="1"/>
      <c r="C2927" s="1"/>
      <c r="D2927" s="1"/>
      <c r="E2927" s="1"/>
      <c r="F2927" s="1"/>
      <c r="G2927" s="1"/>
      <c r="H2927" s="1"/>
    </row>
    <row r="2928" spans="1:8" ht="13.2" x14ac:dyDescent="0.25">
      <c r="A2928" s="1"/>
      <c r="B2928" s="1"/>
      <c r="C2928" s="1"/>
      <c r="D2928" s="1"/>
      <c r="E2928" s="1"/>
      <c r="F2928" s="1"/>
      <c r="G2928" s="1"/>
      <c r="H2928" s="1"/>
    </row>
    <row r="2929" spans="1:8" ht="13.2" x14ac:dyDescent="0.25">
      <c r="A2929" s="1"/>
      <c r="B2929" s="1"/>
      <c r="C2929" s="1"/>
      <c r="D2929" s="1"/>
      <c r="E2929" s="1"/>
      <c r="F2929" s="1"/>
      <c r="G2929" s="1"/>
      <c r="H2929" s="1"/>
    </row>
    <row r="2930" spans="1:8" ht="13.2" x14ac:dyDescent="0.25">
      <c r="A2930" s="2"/>
      <c r="B2930" s="1"/>
      <c r="C2930" s="1"/>
      <c r="D2930" s="1"/>
      <c r="E2930" s="1"/>
      <c r="F2930" s="1"/>
      <c r="G2930" s="1"/>
      <c r="H2930" s="1"/>
    </row>
    <row r="2931" spans="1:8" ht="13.2" x14ac:dyDescent="0.25">
      <c r="A2931" s="1"/>
      <c r="B2931" s="1"/>
      <c r="C2931" s="1"/>
      <c r="D2931" s="1"/>
      <c r="E2931" s="1"/>
      <c r="F2931" s="1"/>
      <c r="G2931" s="3"/>
      <c r="H2931" s="1"/>
    </row>
    <row r="2932" spans="1:8" ht="13.2" x14ac:dyDescent="0.25">
      <c r="A2932" s="1"/>
      <c r="B2932" s="1"/>
      <c r="C2932" s="1"/>
      <c r="D2932" s="1"/>
      <c r="E2932" s="1"/>
      <c r="F2932" s="1"/>
      <c r="G2932" s="1"/>
      <c r="H2932" s="1"/>
    </row>
    <row r="2933" spans="1:8" ht="13.2" x14ac:dyDescent="0.25">
      <c r="A2933" s="1"/>
      <c r="B2933" s="1"/>
      <c r="C2933" s="1"/>
      <c r="D2933" s="1"/>
      <c r="E2933" s="1"/>
      <c r="F2933" s="1"/>
      <c r="G2933" s="1"/>
      <c r="H2933" s="1"/>
    </row>
    <row r="2934" spans="1:8" ht="13.2" x14ac:dyDescent="0.25">
      <c r="A2934" s="1"/>
      <c r="B2934" s="1"/>
      <c r="C2934" s="1"/>
      <c r="D2934" s="1"/>
      <c r="E2934" s="1"/>
      <c r="F2934" s="1"/>
      <c r="G2934" s="1"/>
      <c r="H2934" s="1"/>
    </row>
    <row r="2935" spans="1:8" ht="13.2" x14ac:dyDescent="0.25">
      <c r="A2935" s="2"/>
      <c r="B2935" s="1"/>
      <c r="C2935" s="1"/>
      <c r="D2935" s="1"/>
      <c r="E2935" s="1"/>
      <c r="F2935" s="1"/>
      <c r="G2935" s="1"/>
      <c r="H2935" s="1"/>
    </row>
    <row r="2936" spans="1:8" ht="13.2" x14ac:dyDescent="0.25">
      <c r="A2936" s="1"/>
      <c r="B2936" s="1"/>
      <c r="C2936" s="1"/>
      <c r="D2936" s="1"/>
      <c r="E2936" s="1"/>
      <c r="F2936" s="1"/>
      <c r="G2936" s="1"/>
      <c r="H2936" s="1"/>
    </row>
    <row r="2937" spans="1:8" ht="13.2" x14ac:dyDescent="0.25">
      <c r="A2937" s="1"/>
      <c r="B2937" s="1"/>
      <c r="C2937" s="1"/>
      <c r="D2937" s="1"/>
      <c r="E2937" s="1"/>
      <c r="F2937" s="1"/>
      <c r="G2937" s="1"/>
      <c r="H2937" s="1"/>
    </row>
    <row r="2938" spans="1:8" ht="13.2" x14ac:dyDescent="0.25">
      <c r="A2938" s="2"/>
      <c r="B2938" s="1"/>
      <c r="C2938" s="1"/>
      <c r="D2938" s="1"/>
      <c r="E2938" s="1"/>
      <c r="F2938" s="1"/>
      <c r="G2938" s="1"/>
      <c r="H2938" s="1"/>
    </row>
    <row r="2939" spans="1:8" ht="13.2" x14ac:dyDescent="0.25">
      <c r="A2939" s="2"/>
      <c r="B2939" s="1"/>
      <c r="C2939" s="1"/>
      <c r="D2939" s="1"/>
      <c r="E2939" s="1"/>
      <c r="F2939" s="1"/>
      <c r="G2939" s="3"/>
      <c r="H2939" s="1"/>
    </row>
    <row r="2940" spans="1:8" ht="13.2" x14ac:dyDescent="0.25">
      <c r="A2940" s="2"/>
      <c r="B2940" s="1"/>
      <c r="C2940" s="1"/>
      <c r="D2940" s="1"/>
      <c r="E2940" s="1"/>
      <c r="F2940" s="1"/>
      <c r="G2940" s="1"/>
      <c r="H2940" s="1"/>
    </row>
    <row r="2941" spans="1:8" ht="13.2" x14ac:dyDescent="0.25">
      <c r="A2941" s="1"/>
      <c r="B2941" s="1"/>
      <c r="C2941" s="1"/>
      <c r="D2941" s="1"/>
      <c r="E2941" s="1"/>
      <c r="F2941" s="1"/>
      <c r="G2941" s="3"/>
      <c r="H2941" s="1"/>
    </row>
    <row r="2942" spans="1:8" ht="13.2" x14ac:dyDescent="0.25">
      <c r="A2942" s="1"/>
      <c r="B2942" s="1"/>
      <c r="C2942" s="1"/>
      <c r="D2942" s="1"/>
      <c r="E2942" s="1"/>
      <c r="F2942" s="1"/>
      <c r="G2942" s="3"/>
      <c r="H2942" s="1"/>
    </row>
    <row r="2943" spans="1:8" ht="13.2" x14ac:dyDescent="0.25">
      <c r="A2943" s="1"/>
      <c r="B2943" s="1"/>
      <c r="C2943" s="1"/>
      <c r="D2943" s="1"/>
      <c r="E2943" s="1"/>
      <c r="F2943" s="1"/>
      <c r="G2943" s="1"/>
      <c r="H2943" s="1"/>
    </row>
    <row r="2944" spans="1:8" ht="13.2" x14ac:dyDescent="0.25">
      <c r="A2944" s="1"/>
      <c r="B2944" s="1"/>
      <c r="C2944" s="1"/>
      <c r="D2944" s="1"/>
      <c r="E2944" s="1"/>
      <c r="F2944" s="1"/>
      <c r="G2944" s="1"/>
      <c r="H2944" s="1"/>
    </row>
    <row r="2945" spans="1:8" ht="13.2" x14ac:dyDescent="0.25">
      <c r="A2945" s="1"/>
      <c r="B2945" s="1"/>
      <c r="C2945" s="1"/>
      <c r="D2945" s="1"/>
      <c r="E2945" s="1"/>
      <c r="F2945" s="1"/>
      <c r="G2945" s="1"/>
      <c r="H2945" s="1"/>
    </row>
    <row r="2946" spans="1:8" ht="13.2" x14ac:dyDescent="0.25">
      <c r="A2946" s="1"/>
      <c r="B2946" s="1"/>
      <c r="C2946" s="1"/>
      <c r="D2946" s="1"/>
      <c r="E2946" s="1"/>
      <c r="F2946" s="1"/>
      <c r="G2946" s="1"/>
      <c r="H2946" s="1"/>
    </row>
    <row r="2947" spans="1:8" ht="13.2" x14ac:dyDescent="0.25">
      <c r="A2947" s="1"/>
      <c r="B2947" s="1"/>
      <c r="C2947" s="1"/>
      <c r="D2947" s="1"/>
      <c r="E2947" s="1"/>
      <c r="F2947" s="1"/>
      <c r="G2947" s="3"/>
      <c r="H2947" s="1"/>
    </row>
    <row r="2948" spans="1:8" ht="13.2" x14ac:dyDescent="0.25">
      <c r="A2948" s="1"/>
      <c r="B2948" s="1"/>
      <c r="C2948" s="1"/>
      <c r="D2948" s="1"/>
      <c r="E2948" s="1"/>
      <c r="F2948" s="1"/>
      <c r="G2948" s="1"/>
      <c r="H2948" s="1"/>
    </row>
    <row r="2949" spans="1:8" ht="13.2" x14ac:dyDescent="0.25">
      <c r="A2949" s="2"/>
      <c r="B2949" s="1"/>
      <c r="C2949" s="1"/>
      <c r="D2949" s="1"/>
      <c r="E2949" s="1"/>
      <c r="F2949" s="1"/>
      <c r="G2949" s="1"/>
      <c r="H2949" s="1"/>
    </row>
    <row r="2950" spans="1:8" ht="13.2" x14ac:dyDescent="0.25">
      <c r="A2950" s="2"/>
      <c r="B2950" s="1"/>
      <c r="C2950" s="1"/>
      <c r="D2950" s="1"/>
      <c r="E2950" s="1"/>
      <c r="F2950" s="1"/>
      <c r="G2950" s="1"/>
      <c r="H2950" s="1"/>
    </row>
    <row r="2951" spans="1:8" ht="13.2" x14ac:dyDescent="0.25">
      <c r="A2951" s="2"/>
      <c r="B2951" s="1"/>
      <c r="C2951" s="1"/>
      <c r="D2951" s="1"/>
      <c r="E2951" s="1"/>
      <c r="F2951" s="1"/>
      <c r="G2951" s="1"/>
      <c r="H2951" s="1"/>
    </row>
    <row r="2952" spans="1:8" ht="13.2" x14ac:dyDescent="0.25">
      <c r="A2952" s="1"/>
      <c r="B2952" s="1"/>
      <c r="C2952" s="1"/>
      <c r="D2952" s="1"/>
      <c r="E2952" s="1"/>
      <c r="F2952" s="1"/>
      <c r="G2952" s="3"/>
      <c r="H2952" s="1"/>
    </row>
    <row r="2953" spans="1:8" ht="13.2" x14ac:dyDescent="0.25">
      <c r="A2953" s="1"/>
      <c r="B2953" s="1"/>
      <c r="C2953" s="1"/>
      <c r="D2953" s="1"/>
      <c r="E2953" s="1"/>
      <c r="F2953" s="1"/>
      <c r="G2953" s="1"/>
      <c r="H2953" s="1"/>
    </row>
    <row r="2954" spans="1:8" ht="13.2" x14ac:dyDescent="0.25">
      <c r="A2954" s="1"/>
      <c r="B2954" s="1"/>
      <c r="C2954" s="1"/>
      <c r="D2954" s="1"/>
      <c r="E2954" s="1"/>
      <c r="F2954" s="1"/>
      <c r="G2954" s="1"/>
      <c r="H2954" s="1"/>
    </row>
    <row r="2955" spans="1:8" ht="13.2" x14ac:dyDescent="0.25">
      <c r="A2955" s="2"/>
      <c r="B2955" s="1"/>
      <c r="C2955" s="1"/>
      <c r="D2955" s="1"/>
      <c r="E2955" s="1"/>
      <c r="F2955" s="1"/>
      <c r="G2955" s="1"/>
      <c r="H2955" s="1"/>
    </row>
    <row r="2956" spans="1:8" ht="13.2" x14ac:dyDescent="0.25">
      <c r="A2956" s="1"/>
      <c r="B2956" s="1"/>
      <c r="C2956" s="1"/>
      <c r="D2956" s="1"/>
      <c r="E2956" s="1"/>
      <c r="F2956" s="1"/>
      <c r="G2956" s="1"/>
      <c r="H2956" s="1"/>
    </row>
    <row r="2957" spans="1:8" ht="13.2" x14ac:dyDescent="0.25">
      <c r="A2957" s="2"/>
      <c r="B2957" s="1"/>
      <c r="C2957" s="1"/>
      <c r="D2957" s="1"/>
      <c r="E2957" s="1"/>
      <c r="F2957" s="1"/>
      <c r="G2957" s="1"/>
      <c r="H2957" s="1"/>
    </row>
    <row r="2958" spans="1:8" ht="13.2" x14ac:dyDescent="0.25">
      <c r="A2958" s="2"/>
      <c r="B2958" s="1"/>
      <c r="C2958" s="1"/>
      <c r="D2958" s="1"/>
      <c r="E2958" s="1"/>
      <c r="F2958" s="1"/>
      <c r="G2958" s="1"/>
      <c r="H2958" s="1"/>
    </row>
    <row r="2959" spans="1:8" ht="13.2" x14ac:dyDescent="0.25">
      <c r="A2959" s="1"/>
      <c r="B2959" s="1"/>
      <c r="C2959" s="1"/>
      <c r="D2959" s="1"/>
      <c r="E2959" s="1"/>
      <c r="F2959" s="1"/>
      <c r="G2959" s="1"/>
      <c r="H2959" s="1"/>
    </row>
    <row r="2960" spans="1:8" ht="13.2" x14ac:dyDescent="0.25">
      <c r="A2960" s="2"/>
      <c r="B2960" s="1"/>
      <c r="C2960" s="1"/>
      <c r="D2960" s="1"/>
      <c r="E2960" s="1"/>
      <c r="F2960" s="1"/>
      <c r="G2960" s="1"/>
      <c r="H2960" s="1"/>
    </row>
    <row r="2961" spans="1:8" ht="13.2" x14ac:dyDescent="0.25">
      <c r="A2961" s="2"/>
      <c r="B2961" s="1"/>
      <c r="C2961" s="1"/>
      <c r="D2961" s="1"/>
      <c r="E2961" s="1"/>
      <c r="F2961" s="1"/>
      <c r="G2961" s="1"/>
      <c r="H2961" s="1"/>
    </row>
    <row r="2962" spans="1:8" ht="13.2" x14ac:dyDescent="0.25">
      <c r="A2962" s="1"/>
      <c r="B2962" s="1"/>
      <c r="C2962" s="1"/>
      <c r="D2962" s="1"/>
      <c r="E2962" s="1"/>
      <c r="F2962" s="1"/>
      <c r="G2962" s="1"/>
      <c r="H2962" s="1"/>
    </row>
    <row r="2963" spans="1:8" ht="13.2" x14ac:dyDescent="0.25">
      <c r="A2963" s="1"/>
      <c r="B2963" s="1"/>
      <c r="C2963" s="1"/>
      <c r="D2963" s="1"/>
      <c r="E2963" s="1"/>
      <c r="F2963" s="1"/>
      <c r="G2963" s="1"/>
      <c r="H2963" s="1"/>
    </row>
    <row r="2964" spans="1:8" ht="13.2" x14ac:dyDescent="0.25">
      <c r="A2964" s="1"/>
      <c r="B2964" s="1"/>
      <c r="C2964" s="1"/>
      <c r="D2964" s="1"/>
      <c r="E2964" s="1"/>
      <c r="F2964" s="1"/>
      <c r="G2964" s="1"/>
      <c r="H2964" s="1"/>
    </row>
    <row r="2965" spans="1:8" ht="13.2" x14ac:dyDescent="0.25">
      <c r="A2965" s="1"/>
      <c r="B2965" s="1"/>
      <c r="C2965" s="1"/>
      <c r="D2965" s="1"/>
      <c r="E2965" s="1"/>
      <c r="F2965" s="1"/>
      <c r="G2965" s="1"/>
      <c r="H2965" s="1"/>
    </row>
    <row r="2966" spans="1:8" ht="13.2" x14ac:dyDescent="0.25">
      <c r="A2966" s="1"/>
      <c r="B2966" s="1"/>
      <c r="C2966" s="1"/>
      <c r="D2966" s="1"/>
      <c r="E2966" s="1"/>
      <c r="F2966" s="1"/>
      <c r="G2966" s="3"/>
      <c r="H2966" s="1"/>
    </row>
    <row r="2967" spans="1:8" ht="13.2" x14ac:dyDescent="0.25">
      <c r="A2967" s="2"/>
      <c r="B2967" s="1"/>
      <c r="C2967" s="1"/>
      <c r="D2967" s="1"/>
      <c r="E2967" s="1"/>
      <c r="F2967" s="1"/>
      <c r="G2967" s="1"/>
      <c r="H2967" s="1"/>
    </row>
    <row r="2968" spans="1:8" ht="13.2" x14ac:dyDescent="0.25">
      <c r="A2968" s="1"/>
      <c r="B2968" s="1"/>
      <c r="C2968" s="1"/>
      <c r="D2968" s="1"/>
      <c r="E2968" s="1"/>
      <c r="F2968" s="1"/>
      <c r="G2968" s="1"/>
      <c r="H2968" s="1"/>
    </row>
    <row r="2969" spans="1:8" ht="13.2" x14ac:dyDescent="0.25">
      <c r="A2969" s="1"/>
      <c r="B2969" s="1"/>
      <c r="C2969" s="1"/>
      <c r="D2969" s="1"/>
      <c r="E2969" s="1"/>
      <c r="F2969" s="1"/>
      <c r="G2969" s="3"/>
      <c r="H2969" s="1"/>
    </row>
    <row r="2970" spans="1:8" ht="13.2" x14ac:dyDescent="0.25">
      <c r="A2970" s="1"/>
      <c r="B2970" s="1"/>
      <c r="C2970" s="1"/>
      <c r="D2970" s="1"/>
      <c r="E2970" s="1"/>
      <c r="F2970" s="1"/>
      <c r="G2970" s="3"/>
      <c r="H2970" s="1"/>
    </row>
    <row r="2971" spans="1:8" ht="13.2" x14ac:dyDescent="0.25">
      <c r="A2971" s="1"/>
      <c r="B2971" s="1"/>
      <c r="C2971" s="1"/>
      <c r="D2971" s="1"/>
      <c r="E2971" s="1"/>
      <c r="F2971" s="1"/>
      <c r="G2971" s="3"/>
      <c r="H2971" s="1"/>
    </row>
    <row r="2972" spans="1:8" ht="13.2" x14ac:dyDescent="0.25">
      <c r="A2972" s="2"/>
      <c r="B2972" s="1"/>
      <c r="C2972" s="1"/>
      <c r="D2972" s="1"/>
      <c r="E2972" s="1"/>
      <c r="F2972" s="1"/>
      <c r="G2972" s="1"/>
      <c r="H2972" s="1"/>
    </row>
    <row r="2973" spans="1:8" ht="13.2" x14ac:dyDescent="0.25">
      <c r="A2973" s="1"/>
      <c r="B2973" s="1"/>
      <c r="C2973" s="1"/>
      <c r="D2973" s="1"/>
      <c r="E2973" s="1"/>
      <c r="F2973" s="1"/>
      <c r="G2973" s="1"/>
      <c r="H2973" s="1"/>
    </row>
    <row r="2974" spans="1:8" ht="13.2" x14ac:dyDescent="0.25">
      <c r="A2974" s="2"/>
      <c r="B2974" s="1"/>
      <c r="C2974" s="1"/>
      <c r="D2974" s="1"/>
      <c r="E2974" s="1"/>
      <c r="F2974" s="1"/>
      <c r="G2974" s="1"/>
      <c r="H2974" s="1"/>
    </row>
    <row r="2975" spans="1:8" ht="13.2" x14ac:dyDescent="0.25">
      <c r="A2975" s="1"/>
      <c r="B2975" s="1"/>
      <c r="C2975" s="1"/>
      <c r="D2975" s="1"/>
      <c r="E2975" s="1"/>
      <c r="F2975" s="1"/>
      <c r="G2975" s="1"/>
      <c r="H2975" s="1"/>
    </row>
    <row r="2976" spans="1:8" ht="13.2" x14ac:dyDescent="0.25">
      <c r="A2976" s="1"/>
      <c r="B2976" s="1"/>
      <c r="C2976" s="1"/>
      <c r="D2976" s="1"/>
      <c r="E2976" s="1"/>
      <c r="F2976" s="1"/>
      <c r="G2976" s="3"/>
      <c r="H2976" s="1"/>
    </row>
    <row r="2977" spans="1:8" ht="13.2" x14ac:dyDescent="0.25">
      <c r="A2977" s="1"/>
      <c r="B2977" s="1"/>
      <c r="C2977" s="1"/>
      <c r="D2977" s="1"/>
      <c r="E2977" s="1"/>
      <c r="F2977" s="1"/>
      <c r="G2977" s="3"/>
      <c r="H2977" s="1"/>
    </row>
    <row r="2978" spans="1:8" ht="13.2" x14ac:dyDescent="0.25">
      <c r="A2978" s="1"/>
      <c r="B2978" s="1"/>
      <c r="C2978" s="1"/>
      <c r="D2978" s="1"/>
      <c r="E2978" s="1"/>
      <c r="F2978" s="1"/>
      <c r="G2978" s="3"/>
      <c r="H2978" s="1"/>
    </row>
    <row r="2979" spans="1:8" ht="13.2" x14ac:dyDescent="0.25">
      <c r="A2979" s="2"/>
      <c r="B2979" s="1"/>
      <c r="C2979" s="1"/>
      <c r="D2979" s="1"/>
      <c r="E2979" s="1"/>
      <c r="F2979" s="1"/>
      <c r="G2979" s="1"/>
      <c r="H2979" s="1"/>
    </row>
    <row r="2980" spans="1:8" ht="13.2" x14ac:dyDescent="0.25">
      <c r="A2980" s="2"/>
      <c r="B2980" s="1"/>
      <c r="C2980" s="1"/>
      <c r="D2980" s="1"/>
      <c r="E2980" s="1"/>
      <c r="F2980" s="1"/>
      <c r="G2980" s="1"/>
      <c r="H2980" s="1"/>
    </row>
    <row r="2981" spans="1:8" ht="13.2" x14ac:dyDescent="0.25">
      <c r="A2981" s="1"/>
      <c r="B2981" s="1"/>
      <c r="C2981" s="1"/>
      <c r="D2981" s="1"/>
      <c r="E2981" s="1"/>
      <c r="F2981" s="1"/>
      <c r="G2981" s="1"/>
      <c r="H2981" s="1"/>
    </row>
    <row r="2982" spans="1:8" ht="13.2" x14ac:dyDescent="0.25">
      <c r="A2982" s="1"/>
      <c r="B2982" s="1"/>
      <c r="C2982" s="1"/>
      <c r="D2982" s="1"/>
      <c r="E2982" s="1"/>
      <c r="F2982" s="1"/>
      <c r="G2982" s="3"/>
      <c r="H2982" s="1"/>
    </row>
    <row r="2983" spans="1:8" ht="13.2" x14ac:dyDescent="0.25">
      <c r="A2983" s="1"/>
      <c r="B2983" s="1"/>
      <c r="C2983" s="1"/>
      <c r="D2983" s="1"/>
      <c r="E2983" s="1"/>
      <c r="F2983" s="1"/>
      <c r="G2983" s="1"/>
      <c r="H2983" s="1"/>
    </row>
    <row r="2984" spans="1:8" ht="13.2" x14ac:dyDescent="0.25">
      <c r="A2984" s="1"/>
      <c r="B2984" s="1"/>
      <c r="C2984" s="1"/>
      <c r="D2984" s="1"/>
      <c r="E2984" s="1"/>
      <c r="F2984" s="1"/>
      <c r="G2984" s="3"/>
      <c r="H2984" s="1"/>
    </row>
    <row r="2985" spans="1:8" ht="13.2" x14ac:dyDescent="0.25">
      <c r="A2985" s="1"/>
      <c r="B2985" s="1"/>
      <c r="C2985" s="1"/>
      <c r="D2985" s="1"/>
      <c r="E2985" s="1"/>
      <c r="F2985" s="1"/>
      <c r="G2985" s="1"/>
      <c r="H2985" s="1"/>
    </row>
    <row r="2986" spans="1:8" ht="13.2" x14ac:dyDescent="0.25">
      <c r="A2986" s="1"/>
      <c r="B2986" s="1"/>
      <c r="C2986" s="1"/>
      <c r="D2986" s="1"/>
      <c r="E2986" s="1"/>
      <c r="F2986" s="1"/>
      <c r="G2986" s="3"/>
      <c r="H2986" s="1"/>
    </row>
    <row r="2987" spans="1:8" ht="13.2" x14ac:dyDescent="0.25">
      <c r="A2987" s="1"/>
      <c r="B2987" s="1"/>
      <c r="C2987" s="1"/>
      <c r="D2987" s="1"/>
      <c r="E2987" s="1"/>
      <c r="F2987" s="1"/>
      <c r="G2987" s="1"/>
      <c r="H2987" s="1"/>
    </row>
    <row r="2988" spans="1:8" ht="13.2" x14ac:dyDescent="0.25">
      <c r="A2988" s="1"/>
      <c r="B2988" s="1"/>
      <c r="C2988" s="1"/>
      <c r="D2988" s="1"/>
      <c r="E2988" s="1"/>
      <c r="F2988" s="1"/>
      <c r="G2988" s="1"/>
      <c r="H2988" s="1"/>
    </row>
    <row r="2989" spans="1:8" ht="13.2" x14ac:dyDescent="0.25">
      <c r="A2989" s="1"/>
      <c r="B2989" s="1"/>
      <c r="C2989" s="1"/>
      <c r="D2989" s="1"/>
      <c r="E2989" s="1"/>
      <c r="F2989" s="1"/>
      <c r="G2989" s="1"/>
      <c r="H2989" s="1"/>
    </row>
    <row r="2990" spans="1:8" ht="13.2" x14ac:dyDescent="0.25">
      <c r="A2990" s="1"/>
      <c r="B2990" s="1"/>
      <c r="C2990" s="1"/>
      <c r="D2990" s="1"/>
      <c r="E2990" s="1"/>
      <c r="F2990" s="1"/>
      <c r="G2990" s="1"/>
      <c r="H2990" s="1"/>
    </row>
    <row r="2991" spans="1:8" ht="13.2" x14ac:dyDescent="0.25">
      <c r="A2991" s="1"/>
      <c r="B2991" s="1"/>
      <c r="C2991" s="1"/>
      <c r="D2991" s="1"/>
      <c r="E2991" s="1"/>
      <c r="F2991" s="1"/>
      <c r="G2991" s="1"/>
      <c r="H2991" s="1"/>
    </row>
    <row r="2992" spans="1:8" ht="13.2" x14ac:dyDescent="0.25">
      <c r="A2992" s="2"/>
      <c r="B2992" s="1"/>
      <c r="C2992" s="1"/>
      <c r="D2992" s="1"/>
      <c r="E2992" s="1"/>
      <c r="F2992" s="1"/>
      <c r="G2992" s="1"/>
      <c r="H2992" s="1"/>
    </row>
    <row r="2993" spans="1:8" ht="13.2" x14ac:dyDescent="0.25">
      <c r="A2993" s="2"/>
      <c r="B2993" s="1"/>
      <c r="C2993" s="1"/>
      <c r="D2993" s="1"/>
      <c r="E2993" s="1"/>
      <c r="F2993" s="1"/>
      <c r="G2993" s="1"/>
      <c r="H2993" s="1"/>
    </row>
    <row r="2994" spans="1:8" ht="13.2" x14ac:dyDescent="0.25">
      <c r="A2994" s="1"/>
      <c r="B2994" s="1"/>
      <c r="C2994" s="1"/>
      <c r="D2994" s="1"/>
      <c r="E2994" s="1"/>
      <c r="F2994" s="1"/>
      <c r="G2994" s="1"/>
      <c r="H2994" s="1"/>
    </row>
    <row r="2995" spans="1:8" ht="13.2" x14ac:dyDescent="0.25">
      <c r="A2995" s="1"/>
      <c r="B2995" s="1"/>
      <c r="C2995" s="1"/>
      <c r="D2995" s="1"/>
      <c r="E2995" s="1"/>
      <c r="F2995" s="1"/>
      <c r="G2995" s="1"/>
      <c r="H2995" s="1"/>
    </row>
    <row r="2996" spans="1:8" ht="13.2" x14ac:dyDescent="0.25">
      <c r="A2996" s="1"/>
      <c r="B2996" s="1"/>
      <c r="C2996" s="1"/>
      <c r="D2996" s="1"/>
      <c r="E2996" s="1"/>
      <c r="F2996" s="1"/>
      <c r="G2996" s="1"/>
      <c r="H2996" s="1"/>
    </row>
    <row r="2997" spans="1:8" ht="13.2" x14ac:dyDescent="0.25">
      <c r="A2997" s="2"/>
      <c r="B2997" s="1"/>
      <c r="C2997" s="1"/>
      <c r="D2997" s="1"/>
      <c r="E2997" s="1"/>
      <c r="F2997" s="1"/>
      <c r="G2997" s="3"/>
      <c r="H2997" s="1"/>
    </row>
    <row r="2998" spans="1:8" ht="13.2" x14ac:dyDescent="0.25">
      <c r="A2998" s="1"/>
      <c r="B2998" s="1"/>
      <c r="C2998" s="1"/>
      <c r="D2998" s="1"/>
      <c r="E2998" s="1"/>
      <c r="F2998" s="1"/>
      <c r="G2998" s="1"/>
      <c r="H2998" s="1"/>
    </row>
    <row r="2999" spans="1:8" ht="13.2" x14ac:dyDescent="0.25">
      <c r="A2999" s="1"/>
      <c r="B2999" s="1"/>
      <c r="C2999" s="1"/>
      <c r="D2999" s="1"/>
      <c r="E2999" s="1"/>
      <c r="F2999" s="1"/>
      <c r="G2999" s="1"/>
      <c r="H2999" s="1"/>
    </row>
    <row r="3000" spans="1:8" ht="13.2" x14ac:dyDescent="0.25">
      <c r="A3000" s="1"/>
      <c r="B3000" s="1"/>
      <c r="C3000" s="1"/>
      <c r="D3000" s="1"/>
      <c r="E3000" s="1"/>
      <c r="F3000" s="1"/>
      <c r="G3000" s="1"/>
      <c r="H3000" s="1"/>
    </row>
    <row r="3001" spans="1:8" ht="13.2" x14ac:dyDescent="0.25">
      <c r="A3001" s="1"/>
      <c r="B3001" s="1"/>
      <c r="C3001" s="1"/>
      <c r="D3001" s="1"/>
      <c r="E3001" s="1"/>
      <c r="F3001" s="1"/>
      <c r="G3001" s="1"/>
      <c r="H3001" s="1"/>
    </row>
    <row r="3002" spans="1:8" ht="13.2" x14ac:dyDescent="0.25">
      <c r="A3002" s="1"/>
      <c r="B3002" s="1"/>
      <c r="C3002" s="1"/>
      <c r="D3002" s="1"/>
      <c r="E3002" s="1"/>
      <c r="F3002" s="1"/>
      <c r="G3002" s="1"/>
      <c r="H3002" s="1"/>
    </row>
    <row r="3003" spans="1:8" ht="13.2" x14ac:dyDescent="0.25">
      <c r="A3003" s="1"/>
      <c r="B3003" s="1"/>
      <c r="C3003" s="1"/>
      <c r="D3003" s="1"/>
      <c r="E3003" s="1"/>
      <c r="F3003" s="1"/>
      <c r="G3003" s="1"/>
      <c r="H3003" s="1"/>
    </row>
    <row r="3004" spans="1:8" ht="13.2" x14ac:dyDescent="0.25">
      <c r="A3004" s="1"/>
      <c r="B3004" s="1"/>
      <c r="C3004" s="1"/>
      <c r="D3004" s="1"/>
      <c r="E3004" s="1"/>
      <c r="F3004" s="1"/>
      <c r="G3004" s="1"/>
      <c r="H3004" s="1"/>
    </row>
    <row r="3005" spans="1:8" ht="13.2" x14ac:dyDescent="0.25">
      <c r="A3005" s="1"/>
      <c r="B3005" s="1"/>
      <c r="C3005" s="1"/>
      <c r="D3005" s="1"/>
      <c r="E3005" s="1"/>
      <c r="F3005" s="1"/>
      <c r="G3005" s="1"/>
      <c r="H3005" s="1"/>
    </row>
    <row r="3006" spans="1:8" ht="13.2" x14ac:dyDescent="0.25">
      <c r="A3006" s="1"/>
      <c r="B3006" s="1"/>
      <c r="C3006" s="1"/>
      <c r="D3006" s="1"/>
      <c r="E3006" s="1"/>
      <c r="F3006" s="1"/>
      <c r="G3006" s="3"/>
      <c r="H3006" s="1"/>
    </row>
    <row r="3007" spans="1:8" ht="13.2" x14ac:dyDescent="0.25">
      <c r="A3007" s="1"/>
      <c r="B3007" s="1"/>
      <c r="C3007" s="1"/>
      <c r="D3007" s="1"/>
      <c r="E3007" s="1"/>
      <c r="F3007" s="1"/>
      <c r="G3007" s="1"/>
      <c r="H3007" s="1"/>
    </row>
    <row r="3008" spans="1:8" ht="13.2" x14ac:dyDescent="0.25">
      <c r="A3008" s="1"/>
      <c r="B3008" s="1"/>
      <c r="C3008" s="1"/>
      <c r="D3008" s="1"/>
      <c r="E3008" s="1"/>
      <c r="F3008" s="1"/>
      <c r="G3008" s="3"/>
      <c r="H3008" s="1"/>
    </row>
    <row r="3009" spans="1:8" ht="13.2" x14ac:dyDescent="0.25">
      <c r="A3009" s="2"/>
      <c r="B3009" s="1"/>
      <c r="C3009" s="1"/>
      <c r="D3009" s="1"/>
      <c r="E3009" s="1"/>
      <c r="F3009" s="1"/>
      <c r="G3009" s="1"/>
      <c r="H3009" s="1"/>
    </row>
    <row r="3010" spans="1:8" ht="13.2" x14ac:dyDescent="0.25">
      <c r="A3010" s="2"/>
      <c r="B3010" s="1"/>
      <c r="C3010" s="1"/>
      <c r="D3010" s="1"/>
      <c r="E3010" s="1"/>
      <c r="F3010" s="1"/>
      <c r="G3010" s="1"/>
      <c r="H3010" s="1"/>
    </row>
    <row r="3011" spans="1:8" ht="13.2" x14ac:dyDescent="0.25">
      <c r="A3011" s="1"/>
      <c r="B3011" s="1"/>
      <c r="C3011" s="1"/>
      <c r="D3011" s="1"/>
      <c r="E3011" s="1"/>
      <c r="F3011" s="1"/>
      <c r="G3011" s="1"/>
      <c r="H3011" s="1"/>
    </row>
    <row r="3012" spans="1:8" ht="13.2" x14ac:dyDescent="0.25">
      <c r="A3012" s="1"/>
      <c r="B3012" s="1"/>
      <c r="C3012" s="1"/>
      <c r="D3012" s="1"/>
      <c r="E3012" s="1"/>
      <c r="F3012" s="1"/>
      <c r="G3012" s="1"/>
      <c r="H3012" s="1"/>
    </row>
    <row r="3013" spans="1:8" ht="13.2" x14ac:dyDescent="0.25">
      <c r="A3013" s="2"/>
      <c r="B3013" s="1"/>
      <c r="C3013" s="1"/>
      <c r="D3013" s="1"/>
      <c r="E3013" s="1"/>
      <c r="F3013" s="1"/>
      <c r="G3013" s="3"/>
      <c r="H3013" s="1"/>
    </row>
    <row r="3014" spans="1:8" ht="13.2" x14ac:dyDescent="0.25">
      <c r="A3014" s="1"/>
      <c r="B3014" s="1"/>
      <c r="C3014" s="1"/>
      <c r="D3014" s="1"/>
      <c r="E3014" s="1"/>
      <c r="F3014" s="1"/>
      <c r="G3014" s="3"/>
      <c r="H3014" s="1"/>
    </row>
    <row r="3015" spans="1:8" ht="13.2" x14ac:dyDescent="0.25">
      <c r="A3015" s="1"/>
      <c r="B3015" s="1"/>
      <c r="C3015" s="1"/>
      <c r="D3015" s="1"/>
      <c r="E3015" s="1"/>
      <c r="F3015" s="1"/>
      <c r="G3015" s="1"/>
      <c r="H3015" s="1"/>
    </row>
    <row r="3016" spans="1:8" ht="13.2" x14ac:dyDescent="0.25">
      <c r="A3016" s="1"/>
      <c r="B3016" s="1"/>
      <c r="C3016" s="1"/>
      <c r="D3016" s="1"/>
      <c r="E3016" s="1"/>
      <c r="F3016" s="1"/>
      <c r="G3016" s="3"/>
      <c r="H3016" s="1"/>
    </row>
    <row r="3017" spans="1:8" ht="13.2" x14ac:dyDescent="0.25">
      <c r="A3017" s="1"/>
      <c r="B3017" s="1"/>
      <c r="C3017" s="1"/>
      <c r="D3017" s="1"/>
      <c r="E3017" s="1"/>
      <c r="F3017" s="1"/>
      <c r="G3017" s="1"/>
      <c r="H3017" s="1"/>
    </row>
    <row r="3018" spans="1:8" ht="13.2" x14ac:dyDescent="0.25">
      <c r="A3018" s="1"/>
      <c r="B3018" s="1"/>
      <c r="C3018" s="1"/>
      <c r="D3018" s="1"/>
      <c r="E3018" s="1"/>
      <c r="F3018" s="1"/>
      <c r="G3018" s="3"/>
      <c r="H3018" s="1"/>
    </row>
    <row r="3019" spans="1:8" ht="13.2" x14ac:dyDescent="0.25">
      <c r="A3019" s="1"/>
      <c r="B3019" s="1"/>
      <c r="C3019" s="1"/>
      <c r="D3019" s="1"/>
      <c r="E3019" s="1"/>
      <c r="F3019" s="1"/>
      <c r="G3019" s="1"/>
      <c r="H3019" s="1"/>
    </row>
    <row r="3020" spans="1:8" ht="13.2" x14ac:dyDescent="0.25">
      <c r="A3020" s="1"/>
      <c r="B3020" s="1"/>
      <c r="C3020" s="1"/>
      <c r="D3020" s="1"/>
      <c r="E3020" s="1"/>
      <c r="F3020" s="1"/>
      <c r="G3020" s="1"/>
      <c r="H3020" s="1"/>
    </row>
    <row r="3021" spans="1:8" ht="13.2" x14ac:dyDescent="0.25">
      <c r="A3021" s="2"/>
      <c r="B3021" s="1"/>
      <c r="C3021" s="1"/>
      <c r="D3021" s="1"/>
      <c r="E3021" s="1"/>
      <c r="F3021" s="1"/>
      <c r="G3021" s="3"/>
      <c r="H3021" s="1"/>
    </row>
    <row r="3022" spans="1:8" ht="13.2" x14ac:dyDescent="0.25">
      <c r="A3022" s="1"/>
      <c r="B3022" s="1"/>
      <c r="C3022" s="1"/>
      <c r="D3022" s="1"/>
      <c r="E3022" s="1"/>
      <c r="F3022" s="1"/>
      <c r="G3022" s="1"/>
      <c r="H3022" s="1"/>
    </row>
    <row r="3023" spans="1:8" ht="13.2" x14ac:dyDescent="0.25">
      <c r="A3023" s="1"/>
      <c r="B3023" s="1"/>
      <c r="C3023" s="1"/>
      <c r="D3023" s="1"/>
      <c r="E3023" s="1"/>
      <c r="F3023" s="1"/>
      <c r="G3023" s="3"/>
      <c r="H3023" s="1"/>
    </row>
    <row r="3024" spans="1:8" ht="13.2" x14ac:dyDescent="0.25">
      <c r="A3024" s="1"/>
      <c r="B3024" s="1"/>
      <c r="C3024" s="1"/>
      <c r="D3024" s="1"/>
      <c r="E3024" s="1"/>
      <c r="F3024" s="1"/>
      <c r="G3024" s="1"/>
      <c r="H3024" s="1"/>
    </row>
    <row r="3025" spans="1:8" ht="13.2" x14ac:dyDescent="0.25">
      <c r="A3025" s="1"/>
      <c r="B3025" s="1"/>
      <c r="C3025" s="1"/>
      <c r="D3025" s="1"/>
      <c r="E3025" s="1"/>
      <c r="F3025" s="1"/>
      <c r="G3025" s="3"/>
      <c r="H3025" s="1"/>
    </row>
    <row r="3026" spans="1:8" ht="13.2" x14ac:dyDescent="0.25">
      <c r="A3026" s="1"/>
      <c r="B3026" s="1"/>
      <c r="C3026" s="1"/>
      <c r="D3026" s="1"/>
      <c r="E3026" s="1"/>
      <c r="F3026" s="1"/>
      <c r="G3026" s="3"/>
      <c r="H3026" s="1"/>
    </row>
    <row r="3027" spans="1:8" ht="13.2" x14ac:dyDescent="0.25">
      <c r="A3027" s="2"/>
      <c r="B3027" s="1"/>
      <c r="C3027" s="1"/>
      <c r="D3027" s="1"/>
      <c r="E3027" s="1"/>
      <c r="F3027" s="1"/>
      <c r="G3027" s="1"/>
      <c r="H3027" s="1"/>
    </row>
    <row r="3028" spans="1:8" ht="13.2" x14ac:dyDescent="0.25">
      <c r="A3028" s="2"/>
      <c r="B3028" s="1"/>
      <c r="C3028" s="1"/>
      <c r="D3028" s="1"/>
      <c r="E3028" s="1"/>
      <c r="F3028" s="1"/>
      <c r="G3028" s="1"/>
      <c r="H3028" s="1"/>
    </row>
    <row r="3029" spans="1:8" ht="13.2" x14ac:dyDescent="0.25">
      <c r="A3029" s="1"/>
      <c r="B3029" s="1"/>
      <c r="C3029" s="1"/>
      <c r="D3029" s="1"/>
      <c r="E3029" s="1"/>
      <c r="F3029" s="1"/>
      <c r="G3029" s="3"/>
      <c r="H3029" s="1"/>
    </row>
    <row r="3030" spans="1:8" ht="13.2" x14ac:dyDescent="0.25">
      <c r="A3030" s="2"/>
      <c r="B3030" s="1"/>
      <c r="C3030" s="1"/>
      <c r="D3030" s="1"/>
      <c r="E3030" s="1"/>
      <c r="F3030" s="1"/>
      <c r="G3030" s="1"/>
      <c r="H3030" s="1"/>
    </row>
    <row r="3031" spans="1:8" ht="13.2" x14ac:dyDescent="0.25">
      <c r="A3031" s="1"/>
      <c r="B3031" s="1"/>
      <c r="C3031" s="1"/>
      <c r="D3031" s="1"/>
      <c r="E3031" s="1"/>
      <c r="F3031" s="1"/>
      <c r="G3031" s="1"/>
      <c r="H3031" s="1"/>
    </row>
    <row r="3032" spans="1:8" ht="13.2" x14ac:dyDescent="0.25">
      <c r="A3032" s="2"/>
      <c r="B3032" s="1"/>
      <c r="C3032" s="1"/>
      <c r="D3032" s="1"/>
      <c r="E3032" s="1"/>
      <c r="F3032" s="1"/>
      <c r="G3032" s="1"/>
      <c r="H3032" s="1"/>
    </row>
    <row r="3033" spans="1:8" ht="13.2" x14ac:dyDescent="0.25">
      <c r="A3033" s="1"/>
      <c r="B3033" s="1"/>
      <c r="C3033" s="1"/>
      <c r="D3033" s="1"/>
      <c r="E3033" s="1"/>
      <c r="F3033" s="1"/>
      <c r="G3033" s="1"/>
      <c r="H3033" s="1"/>
    </row>
    <row r="3034" spans="1:8" ht="13.2" x14ac:dyDescent="0.25">
      <c r="A3034" s="1"/>
      <c r="B3034" s="1"/>
      <c r="C3034" s="1"/>
      <c r="D3034" s="1"/>
      <c r="E3034" s="1"/>
      <c r="F3034" s="1"/>
      <c r="G3034" s="3"/>
      <c r="H3034" s="1"/>
    </row>
    <row r="3035" spans="1:8" ht="13.2" x14ac:dyDescent="0.25">
      <c r="A3035" s="1"/>
      <c r="B3035" s="1"/>
      <c r="C3035" s="1"/>
      <c r="D3035" s="1"/>
      <c r="E3035" s="1"/>
      <c r="F3035" s="1"/>
      <c r="G3035" s="3"/>
      <c r="H3035" s="1"/>
    </row>
    <row r="3036" spans="1:8" ht="13.2" x14ac:dyDescent="0.25">
      <c r="A3036" s="2"/>
      <c r="B3036" s="1"/>
      <c r="C3036" s="1"/>
      <c r="D3036" s="1"/>
      <c r="E3036" s="1"/>
      <c r="F3036" s="1"/>
      <c r="G3036" s="1"/>
      <c r="H3036" s="1"/>
    </row>
    <row r="3037" spans="1:8" ht="13.2" x14ac:dyDescent="0.25">
      <c r="A3037" s="1"/>
      <c r="B3037" s="1"/>
      <c r="C3037" s="1"/>
      <c r="D3037" s="1"/>
      <c r="E3037" s="1"/>
      <c r="F3037" s="1"/>
      <c r="G3037" s="1"/>
      <c r="H3037" s="1"/>
    </row>
    <row r="3038" spans="1:8" ht="13.2" x14ac:dyDescent="0.25">
      <c r="A3038" s="2"/>
      <c r="B3038" s="1"/>
      <c r="C3038" s="1"/>
      <c r="D3038" s="1"/>
      <c r="E3038" s="1"/>
      <c r="F3038" s="1"/>
      <c r="G3038" s="1"/>
      <c r="H3038" s="1"/>
    </row>
    <row r="3039" spans="1:8" ht="13.2" x14ac:dyDescent="0.25">
      <c r="A3039" s="1"/>
      <c r="B3039" s="1"/>
      <c r="C3039" s="1"/>
      <c r="D3039" s="1"/>
      <c r="E3039" s="1"/>
      <c r="F3039" s="1"/>
      <c r="G3039" s="1"/>
      <c r="H3039" s="1"/>
    </row>
    <row r="3040" spans="1:8" ht="13.2" x14ac:dyDescent="0.25">
      <c r="A3040" s="1"/>
      <c r="B3040" s="1"/>
      <c r="C3040" s="1"/>
      <c r="D3040" s="1"/>
      <c r="E3040" s="1"/>
      <c r="F3040" s="1"/>
      <c r="G3040" s="1"/>
      <c r="H3040" s="1"/>
    </row>
    <row r="3041" spans="1:8" ht="13.2" x14ac:dyDescent="0.25">
      <c r="A3041" s="1"/>
      <c r="B3041" s="1"/>
      <c r="C3041" s="1"/>
      <c r="D3041" s="1"/>
      <c r="E3041" s="1"/>
      <c r="F3041" s="1"/>
      <c r="G3041" s="3"/>
      <c r="H3041" s="1"/>
    </row>
    <row r="3042" spans="1:8" ht="13.2" x14ac:dyDescent="0.25">
      <c r="A3042" s="1"/>
      <c r="B3042" s="1"/>
      <c r="C3042" s="1"/>
      <c r="D3042" s="1"/>
      <c r="E3042" s="1"/>
      <c r="F3042" s="1"/>
      <c r="G3042" s="1"/>
      <c r="H3042" s="1"/>
    </row>
    <row r="3043" spans="1:8" ht="13.2" x14ac:dyDescent="0.25">
      <c r="A3043" s="2"/>
      <c r="B3043" s="1"/>
      <c r="C3043" s="1"/>
      <c r="D3043" s="1"/>
      <c r="E3043" s="1"/>
      <c r="F3043" s="1"/>
      <c r="G3043" s="1"/>
      <c r="H3043" s="1"/>
    </row>
    <row r="3044" spans="1:8" ht="13.2" x14ac:dyDescent="0.25">
      <c r="A3044" s="1"/>
      <c r="B3044" s="1"/>
      <c r="C3044" s="1"/>
      <c r="D3044" s="1"/>
      <c r="E3044" s="1"/>
      <c r="F3044" s="1"/>
      <c r="G3044" s="3"/>
      <c r="H3044" s="1"/>
    </row>
    <row r="3045" spans="1:8" ht="13.2" x14ac:dyDescent="0.25">
      <c r="A3045" s="1"/>
      <c r="B3045" s="1"/>
      <c r="C3045" s="1"/>
      <c r="D3045" s="1"/>
      <c r="E3045" s="1"/>
      <c r="F3045" s="1"/>
      <c r="G3045" s="1"/>
      <c r="H3045" s="1"/>
    </row>
    <row r="3046" spans="1:8" ht="13.2" x14ac:dyDescent="0.25">
      <c r="A3046" s="2"/>
      <c r="B3046" s="1"/>
      <c r="C3046" s="1"/>
      <c r="D3046" s="1"/>
      <c r="E3046" s="1"/>
      <c r="F3046" s="1"/>
      <c r="G3046" s="3"/>
      <c r="H3046" s="1"/>
    </row>
    <row r="3047" spans="1:8" ht="13.2" x14ac:dyDescent="0.25">
      <c r="A3047" s="1"/>
      <c r="B3047" s="1"/>
      <c r="C3047" s="1"/>
      <c r="D3047" s="1"/>
      <c r="E3047" s="1"/>
      <c r="F3047" s="1"/>
      <c r="G3047" s="1"/>
      <c r="H3047" s="1"/>
    </row>
    <row r="3048" spans="1:8" ht="13.2" x14ac:dyDescent="0.25">
      <c r="A3048" s="1"/>
      <c r="B3048" s="1"/>
      <c r="C3048" s="1"/>
      <c r="D3048" s="1"/>
      <c r="E3048" s="1"/>
      <c r="F3048" s="1"/>
      <c r="G3048" s="3"/>
      <c r="H3048" s="1"/>
    </row>
    <row r="3049" spans="1:8" ht="13.2" x14ac:dyDescent="0.25">
      <c r="A3049" s="2"/>
      <c r="B3049" s="1"/>
      <c r="C3049" s="1"/>
      <c r="D3049" s="1"/>
      <c r="E3049" s="1"/>
      <c r="F3049" s="1"/>
      <c r="G3049" s="3"/>
      <c r="H3049" s="1"/>
    </row>
    <row r="3050" spans="1:8" ht="13.2" x14ac:dyDescent="0.25">
      <c r="A3050" s="2"/>
      <c r="B3050" s="1"/>
      <c r="C3050" s="1"/>
      <c r="D3050" s="1"/>
      <c r="E3050" s="1"/>
      <c r="F3050" s="1"/>
      <c r="G3050" s="1"/>
      <c r="H3050" s="1"/>
    </row>
    <row r="3051" spans="1:8" ht="13.2" x14ac:dyDescent="0.25">
      <c r="A3051" s="1"/>
      <c r="B3051" s="1"/>
      <c r="C3051" s="1"/>
      <c r="D3051" s="1"/>
      <c r="E3051" s="1"/>
      <c r="F3051" s="1"/>
      <c r="G3051" s="3"/>
      <c r="H3051" s="1"/>
    </row>
    <row r="3052" spans="1:8" ht="13.2" x14ac:dyDescent="0.25">
      <c r="A3052" s="1"/>
      <c r="B3052" s="1"/>
      <c r="C3052" s="1"/>
      <c r="D3052" s="1"/>
      <c r="E3052" s="1"/>
      <c r="F3052" s="1"/>
      <c r="G3052" s="1"/>
      <c r="H3052" s="1"/>
    </row>
    <row r="3053" spans="1:8" ht="13.2" x14ac:dyDescent="0.25">
      <c r="A3053" s="1"/>
      <c r="B3053" s="1"/>
      <c r="C3053" s="1"/>
      <c r="D3053" s="1"/>
      <c r="E3053" s="1"/>
      <c r="F3053" s="1"/>
      <c r="G3053" s="1"/>
      <c r="H3053" s="1"/>
    </row>
    <row r="3054" spans="1:8" ht="13.2" x14ac:dyDescent="0.25">
      <c r="A3054" s="2"/>
      <c r="B3054" s="1"/>
      <c r="C3054" s="1"/>
      <c r="D3054" s="1"/>
      <c r="E3054" s="1"/>
      <c r="F3054" s="1"/>
      <c r="G3054" s="1"/>
      <c r="H3054" s="1"/>
    </row>
    <row r="3055" spans="1:8" ht="13.2" x14ac:dyDescent="0.25">
      <c r="A3055" s="1"/>
      <c r="B3055" s="1"/>
      <c r="C3055" s="1"/>
      <c r="D3055" s="1"/>
      <c r="E3055" s="1"/>
      <c r="F3055" s="1"/>
      <c r="G3055" s="1"/>
      <c r="H3055" s="1"/>
    </row>
    <row r="3056" spans="1:8" ht="13.2" x14ac:dyDescent="0.25">
      <c r="A3056" s="2"/>
      <c r="B3056" s="1"/>
      <c r="C3056" s="1"/>
      <c r="D3056" s="1"/>
      <c r="E3056" s="1"/>
      <c r="F3056" s="1"/>
      <c r="G3056" s="1"/>
      <c r="H3056" s="1"/>
    </row>
    <row r="3057" spans="1:8" ht="13.2" x14ac:dyDescent="0.25">
      <c r="A3057" s="2"/>
      <c r="B3057" s="1"/>
      <c r="C3057" s="1"/>
      <c r="D3057" s="1"/>
      <c r="E3057" s="1"/>
      <c r="F3057" s="1"/>
      <c r="G3057" s="1"/>
      <c r="H3057" s="1"/>
    </row>
    <row r="3058" spans="1:8" ht="13.2" x14ac:dyDescent="0.25">
      <c r="A3058" s="1"/>
      <c r="B3058" s="1"/>
      <c r="C3058" s="1"/>
      <c r="D3058" s="1"/>
      <c r="E3058" s="1"/>
      <c r="F3058" s="1"/>
      <c r="G3058" s="1"/>
      <c r="H3058" s="1"/>
    </row>
    <row r="3059" spans="1:8" ht="13.2" x14ac:dyDescent="0.25">
      <c r="A3059" s="1"/>
      <c r="B3059" s="1"/>
      <c r="C3059" s="1"/>
      <c r="D3059" s="1"/>
      <c r="E3059" s="1"/>
      <c r="F3059" s="1"/>
      <c r="G3059" s="1"/>
      <c r="H3059" s="1"/>
    </row>
    <row r="3060" spans="1:8" ht="13.2" x14ac:dyDescent="0.25">
      <c r="A3060" s="1"/>
      <c r="B3060" s="1"/>
      <c r="C3060" s="1"/>
      <c r="D3060" s="1"/>
      <c r="E3060" s="1"/>
      <c r="F3060" s="1"/>
      <c r="G3060" s="1"/>
      <c r="H3060" s="1"/>
    </row>
    <row r="3061" spans="1:8" ht="13.2" x14ac:dyDescent="0.25">
      <c r="A3061" s="1"/>
      <c r="B3061" s="1"/>
      <c r="C3061" s="1"/>
      <c r="D3061" s="1"/>
      <c r="E3061" s="1"/>
      <c r="F3061" s="1"/>
      <c r="G3061" s="3"/>
      <c r="H3061" s="1"/>
    </row>
    <row r="3062" spans="1:8" ht="13.2" x14ac:dyDescent="0.25">
      <c r="A3062" s="1"/>
      <c r="B3062" s="1"/>
      <c r="C3062" s="1"/>
      <c r="D3062" s="1"/>
      <c r="E3062" s="1"/>
      <c r="F3062" s="1"/>
      <c r="G3062" s="3"/>
      <c r="H3062" s="1"/>
    </row>
    <row r="3063" spans="1:8" ht="13.2" x14ac:dyDescent="0.25">
      <c r="A3063" s="2"/>
      <c r="B3063" s="1"/>
      <c r="C3063" s="1"/>
      <c r="D3063" s="1"/>
      <c r="E3063" s="1"/>
      <c r="F3063" s="1"/>
      <c r="G3063" s="3"/>
      <c r="H3063" s="1"/>
    </row>
    <row r="3064" spans="1:8" ht="13.2" x14ac:dyDescent="0.25">
      <c r="A3064" s="1"/>
      <c r="B3064" s="1"/>
      <c r="C3064" s="1"/>
      <c r="D3064" s="1"/>
      <c r="E3064" s="1"/>
      <c r="F3064" s="1"/>
      <c r="G3064" s="3"/>
      <c r="H3064" s="1"/>
    </row>
    <row r="3065" spans="1:8" ht="13.2" x14ac:dyDescent="0.25">
      <c r="A3065" s="1"/>
      <c r="B3065" s="1"/>
      <c r="C3065" s="1"/>
      <c r="D3065" s="1"/>
      <c r="E3065" s="1"/>
      <c r="F3065" s="1"/>
      <c r="G3065" s="1"/>
      <c r="H3065" s="1"/>
    </row>
    <row r="3066" spans="1:8" ht="13.2" x14ac:dyDescent="0.25">
      <c r="A3066" s="1"/>
      <c r="B3066" s="1"/>
      <c r="C3066" s="1"/>
      <c r="D3066" s="1"/>
      <c r="E3066" s="1"/>
      <c r="F3066" s="1"/>
      <c r="G3066" s="1"/>
      <c r="H3066" s="1"/>
    </row>
    <row r="3067" spans="1:8" ht="13.2" x14ac:dyDescent="0.25">
      <c r="A3067" s="2"/>
      <c r="B3067" s="1"/>
      <c r="C3067" s="1"/>
      <c r="D3067" s="1"/>
      <c r="E3067" s="1"/>
      <c r="F3067" s="1"/>
      <c r="G3067" s="3"/>
      <c r="H3067" s="1"/>
    </row>
    <row r="3068" spans="1:8" ht="13.2" x14ac:dyDescent="0.25">
      <c r="A3068" s="2"/>
      <c r="B3068" s="1"/>
      <c r="C3068" s="1"/>
      <c r="D3068" s="1"/>
      <c r="E3068" s="1"/>
      <c r="F3068" s="1"/>
      <c r="G3068" s="1"/>
      <c r="H3068" s="1"/>
    </row>
    <row r="3069" spans="1:8" ht="13.2" x14ac:dyDescent="0.25">
      <c r="A3069" s="2"/>
      <c r="B3069" s="1"/>
      <c r="C3069" s="1"/>
      <c r="D3069" s="1"/>
      <c r="E3069" s="1"/>
      <c r="F3069" s="1"/>
      <c r="G3069" s="3"/>
      <c r="H3069" s="1"/>
    </row>
    <row r="3070" spans="1:8" ht="13.2" x14ac:dyDescent="0.25">
      <c r="A3070" s="1"/>
      <c r="B3070" s="1"/>
      <c r="C3070" s="1"/>
      <c r="D3070" s="1"/>
      <c r="E3070" s="1"/>
      <c r="F3070" s="1"/>
      <c r="G3070" s="3"/>
      <c r="H3070" s="1"/>
    </row>
    <row r="3071" spans="1:8" ht="13.2" x14ac:dyDescent="0.25">
      <c r="A3071" s="1"/>
      <c r="B3071" s="1"/>
      <c r="C3071" s="1"/>
      <c r="D3071" s="1"/>
      <c r="E3071" s="1"/>
      <c r="F3071" s="1"/>
      <c r="G3071" s="3"/>
      <c r="H3071" s="1"/>
    </row>
    <row r="3072" spans="1:8" ht="13.2" x14ac:dyDescent="0.25">
      <c r="A3072" s="1"/>
      <c r="B3072" s="1"/>
      <c r="C3072" s="1"/>
      <c r="D3072" s="1"/>
      <c r="E3072" s="1"/>
      <c r="F3072" s="1"/>
      <c r="G3072" s="1"/>
      <c r="H3072" s="1"/>
    </row>
    <row r="3073" spans="1:8" ht="13.2" x14ac:dyDescent="0.25">
      <c r="A3073" s="1"/>
      <c r="B3073" s="1"/>
      <c r="C3073" s="1"/>
      <c r="D3073" s="1"/>
      <c r="E3073" s="1"/>
      <c r="F3073" s="1"/>
      <c r="G3073" s="1"/>
      <c r="H3073" s="1"/>
    </row>
    <row r="3074" spans="1:8" ht="13.2" x14ac:dyDescent="0.25">
      <c r="A3074" s="1"/>
      <c r="B3074" s="1"/>
      <c r="C3074" s="1"/>
      <c r="D3074" s="1"/>
      <c r="E3074" s="1"/>
      <c r="F3074" s="1"/>
      <c r="G3074" s="1"/>
      <c r="H3074" s="1"/>
    </row>
    <row r="3075" spans="1:8" ht="13.2" x14ac:dyDescent="0.25">
      <c r="A3075" s="1"/>
      <c r="B3075" s="1"/>
      <c r="C3075" s="1"/>
      <c r="D3075" s="1"/>
      <c r="E3075" s="1"/>
      <c r="F3075" s="1"/>
      <c r="G3075" s="1"/>
      <c r="H3075" s="1"/>
    </row>
    <row r="3076" spans="1:8" ht="13.2" x14ac:dyDescent="0.25">
      <c r="A3076" s="1"/>
      <c r="B3076" s="1"/>
      <c r="C3076" s="1"/>
      <c r="D3076" s="1"/>
      <c r="E3076" s="1"/>
      <c r="F3076" s="1"/>
      <c r="G3076" s="3"/>
      <c r="H3076" s="1"/>
    </row>
    <row r="3077" spans="1:8" ht="13.2" x14ac:dyDescent="0.25">
      <c r="A3077" s="1"/>
      <c r="B3077" s="1"/>
      <c r="C3077" s="1"/>
      <c r="D3077" s="1"/>
      <c r="E3077" s="1"/>
      <c r="F3077" s="1"/>
      <c r="G3077" s="3"/>
      <c r="H3077" s="1"/>
    </row>
    <row r="3078" spans="1:8" ht="13.2" x14ac:dyDescent="0.25">
      <c r="A3078" s="2"/>
      <c r="B3078" s="1"/>
      <c r="C3078" s="1"/>
      <c r="D3078" s="1"/>
      <c r="E3078" s="1"/>
      <c r="F3078" s="1"/>
      <c r="G3078" s="3"/>
      <c r="H3078" s="1"/>
    </row>
    <row r="3079" spans="1:8" ht="13.2" x14ac:dyDescent="0.25">
      <c r="A3079" s="2"/>
      <c r="B3079" s="1"/>
      <c r="C3079" s="1"/>
      <c r="D3079" s="1"/>
      <c r="E3079" s="1"/>
      <c r="F3079" s="1"/>
      <c r="G3079" s="3"/>
      <c r="H3079" s="1"/>
    </row>
    <row r="3080" spans="1:8" ht="13.2" x14ac:dyDescent="0.25">
      <c r="A3080" s="1"/>
      <c r="B3080" s="1"/>
      <c r="C3080" s="1"/>
      <c r="D3080" s="1"/>
      <c r="E3080" s="1"/>
      <c r="F3080" s="1"/>
      <c r="G3080" s="1"/>
      <c r="H3080" s="1"/>
    </row>
    <row r="3081" spans="1:8" ht="13.2" x14ac:dyDescent="0.25">
      <c r="A3081" s="2"/>
      <c r="B3081" s="1"/>
      <c r="C3081" s="1"/>
      <c r="D3081" s="1"/>
      <c r="E3081" s="1"/>
      <c r="F3081" s="1"/>
      <c r="G3081" s="1"/>
      <c r="H3081" s="1"/>
    </row>
    <row r="3082" spans="1:8" ht="13.2" x14ac:dyDescent="0.25">
      <c r="A3082" s="1"/>
      <c r="B3082" s="1"/>
      <c r="C3082" s="1"/>
      <c r="D3082" s="1"/>
      <c r="E3082" s="1"/>
      <c r="F3082" s="1"/>
      <c r="G3082" s="3"/>
      <c r="H3082" s="1"/>
    </row>
    <row r="3083" spans="1:8" ht="13.2" x14ac:dyDescent="0.25">
      <c r="A3083" s="1"/>
      <c r="B3083" s="1"/>
      <c r="C3083" s="1"/>
      <c r="D3083" s="1"/>
      <c r="E3083" s="1"/>
      <c r="F3083" s="1"/>
      <c r="G3083" s="1"/>
      <c r="H3083" s="1"/>
    </row>
    <row r="3084" spans="1:8" ht="13.2" x14ac:dyDescent="0.25">
      <c r="A3084" s="1"/>
      <c r="B3084" s="1"/>
      <c r="C3084" s="1"/>
      <c r="D3084" s="1"/>
      <c r="E3084" s="1"/>
      <c r="F3084" s="1"/>
      <c r="G3084" s="3"/>
      <c r="H3084" s="1"/>
    </row>
    <row r="3085" spans="1:8" ht="13.2" x14ac:dyDescent="0.25">
      <c r="A3085" s="1"/>
      <c r="B3085" s="1"/>
      <c r="C3085" s="1"/>
      <c r="D3085" s="1"/>
      <c r="E3085" s="1"/>
      <c r="F3085" s="1"/>
      <c r="G3085" s="1"/>
      <c r="H3085" s="1"/>
    </row>
    <row r="3086" spans="1:8" ht="13.2" x14ac:dyDescent="0.25">
      <c r="A3086" s="2"/>
      <c r="B3086" s="1"/>
      <c r="C3086" s="1"/>
      <c r="D3086" s="1"/>
      <c r="E3086" s="1"/>
      <c r="F3086" s="1"/>
      <c r="G3086" s="1"/>
      <c r="H3086" s="1"/>
    </row>
    <row r="3087" spans="1:8" ht="13.2" x14ac:dyDescent="0.25">
      <c r="A3087" s="2"/>
      <c r="B3087" s="1"/>
      <c r="C3087" s="1"/>
      <c r="D3087" s="1"/>
      <c r="E3087" s="1"/>
      <c r="F3087" s="1"/>
      <c r="G3087" s="3"/>
      <c r="H3087" s="1"/>
    </row>
    <row r="3088" spans="1:8" ht="13.2" x14ac:dyDescent="0.25">
      <c r="A3088" s="1"/>
      <c r="B3088" s="1"/>
      <c r="C3088" s="1"/>
      <c r="D3088" s="1"/>
      <c r="E3088" s="1"/>
      <c r="F3088" s="1"/>
      <c r="G3088" s="1"/>
      <c r="H3088" s="1"/>
    </row>
    <row r="3089" spans="1:8" ht="13.2" x14ac:dyDescent="0.25">
      <c r="A3089" s="1"/>
      <c r="B3089" s="1"/>
      <c r="C3089" s="1"/>
      <c r="D3089" s="1"/>
      <c r="E3089" s="1"/>
      <c r="F3089" s="1"/>
      <c r="G3089" s="1"/>
      <c r="H3089" s="1"/>
    </row>
    <row r="3090" spans="1:8" ht="13.2" x14ac:dyDescent="0.25">
      <c r="A3090" s="1"/>
      <c r="B3090" s="1"/>
      <c r="C3090" s="1"/>
      <c r="D3090" s="1"/>
      <c r="E3090" s="1"/>
      <c r="F3090" s="1"/>
      <c r="G3090" s="3"/>
      <c r="H3090" s="1"/>
    </row>
    <row r="3091" spans="1:8" ht="13.2" x14ac:dyDescent="0.25">
      <c r="A3091" s="1"/>
      <c r="B3091" s="1"/>
      <c r="C3091" s="1"/>
      <c r="D3091" s="1"/>
      <c r="E3091" s="1"/>
      <c r="F3091" s="1"/>
      <c r="G3091" s="3"/>
      <c r="H3091" s="1"/>
    </row>
    <row r="3092" spans="1:8" ht="13.2" x14ac:dyDescent="0.25">
      <c r="A3092" s="2"/>
      <c r="B3092" s="1"/>
      <c r="C3092" s="1"/>
      <c r="D3092" s="1"/>
      <c r="E3092" s="1"/>
      <c r="F3092" s="1"/>
      <c r="G3092" s="3"/>
      <c r="H3092" s="1"/>
    </row>
    <row r="3093" spans="1:8" ht="13.2" x14ac:dyDescent="0.25">
      <c r="A3093" s="1"/>
      <c r="B3093" s="1"/>
      <c r="C3093" s="1"/>
      <c r="D3093" s="1"/>
      <c r="E3093" s="1"/>
      <c r="F3093" s="1"/>
      <c r="G3093" s="3"/>
      <c r="H3093" s="1"/>
    </row>
    <row r="3094" spans="1:8" ht="13.2" x14ac:dyDescent="0.25">
      <c r="A3094" s="2"/>
      <c r="B3094" s="1"/>
      <c r="C3094" s="1"/>
      <c r="D3094" s="1"/>
      <c r="E3094" s="1"/>
      <c r="F3094" s="1"/>
      <c r="G3094" s="1"/>
      <c r="H3094" s="1"/>
    </row>
    <row r="3095" spans="1:8" ht="13.2" x14ac:dyDescent="0.25">
      <c r="A3095" s="1"/>
      <c r="B3095" s="1"/>
      <c r="C3095" s="1"/>
      <c r="D3095" s="1"/>
      <c r="E3095" s="1"/>
      <c r="F3095" s="1"/>
      <c r="G3095" s="1"/>
      <c r="H3095" s="1"/>
    </row>
    <row r="3096" spans="1:8" ht="13.2" x14ac:dyDescent="0.25">
      <c r="A3096" s="2"/>
      <c r="B3096" s="1"/>
      <c r="C3096" s="1"/>
      <c r="D3096" s="1"/>
      <c r="E3096" s="1"/>
      <c r="F3096" s="1"/>
      <c r="G3096" s="1"/>
      <c r="H3096" s="1"/>
    </row>
    <row r="3097" spans="1:8" ht="13.2" x14ac:dyDescent="0.25">
      <c r="A3097" s="1"/>
      <c r="B3097" s="1"/>
      <c r="C3097" s="1"/>
      <c r="D3097" s="1"/>
      <c r="E3097" s="1"/>
      <c r="F3097" s="1"/>
      <c r="G3097" s="1"/>
      <c r="H3097" s="1"/>
    </row>
    <row r="3098" spans="1:8" ht="13.2" x14ac:dyDescent="0.25">
      <c r="A3098" s="1"/>
      <c r="B3098" s="1"/>
      <c r="C3098" s="1"/>
      <c r="D3098" s="1"/>
      <c r="E3098" s="1"/>
      <c r="F3098" s="1"/>
      <c r="G3098" s="3"/>
      <c r="H3098" s="1"/>
    </row>
    <row r="3099" spans="1:8" ht="13.2" x14ac:dyDescent="0.25">
      <c r="A3099" s="2"/>
      <c r="B3099" s="1"/>
      <c r="C3099" s="1"/>
      <c r="D3099" s="1"/>
      <c r="E3099" s="1"/>
      <c r="F3099" s="1"/>
      <c r="G3099" s="1"/>
      <c r="H3099" s="1"/>
    </row>
    <row r="3100" spans="1:8" ht="13.2" x14ac:dyDescent="0.25">
      <c r="A3100" s="2"/>
      <c r="B3100" s="1"/>
      <c r="C3100" s="1"/>
      <c r="D3100" s="1"/>
      <c r="E3100" s="1"/>
      <c r="F3100" s="1"/>
      <c r="G3100" s="1"/>
      <c r="H3100" s="1"/>
    </row>
    <row r="3101" spans="1:8" ht="13.2" x14ac:dyDescent="0.25">
      <c r="A3101" s="1"/>
      <c r="B3101" s="1"/>
      <c r="C3101" s="1"/>
      <c r="D3101" s="1"/>
      <c r="E3101" s="1"/>
      <c r="F3101" s="1"/>
      <c r="G3101" s="1"/>
      <c r="H3101" s="1"/>
    </row>
    <row r="3102" spans="1:8" ht="13.2" x14ac:dyDescent="0.25">
      <c r="A3102" s="1"/>
      <c r="B3102" s="1"/>
      <c r="C3102" s="1"/>
      <c r="D3102" s="1"/>
      <c r="E3102" s="1"/>
      <c r="F3102" s="1"/>
      <c r="G3102" s="3"/>
      <c r="H3102" s="1"/>
    </row>
    <row r="3103" spans="1:8" ht="13.2" x14ac:dyDescent="0.25">
      <c r="A3103" s="1"/>
      <c r="B3103" s="1"/>
      <c r="C3103" s="1"/>
      <c r="D3103" s="1"/>
      <c r="E3103" s="1"/>
      <c r="F3103" s="1"/>
      <c r="G3103" s="3"/>
      <c r="H3103" s="1"/>
    </row>
    <row r="3104" spans="1:8" ht="13.2" x14ac:dyDescent="0.25">
      <c r="A3104" s="1"/>
      <c r="B3104" s="1"/>
      <c r="C3104" s="1"/>
      <c r="D3104" s="1"/>
      <c r="E3104" s="1"/>
      <c r="F3104" s="1"/>
      <c r="G3104" s="1"/>
      <c r="H3104" s="1"/>
    </row>
    <row r="3105" spans="1:8" ht="13.2" x14ac:dyDescent="0.25">
      <c r="A3105" s="1"/>
      <c r="B3105" s="1"/>
      <c r="C3105" s="1"/>
      <c r="D3105" s="1"/>
      <c r="E3105" s="1"/>
      <c r="F3105" s="1"/>
      <c r="G3105" s="3"/>
      <c r="H3105" s="1"/>
    </row>
    <row r="3106" spans="1:8" ht="13.2" x14ac:dyDescent="0.25">
      <c r="A3106" s="2"/>
      <c r="B3106" s="1"/>
      <c r="C3106" s="1"/>
      <c r="D3106" s="1"/>
      <c r="E3106" s="1"/>
      <c r="F3106" s="1"/>
      <c r="G3106" s="1"/>
      <c r="H3106" s="1"/>
    </row>
    <row r="3107" spans="1:8" ht="13.2" x14ac:dyDescent="0.25">
      <c r="A3107" s="1"/>
      <c r="B3107" s="1"/>
      <c r="C3107" s="1"/>
      <c r="D3107" s="1"/>
      <c r="E3107" s="1"/>
      <c r="F3107" s="1"/>
      <c r="G3107" s="3"/>
      <c r="H3107" s="1"/>
    </row>
    <row r="3108" spans="1:8" ht="13.2" x14ac:dyDescent="0.25">
      <c r="A3108" s="1"/>
      <c r="B3108" s="1"/>
      <c r="C3108" s="1"/>
      <c r="D3108" s="1"/>
      <c r="E3108" s="1"/>
      <c r="F3108" s="1"/>
      <c r="G3108" s="1"/>
      <c r="H3108" s="1"/>
    </row>
    <row r="3109" spans="1:8" ht="13.2" x14ac:dyDescent="0.25">
      <c r="A3109" s="1"/>
      <c r="B3109" s="1"/>
      <c r="C3109" s="1"/>
      <c r="D3109" s="1"/>
      <c r="E3109" s="1"/>
      <c r="F3109" s="1"/>
      <c r="G3109" s="3"/>
      <c r="H3109" s="1"/>
    </row>
    <row r="3110" spans="1:8" ht="13.2" x14ac:dyDescent="0.25">
      <c r="A3110" s="2"/>
      <c r="B3110" s="1"/>
      <c r="C3110" s="1"/>
      <c r="D3110" s="1"/>
      <c r="E3110" s="1"/>
      <c r="F3110" s="1"/>
      <c r="G3110" s="1"/>
      <c r="H3110" s="1"/>
    </row>
    <row r="3111" spans="1:8" ht="13.2" x14ac:dyDescent="0.25">
      <c r="A3111" s="2"/>
      <c r="B3111" s="1"/>
      <c r="C3111" s="1"/>
      <c r="D3111" s="1"/>
      <c r="E3111" s="1"/>
      <c r="F3111" s="1"/>
      <c r="G3111" s="3"/>
      <c r="H3111" s="1"/>
    </row>
    <row r="3112" spans="1:8" ht="13.2" x14ac:dyDescent="0.25">
      <c r="A3112" s="1"/>
      <c r="B3112" s="1"/>
      <c r="C3112" s="1"/>
      <c r="D3112" s="1"/>
      <c r="E3112" s="1"/>
      <c r="F3112" s="1"/>
      <c r="G3112" s="3"/>
      <c r="H3112" s="1"/>
    </row>
    <row r="3113" spans="1:8" ht="13.2" x14ac:dyDescent="0.25">
      <c r="A3113" s="1"/>
      <c r="B3113" s="1"/>
      <c r="C3113" s="1"/>
      <c r="D3113" s="1"/>
      <c r="E3113" s="1"/>
      <c r="F3113" s="1"/>
      <c r="G3113" s="3"/>
      <c r="H3113" s="1"/>
    </row>
    <row r="3114" spans="1:8" ht="13.2" x14ac:dyDescent="0.25">
      <c r="A3114" s="1"/>
      <c r="B3114" s="1"/>
      <c r="C3114" s="1"/>
      <c r="D3114" s="1"/>
      <c r="E3114" s="1"/>
      <c r="F3114" s="1"/>
      <c r="G3114" s="3"/>
      <c r="H3114" s="1"/>
    </row>
    <row r="3115" spans="1:8" ht="13.2" x14ac:dyDescent="0.25">
      <c r="A3115" s="1"/>
      <c r="B3115" s="1"/>
      <c r="C3115" s="1"/>
      <c r="D3115" s="1"/>
      <c r="E3115" s="1"/>
      <c r="F3115" s="1"/>
      <c r="G3115" s="1"/>
      <c r="H3115" s="1"/>
    </row>
    <row r="3116" spans="1:8" ht="13.2" x14ac:dyDescent="0.25">
      <c r="A3116" s="1"/>
      <c r="B3116" s="1"/>
      <c r="C3116" s="1"/>
      <c r="D3116" s="1"/>
      <c r="E3116" s="1"/>
      <c r="F3116" s="1"/>
      <c r="G3116" s="1"/>
      <c r="H3116" s="1"/>
    </row>
    <row r="3117" spans="1:8" ht="13.2" x14ac:dyDescent="0.25">
      <c r="A3117" s="1"/>
      <c r="B3117" s="1"/>
      <c r="C3117" s="1"/>
      <c r="D3117" s="1"/>
      <c r="E3117" s="1"/>
      <c r="F3117" s="1"/>
      <c r="G3117" s="1"/>
      <c r="H3117" s="1"/>
    </row>
    <row r="3118" spans="1:8" ht="13.2" x14ac:dyDescent="0.25">
      <c r="A3118" s="1"/>
      <c r="B3118" s="1"/>
      <c r="C3118" s="1"/>
      <c r="D3118" s="1"/>
      <c r="E3118" s="1"/>
      <c r="F3118" s="1"/>
      <c r="G3118" s="1"/>
      <c r="H3118" s="1"/>
    </row>
    <row r="3119" spans="1:8" ht="13.2" x14ac:dyDescent="0.25">
      <c r="A3119" s="2"/>
      <c r="B3119" s="1"/>
      <c r="C3119" s="1"/>
      <c r="D3119" s="1"/>
      <c r="E3119" s="1"/>
      <c r="F3119" s="1"/>
      <c r="G3119" s="1"/>
      <c r="H3119" s="1"/>
    </row>
    <row r="3120" spans="1:8" ht="13.2" x14ac:dyDescent="0.25">
      <c r="A3120" s="2"/>
      <c r="B3120" s="1"/>
      <c r="C3120" s="1"/>
      <c r="D3120" s="1"/>
      <c r="E3120" s="1"/>
      <c r="F3120" s="1"/>
      <c r="G3120" s="1"/>
      <c r="H3120" s="1"/>
    </row>
    <row r="3121" spans="1:8" ht="13.2" x14ac:dyDescent="0.25">
      <c r="A3121" s="1"/>
      <c r="B3121" s="1"/>
      <c r="C3121" s="1"/>
      <c r="D3121" s="1"/>
      <c r="E3121" s="1"/>
      <c r="F3121" s="1"/>
      <c r="G3121" s="1"/>
      <c r="H3121" s="1"/>
    </row>
    <row r="3122" spans="1:8" ht="13.2" x14ac:dyDescent="0.25">
      <c r="A3122" s="1"/>
      <c r="B3122" s="1"/>
      <c r="C3122" s="1"/>
      <c r="D3122" s="1"/>
      <c r="E3122" s="1"/>
      <c r="F3122" s="1"/>
      <c r="G3122" s="1"/>
      <c r="H3122" s="1"/>
    </row>
    <row r="3123" spans="1:8" ht="13.2" x14ac:dyDescent="0.25">
      <c r="A3123" s="1"/>
      <c r="B3123" s="1"/>
      <c r="C3123" s="1"/>
      <c r="D3123" s="1"/>
      <c r="E3123" s="1"/>
      <c r="F3123" s="1"/>
      <c r="G3123" s="1"/>
      <c r="H3123" s="1"/>
    </row>
    <row r="3124" spans="1:8" ht="13.2" x14ac:dyDescent="0.25">
      <c r="A3124" s="1"/>
      <c r="B3124" s="1"/>
      <c r="C3124" s="1"/>
      <c r="D3124" s="1"/>
      <c r="E3124" s="1"/>
      <c r="F3124" s="1"/>
      <c r="G3124" s="1"/>
      <c r="H3124" s="1"/>
    </row>
    <row r="3125" spans="1:8" ht="13.2" x14ac:dyDescent="0.25">
      <c r="A3125" s="2"/>
      <c r="B3125" s="1"/>
      <c r="C3125" s="1"/>
      <c r="D3125" s="1"/>
      <c r="E3125" s="1"/>
      <c r="F3125" s="1"/>
      <c r="G3125" s="1"/>
      <c r="H3125" s="1"/>
    </row>
    <row r="3126" spans="1:8" ht="13.2" x14ac:dyDescent="0.25">
      <c r="A3126" s="1"/>
      <c r="B3126" s="1"/>
      <c r="C3126" s="1"/>
      <c r="D3126" s="1"/>
      <c r="E3126" s="1"/>
      <c r="F3126" s="1"/>
      <c r="G3126" s="3"/>
      <c r="H3126" s="1"/>
    </row>
    <row r="3127" spans="1:8" ht="13.2" x14ac:dyDescent="0.25">
      <c r="A3127" s="1"/>
      <c r="B3127" s="1"/>
      <c r="C3127" s="1"/>
      <c r="D3127" s="1"/>
      <c r="E3127" s="1"/>
      <c r="F3127" s="1"/>
      <c r="G3127" s="1"/>
      <c r="H3127" s="1"/>
    </row>
    <row r="3128" spans="1:8" ht="13.2" x14ac:dyDescent="0.25">
      <c r="A3128" s="2"/>
      <c r="B3128" s="1"/>
      <c r="C3128" s="1"/>
      <c r="D3128" s="1"/>
      <c r="E3128" s="1"/>
      <c r="F3128" s="1"/>
      <c r="G3128" s="3"/>
      <c r="H3128" s="1"/>
    </row>
    <row r="3129" spans="1:8" ht="13.2" x14ac:dyDescent="0.25">
      <c r="A3129" s="2"/>
      <c r="B3129" s="1"/>
      <c r="C3129" s="1"/>
      <c r="D3129" s="1"/>
      <c r="E3129" s="1"/>
      <c r="F3129" s="1"/>
      <c r="G3129" s="1"/>
      <c r="H3129" s="1"/>
    </row>
    <row r="3130" spans="1:8" ht="13.2" x14ac:dyDescent="0.25">
      <c r="A3130" s="1"/>
      <c r="B3130" s="1"/>
      <c r="C3130" s="1"/>
      <c r="D3130" s="1"/>
      <c r="E3130" s="1"/>
      <c r="F3130" s="1"/>
      <c r="G3130" s="3"/>
      <c r="H3130" s="1"/>
    </row>
    <row r="3131" spans="1:8" ht="13.2" x14ac:dyDescent="0.25">
      <c r="A3131" s="1"/>
      <c r="B3131" s="1"/>
      <c r="C3131" s="1"/>
      <c r="D3131" s="1"/>
      <c r="E3131" s="1"/>
      <c r="F3131" s="1"/>
      <c r="G3131" s="3"/>
      <c r="H3131" s="1"/>
    </row>
    <row r="3132" spans="1:8" ht="13.2" x14ac:dyDescent="0.25">
      <c r="A3132" s="1"/>
      <c r="B3132" s="1"/>
      <c r="C3132" s="1"/>
      <c r="D3132" s="1"/>
      <c r="E3132" s="1"/>
      <c r="F3132" s="1"/>
      <c r="G3132" s="3"/>
      <c r="H3132" s="1"/>
    </row>
    <row r="3133" spans="1:8" ht="13.2" x14ac:dyDescent="0.25">
      <c r="A3133" s="1"/>
      <c r="B3133" s="1"/>
      <c r="C3133" s="1"/>
      <c r="D3133" s="1"/>
      <c r="E3133" s="1"/>
      <c r="F3133" s="1"/>
      <c r="G3133" s="3"/>
      <c r="H3133" s="1"/>
    </row>
    <row r="3134" spans="1:8" ht="13.2" x14ac:dyDescent="0.25">
      <c r="A3134" s="1"/>
      <c r="B3134" s="1"/>
      <c r="C3134" s="1"/>
      <c r="D3134" s="1"/>
      <c r="E3134" s="1"/>
      <c r="F3134" s="1"/>
      <c r="G3134" s="3"/>
      <c r="H3134" s="1"/>
    </row>
    <row r="3135" spans="1:8" ht="13.2" x14ac:dyDescent="0.25">
      <c r="A3135" s="2"/>
      <c r="B3135" s="1"/>
      <c r="C3135" s="1"/>
      <c r="D3135" s="1"/>
      <c r="E3135" s="1"/>
      <c r="F3135" s="1"/>
      <c r="G3135" s="1"/>
      <c r="H3135" s="1"/>
    </row>
    <row r="3136" spans="1:8" ht="13.2" x14ac:dyDescent="0.25">
      <c r="A3136" s="2"/>
      <c r="B3136" s="1"/>
      <c r="C3136" s="1"/>
      <c r="D3136" s="1"/>
      <c r="E3136" s="1"/>
      <c r="F3136" s="1"/>
      <c r="G3136" s="1"/>
      <c r="H3136" s="1"/>
    </row>
    <row r="3137" spans="1:8" ht="13.2" x14ac:dyDescent="0.25">
      <c r="A3137" s="1"/>
      <c r="B3137" s="1"/>
      <c r="C3137" s="1"/>
      <c r="D3137" s="1"/>
      <c r="E3137" s="1"/>
      <c r="F3137" s="1"/>
      <c r="G3137" s="1"/>
      <c r="H3137" s="1"/>
    </row>
    <row r="3138" spans="1:8" ht="13.2" x14ac:dyDescent="0.25">
      <c r="A3138" s="1"/>
      <c r="B3138" s="1"/>
      <c r="C3138" s="1"/>
      <c r="D3138" s="1"/>
      <c r="E3138" s="1"/>
      <c r="F3138" s="1"/>
      <c r="G3138" s="3"/>
      <c r="H3138" s="1"/>
    </row>
    <row r="3139" spans="1:8" ht="13.2" x14ac:dyDescent="0.25">
      <c r="A3139" s="1"/>
      <c r="B3139" s="1"/>
      <c r="C3139" s="1"/>
      <c r="D3139" s="1"/>
      <c r="E3139" s="1"/>
      <c r="F3139" s="1"/>
      <c r="G3139" s="1"/>
      <c r="H3139" s="1"/>
    </row>
    <row r="3140" spans="1:8" ht="13.2" x14ac:dyDescent="0.25">
      <c r="A3140" s="1"/>
      <c r="B3140" s="1"/>
      <c r="C3140" s="1"/>
      <c r="D3140" s="1"/>
      <c r="E3140" s="1"/>
      <c r="F3140" s="1"/>
      <c r="G3140" s="3"/>
      <c r="H3140" s="1"/>
    </row>
    <row r="3141" spans="1:8" ht="13.2" x14ac:dyDescent="0.25">
      <c r="A3141" s="1"/>
      <c r="B3141" s="1"/>
      <c r="C3141" s="1"/>
      <c r="D3141" s="1"/>
      <c r="E3141" s="1"/>
      <c r="F3141" s="1"/>
      <c r="G3141" s="3"/>
      <c r="H3141" s="1"/>
    </row>
    <row r="3142" spans="1:8" ht="13.2" x14ac:dyDescent="0.25">
      <c r="A3142" s="1"/>
      <c r="B3142" s="1"/>
      <c r="C3142" s="1"/>
      <c r="D3142" s="1"/>
      <c r="E3142" s="1"/>
      <c r="F3142" s="1"/>
      <c r="G3142" s="1"/>
      <c r="H3142" s="1"/>
    </row>
    <row r="3143" spans="1:8" ht="13.2" x14ac:dyDescent="0.25">
      <c r="A3143" s="2"/>
      <c r="B3143" s="1"/>
      <c r="C3143" s="1"/>
      <c r="D3143" s="1"/>
      <c r="E3143" s="1"/>
      <c r="F3143" s="1"/>
      <c r="G3143" s="1"/>
      <c r="H3143" s="1"/>
    </row>
    <row r="3144" spans="1:8" ht="13.2" x14ac:dyDescent="0.25">
      <c r="A3144" s="1"/>
      <c r="B3144" s="1"/>
      <c r="C3144" s="1"/>
      <c r="D3144" s="1"/>
      <c r="E3144" s="1"/>
      <c r="F3144" s="1"/>
      <c r="G3144" s="1"/>
      <c r="H3144" s="1"/>
    </row>
    <row r="3145" spans="1:8" ht="13.2" x14ac:dyDescent="0.25">
      <c r="A3145" s="1"/>
      <c r="B3145" s="1"/>
      <c r="C3145" s="1"/>
      <c r="D3145" s="1"/>
      <c r="E3145" s="1"/>
      <c r="F3145" s="1"/>
      <c r="G3145" s="3"/>
      <c r="H3145" s="1"/>
    </row>
    <row r="3146" spans="1:8" ht="13.2" x14ac:dyDescent="0.25">
      <c r="A3146" s="1"/>
      <c r="B3146" s="1"/>
      <c r="C3146" s="1"/>
      <c r="D3146" s="1"/>
      <c r="E3146" s="1"/>
      <c r="F3146" s="1"/>
      <c r="G3146" s="1"/>
      <c r="H3146" s="1"/>
    </row>
    <row r="3147" spans="1:8" ht="13.2" x14ac:dyDescent="0.25">
      <c r="A3147" s="1"/>
      <c r="B3147" s="1"/>
      <c r="C3147" s="1"/>
      <c r="D3147" s="1"/>
      <c r="E3147" s="1"/>
      <c r="F3147" s="1"/>
      <c r="G3147" s="1"/>
      <c r="H3147" s="1"/>
    </row>
    <row r="3148" spans="1:8" ht="13.2" x14ac:dyDescent="0.25">
      <c r="A3148" s="1"/>
      <c r="B3148" s="1"/>
      <c r="C3148" s="1"/>
      <c r="D3148" s="1"/>
      <c r="E3148" s="1"/>
      <c r="F3148" s="1"/>
      <c r="G3148" s="1"/>
      <c r="H3148" s="1"/>
    </row>
    <row r="3149" spans="1:8" ht="13.2" x14ac:dyDescent="0.25">
      <c r="A3149" s="1"/>
      <c r="B3149" s="1"/>
      <c r="C3149" s="1"/>
      <c r="D3149" s="1"/>
      <c r="E3149" s="1"/>
      <c r="F3149" s="1"/>
      <c r="G3149" s="1"/>
      <c r="H3149" s="1"/>
    </row>
    <row r="3150" spans="1:8" ht="13.2" x14ac:dyDescent="0.25">
      <c r="A3150" s="1"/>
      <c r="B3150" s="1"/>
      <c r="C3150" s="1"/>
      <c r="D3150" s="1"/>
      <c r="E3150" s="1"/>
      <c r="F3150" s="1"/>
      <c r="G3150" s="1"/>
      <c r="H3150" s="1"/>
    </row>
    <row r="3151" spans="1:8" ht="13.2" x14ac:dyDescent="0.25">
      <c r="A3151" s="1"/>
      <c r="B3151" s="1"/>
      <c r="C3151" s="1"/>
      <c r="D3151" s="1"/>
      <c r="E3151" s="1"/>
      <c r="F3151" s="1"/>
      <c r="G3151" s="3"/>
      <c r="H3151" s="1"/>
    </row>
    <row r="3152" spans="1:8" ht="13.2" x14ac:dyDescent="0.25">
      <c r="A3152" s="1"/>
      <c r="B3152" s="1"/>
      <c r="C3152" s="1"/>
      <c r="D3152" s="1"/>
      <c r="E3152" s="1"/>
      <c r="F3152" s="1"/>
      <c r="G3152" s="1"/>
      <c r="H3152" s="1"/>
    </row>
    <row r="3153" spans="1:8" ht="13.2" x14ac:dyDescent="0.25">
      <c r="A3153" s="1"/>
      <c r="B3153" s="1"/>
      <c r="C3153" s="1"/>
      <c r="D3153" s="1"/>
      <c r="E3153" s="1"/>
      <c r="F3153" s="1"/>
      <c r="G3153" s="3"/>
      <c r="H3153" s="1"/>
    </row>
    <row r="3154" spans="1:8" ht="13.2" x14ac:dyDescent="0.25">
      <c r="A3154" s="2"/>
      <c r="B3154" s="1"/>
      <c r="C3154" s="1"/>
      <c r="D3154" s="1"/>
      <c r="E3154" s="1"/>
      <c r="F3154" s="1"/>
      <c r="G3154" s="1"/>
      <c r="H3154" s="1"/>
    </row>
    <row r="3155" spans="1:8" ht="13.2" x14ac:dyDescent="0.25">
      <c r="A3155" s="1"/>
      <c r="B3155" s="1"/>
      <c r="C3155" s="1"/>
      <c r="D3155" s="1"/>
      <c r="E3155" s="1"/>
      <c r="F3155" s="1"/>
      <c r="G3155" s="3"/>
      <c r="H3155" s="1"/>
    </row>
    <row r="3156" spans="1:8" ht="13.2" x14ac:dyDescent="0.25">
      <c r="A3156" s="1"/>
      <c r="B3156" s="1"/>
      <c r="C3156" s="1"/>
      <c r="D3156" s="1"/>
      <c r="E3156" s="1"/>
      <c r="F3156" s="1"/>
      <c r="G3156" s="3"/>
      <c r="H3156" s="1"/>
    </row>
    <row r="3157" spans="1:8" ht="13.2" x14ac:dyDescent="0.25">
      <c r="A3157" s="1"/>
      <c r="B3157" s="1"/>
      <c r="C3157" s="1"/>
      <c r="D3157" s="1"/>
      <c r="E3157" s="1"/>
      <c r="F3157" s="1"/>
      <c r="G3157" s="1"/>
      <c r="H3157" s="1"/>
    </row>
    <row r="3158" spans="1:8" ht="13.2" x14ac:dyDescent="0.25">
      <c r="A3158" s="1"/>
      <c r="B3158" s="1"/>
      <c r="C3158" s="1"/>
      <c r="D3158" s="1"/>
      <c r="E3158" s="1"/>
      <c r="F3158" s="1"/>
      <c r="G3158" s="3"/>
      <c r="H3158" s="1"/>
    </row>
    <row r="3159" spans="1:8" ht="13.2" x14ac:dyDescent="0.25">
      <c r="A3159" s="1"/>
      <c r="B3159" s="1"/>
      <c r="C3159" s="1"/>
      <c r="D3159" s="1"/>
      <c r="E3159" s="1"/>
      <c r="F3159" s="1"/>
      <c r="G3159" s="3"/>
      <c r="H3159" s="1"/>
    </row>
    <row r="3160" spans="1:8" ht="13.2" x14ac:dyDescent="0.25">
      <c r="A3160" s="2"/>
      <c r="B3160" s="1"/>
      <c r="C3160" s="1"/>
      <c r="D3160" s="1"/>
      <c r="E3160" s="1"/>
      <c r="F3160" s="1"/>
      <c r="G3160" s="1"/>
      <c r="H3160" s="1"/>
    </row>
    <row r="3161" spans="1:8" ht="13.2" x14ac:dyDescent="0.25">
      <c r="A3161" s="1"/>
      <c r="B3161" s="1"/>
      <c r="C3161" s="1"/>
      <c r="D3161" s="1"/>
      <c r="E3161" s="1"/>
      <c r="F3161" s="1"/>
      <c r="G3161" s="1"/>
      <c r="H3161" s="1"/>
    </row>
    <row r="3162" spans="1:8" ht="13.2" x14ac:dyDescent="0.25">
      <c r="A3162" s="1"/>
      <c r="B3162" s="1"/>
      <c r="C3162" s="1"/>
      <c r="D3162" s="1"/>
      <c r="E3162" s="1"/>
      <c r="F3162" s="1"/>
      <c r="G3162" s="3"/>
      <c r="H3162" s="1"/>
    </row>
    <row r="3163" spans="1:8" ht="13.2" x14ac:dyDescent="0.25">
      <c r="A3163" s="2"/>
      <c r="B3163" s="1"/>
      <c r="C3163" s="1"/>
      <c r="D3163" s="1"/>
      <c r="E3163" s="1"/>
      <c r="F3163" s="1"/>
      <c r="G3163" s="1"/>
      <c r="H3163" s="1"/>
    </row>
    <row r="3164" spans="1:8" ht="13.2" x14ac:dyDescent="0.25">
      <c r="A3164" s="2"/>
      <c r="B3164" s="1"/>
      <c r="C3164" s="1"/>
      <c r="D3164" s="1"/>
      <c r="E3164" s="1"/>
      <c r="F3164" s="1"/>
      <c r="G3164" s="1"/>
      <c r="H3164" s="1"/>
    </row>
    <row r="3165" spans="1:8" ht="13.2" x14ac:dyDescent="0.25">
      <c r="A3165" s="2"/>
      <c r="B3165" s="1"/>
      <c r="C3165" s="1"/>
      <c r="D3165" s="1"/>
      <c r="E3165" s="1"/>
      <c r="F3165" s="1"/>
      <c r="G3165" s="1"/>
      <c r="H3165" s="1"/>
    </row>
    <row r="3166" spans="1:8" ht="13.2" x14ac:dyDescent="0.25">
      <c r="A3166" s="1"/>
      <c r="B3166" s="1"/>
      <c r="C3166" s="1"/>
      <c r="D3166" s="1"/>
      <c r="E3166" s="1"/>
      <c r="F3166" s="1"/>
      <c r="G3166" s="1"/>
      <c r="H3166" s="1"/>
    </row>
    <row r="3167" spans="1:8" ht="13.2" x14ac:dyDescent="0.25">
      <c r="A3167" s="1"/>
      <c r="B3167" s="1"/>
      <c r="C3167" s="1"/>
      <c r="D3167" s="1"/>
      <c r="E3167" s="1"/>
      <c r="F3167" s="1"/>
      <c r="G3167" s="1"/>
      <c r="H3167" s="1"/>
    </row>
    <row r="3168" spans="1:8" ht="13.2" x14ac:dyDescent="0.25">
      <c r="A3168" s="1"/>
      <c r="B3168" s="1"/>
      <c r="C3168" s="1"/>
      <c r="D3168" s="1"/>
      <c r="E3168" s="1"/>
      <c r="F3168" s="1"/>
      <c r="G3168" s="1"/>
      <c r="H3168" s="1"/>
    </row>
    <row r="3169" spans="1:8" ht="13.2" x14ac:dyDescent="0.25">
      <c r="A3169" s="1"/>
      <c r="B3169" s="1"/>
      <c r="C3169" s="1"/>
      <c r="D3169" s="1"/>
      <c r="E3169" s="1"/>
      <c r="F3169" s="1"/>
      <c r="G3169" s="1"/>
      <c r="H3169" s="1"/>
    </row>
    <row r="3170" spans="1:8" ht="13.2" x14ac:dyDescent="0.25">
      <c r="A3170" s="1"/>
      <c r="B3170" s="1"/>
      <c r="C3170" s="1"/>
      <c r="D3170" s="1"/>
      <c r="E3170" s="1"/>
      <c r="F3170" s="1"/>
      <c r="G3170" s="3"/>
      <c r="H3170" s="1"/>
    </row>
    <row r="3171" spans="1:8" ht="13.2" x14ac:dyDescent="0.25">
      <c r="A3171" s="1"/>
      <c r="B3171" s="1"/>
      <c r="C3171" s="1"/>
      <c r="D3171" s="1"/>
      <c r="E3171" s="1"/>
      <c r="F3171" s="1"/>
      <c r="G3171" s="3"/>
      <c r="H3171" s="1"/>
    </row>
    <row r="3172" spans="1:8" ht="13.2" x14ac:dyDescent="0.25">
      <c r="A3172" s="2"/>
      <c r="B3172" s="1"/>
      <c r="C3172" s="1"/>
      <c r="D3172" s="1"/>
      <c r="E3172" s="1"/>
      <c r="F3172" s="1"/>
      <c r="G3172" s="1"/>
      <c r="H3172" s="1"/>
    </row>
    <row r="3173" spans="1:8" ht="13.2" x14ac:dyDescent="0.25">
      <c r="A3173" s="1"/>
      <c r="B3173" s="1"/>
      <c r="C3173" s="1"/>
      <c r="D3173" s="1"/>
      <c r="E3173" s="1"/>
      <c r="F3173" s="1"/>
      <c r="G3173" s="3"/>
      <c r="H3173" s="1"/>
    </row>
    <row r="3174" spans="1:8" ht="13.2" x14ac:dyDescent="0.25">
      <c r="A3174" s="1"/>
      <c r="B3174" s="1"/>
      <c r="C3174" s="1"/>
      <c r="D3174" s="1"/>
      <c r="E3174" s="1"/>
      <c r="F3174" s="1"/>
      <c r="G3174" s="1"/>
      <c r="H3174" s="1"/>
    </row>
    <row r="3175" spans="1:8" ht="13.2" x14ac:dyDescent="0.25">
      <c r="A3175" s="2"/>
      <c r="B3175" s="1"/>
      <c r="C3175" s="1"/>
      <c r="D3175" s="1"/>
      <c r="E3175" s="1"/>
      <c r="F3175" s="1"/>
      <c r="G3175" s="3"/>
      <c r="H3175" s="1"/>
    </row>
    <row r="3176" spans="1:8" ht="13.2" x14ac:dyDescent="0.25">
      <c r="A3176" s="2"/>
      <c r="B3176" s="1"/>
      <c r="C3176" s="1"/>
      <c r="D3176" s="1"/>
      <c r="E3176" s="1"/>
      <c r="F3176" s="1"/>
      <c r="G3176" s="3"/>
      <c r="H3176" s="1"/>
    </row>
    <row r="3177" spans="1:8" ht="13.2" x14ac:dyDescent="0.25">
      <c r="A3177" s="2"/>
      <c r="B3177" s="1"/>
      <c r="C3177" s="1"/>
      <c r="D3177" s="1"/>
      <c r="E3177" s="1"/>
      <c r="F3177" s="1"/>
      <c r="G3177" s="1"/>
      <c r="H3177" s="1"/>
    </row>
    <row r="3178" spans="1:8" ht="13.2" x14ac:dyDescent="0.25">
      <c r="A3178" s="1"/>
      <c r="B3178" s="1"/>
      <c r="C3178" s="1"/>
      <c r="D3178" s="1"/>
      <c r="E3178" s="1"/>
      <c r="F3178" s="1"/>
      <c r="G3178" s="1"/>
      <c r="H3178" s="1"/>
    </row>
    <row r="3179" spans="1:8" ht="13.2" x14ac:dyDescent="0.25">
      <c r="A3179" s="1"/>
      <c r="B3179" s="1"/>
      <c r="C3179" s="1"/>
      <c r="D3179" s="1"/>
      <c r="E3179" s="1"/>
      <c r="F3179" s="1"/>
      <c r="G3179" s="3"/>
      <c r="H3179" s="1"/>
    </row>
    <row r="3180" spans="1:8" ht="13.2" x14ac:dyDescent="0.25">
      <c r="A3180" s="1"/>
      <c r="B3180" s="1"/>
      <c r="C3180" s="1"/>
      <c r="D3180" s="1"/>
      <c r="E3180" s="1"/>
      <c r="F3180" s="1"/>
      <c r="G3180" s="1"/>
      <c r="H3180" s="1"/>
    </row>
    <row r="3181" spans="1:8" ht="13.2" x14ac:dyDescent="0.25">
      <c r="A3181" s="1"/>
      <c r="B3181" s="1"/>
      <c r="C3181" s="1"/>
      <c r="D3181" s="1"/>
      <c r="E3181" s="1"/>
      <c r="F3181" s="1"/>
      <c r="G3181" s="1"/>
      <c r="H3181" s="1"/>
    </row>
    <row r="3182" spans="1:8" ht="13.2" x14ac:dyDescent="0.25">
      <c r="A3182" s="1"/>
      <c r="B3182" s="1"/>
      <c r="C3182" s="1"/>
      <c r="D3182" s="1"/>
      <c r="E3182" s="1"/>
      <c r="F3182" s="1"/>
      <c r="G3182" s="1"/>
      <c r="H3182" s="1"/>
    </row>
    <row r="3183" spans="1:8" ht="13.2" x14ac:dyDescent="0.25">
      <c r="A3183" s="1"/>
      <c r="B3183" s="1"/>
      <c r="C3183" s="1"/>
      <c r="D3183" s="1"/>
      <c r="E3183" s="1"/>
      <c r="F3183" s="1"/>
      <c r="G3183" s="1"/>
      <c r="H3183" s="1"/>
    </row>
    <row r="3184" spans="1:8" ht="13.2" x14ac:dyDescent="0.25">
      <c r="A3184" s="2"/>
      <c r="B3184" s="1"/>
      <c r="C3184" s="1"/>
      <c r="D3184" s="1"/>
      <c r="E3184" s="1"/>
      <c r="F3184" s="1"/>
      <c r="G3184" s="1"/>
      <c r="H3184" s="1"/>
    </row>
    <row r="3185" spans="1:8" ht="13.2" x14ac:dyDescent="0.25">
      <c r="A3185" s="1"/>
      <c r="B3185" s="1"/>
      <c r="C3185" s="1"/>
      <c r="D3185" s="1"/>
      <c r="E3185" s="1"/>
      <c r="F3185" s="1"/>
      <c r="G3185" s="1"/>
      <c r="H3185" s="1"/>
    </row>
    <row r="3186" spans="1:8" ht="13.2" x14ac:dyDescent="0.25">
      <c r="A3186" s="1"/>
      <c r="B3186" s="1"/>
      <c r="C3186" s="1"/>
      <c r="D3186" s="1"/>
      <c r="E3186" s="1"/>
      <c r="F3186" s="1"/>
      <c r="G3186" s="1"/>
      <c r="H3186" s="1"/>
    </row>
    <row r="3187" spans="1:8" ht="13.2" x14ac:dyDescent="0.25">
      <c r="A3187" s="1"/>
      <c r="B3187" s="1"/>
      <c r="C3187" s="1"/>
      <c r="D3187" s="1"/>
      <c r="E3187" s="1"/>
      <c r="F3187" s="1"/>
      <c r="G3187" s="3"/>
      <c r="H3187" s="1"/>
    </row>
    <row r="3188" spans="1:8" ht="13.2" x14ac:dyDescent="0.25">
      <c r="A3188" s="1"/>
      <c r="B3188" s="1"/>
      <c r="C3188" s="1"/>
      <c r="D3188" s="1"/>
      <c r="E3188" s="1"/>
      <c r="F3188" s="1"/>
      <c r="G3188" s="1"/>
      <c r="H3188" s="1"/>
    </row>
    <row r="3189" spans="1:8" ht="13.2" x14ac:dyDescent="0.25">
      <c r="A3189" s="1"/>
      <c r="B3189" s="1"/>
      <c r="C3189" s="1"/>
      <c r="D3189" s="1"/>
      <c r="E3189" s="1"/>
      <c r="F3189" s="1"/>
      <c r="G3189" s="1"/>
      <c r="H3189" s="1"/>
    </row>
    <row r="3190" spans="1:8" ht="13.2" x14ac:dyDescent="0.25">
      <c r="A3190" s="1"/>
      <c r="B3190" s="1"/>
      <c r="C3190" s="1"/>
      <c r="D3190" s="1"/>
      <c r="E3190" s="1"/>
      <c r="F3190" s="1"/>
      <c r="G3190" s="1"/>
      <c r="H3190" s="1"/>
    </row>
    <row r="3191" spans="1:8" ht="13.2" x14ac:dyDescent="0.25">
      <c r="A3191" s="1"/>
      <c r="B3191" s="1"/>
      <c r="C3191" s="1"/>
      <c r="D3191" s="1"/>
      <c r="E3191" s="1"/>
      <c r="F3191" s="1"/>
      <c r="G3191" s="3"/>
      <c r="H3191" s="1"/>
    </row>
    <row r="3192" spans="1:8" ht="13.2" x14ac:dyDescent="0.25">
      <c r="A3192" s="1"/>
      <c r="B3192" s="1"/>
      <c r="C3192" s="1"/>
      <c r="D3192" s="1"/>
      <c r="E3192" s="1"/>
      <c r="F3192" s="1"/>
      <c r="G3192" s="3"/>
      <c r="H3192" s="1"/>
    </row>
    <row r="3193" spans="1:8" ht="13.2" x14ac:dyDescent="0.25">
      <c r="A3193" s="1"/>
      <c r="B3193" s="1"/>
      <c r="C3193" s="1"/>
      <c r="D3193" s="1"/>
      <c r="E3193" s="1"/>
      <c r="F3193" s="1"/>
      <c r="G3193" s="1"/>
      <c r="H3193" s="1"/>
    </row>
    <row r="3194" spans="1:8" ht="13.2" x14ac:dyDescent="0.25">
      <c r="A3194" s="1"/>
      <c r="B3194" s="1"/>
      <c r="C3194" s="1"/>
      <c r="D3194" s="1"/>
      <c r="E3194" s="1"/>
      <c r="F3194" s="1"/>
      <c r="G3194" s="1"/>
      <c r="H3194" s="1"/>
    </row>
    <row r="3195" spans="1:8" ht="13.2" x14ac:dyDescent="0.25">
      <c r="A3195" s="1"/>
      <c r="B3195" s="1"/>
      <c r="C3195" s="1"/>
      <c r="D3195" s="1"/>
      <c r="E3195" s="1"/>
      <c r="F3195" s="1"/>
      <c r="G3195" s="3"/>
      <c r="H3195" s="1"/>
    </row>
    <row r="3196" spans="1:8" ht="13.2" x14ac:dyDescent="0.25">
      <c r="A3196" s="1"/>
      <c r="B3196" s="1"/>
      <c r="C3196" s="1"/>
      <c r="D3196" s="1"/>
      <c r="E3196" s="1"/>
      <c r="F3196" s="1"/>
      <c r="G3196" s="1"/>
      <c r="H3196" s="1"/>
    </row>
    <row r="3197" spans="1:8" ht="13.2" x14ac:dyDescent="0.25">
      <c r="A3197" s="1"/>
      <c r="B3197" s="1"/>
      <c r="C3197" s="1"/>
      <c r="D3197" s="1"/>
      <c r="E3197" s="1"/>
      <c r="F3197" s="1"/>
      <c r="G3197" s="1"/>
      <c r="H3197" s="1"/>
    </row>
    <row r="3198" spans="1:8" ht="13.2" x14ac:dyDescent="0.25">
      <c r="A3198" s="1"/>
      <c r="B3198" s="1"/>
      <c r="C3198" s="1"/>
      <c r="D3198" s="1"/>
      <c r="E3198" s="1"/>
      <c r="F3198" s="1"/>
      <c r="G3198" s="1"/>
      <c r="H3198" s="1"/>
    </row>
    <row r="3199" spans="1:8" ht="13.2" x14ac:dyDescent="0.25">
      <c r="A3199" s="1"/>
      <c r="B3199" s="1"/>
      <c r="C3199" s="1"/>
      <c r="D3199" s="1"/>
      <c r="E3199" s="1"/>
      <c r="F3199" s="1"/>
      <c r="G3199" s="1"/>
      <c r="H3199" s="1"/>
    </row>
    <row r="3200" spans="1:8" ht="13.2" x14ac:dyDescent="0.25">
      <c r="A3200" s="2"/>
      <c r="B3200" s="1"/>
      <c r="C3200" s="1"/>
      <c r="D3200" s="1"/>
      <c r="E3200" s="1"/>
      <c r="F3200" s="1"/>
      <c r="G3200" s="3"/>
      <c r="H3200" s="1"/>
    </row>
    <row r="3201" spans="1:8" ht="13.2" x14ac:dyDescent="0.25">
      <c r="A3201" s="2"/>
      <c r="B3201" s="1"/>
      <c r="C3201" s="1"/>
      <c r="D3201" s="1"/>
      <c r="E3201" s="1"/>
      <c r="F3201" s="1"/>
      <c r="G3201" s="3"/>
      <c r="H3201" s="1"/>
    </row>
    <row r="3202" spans="1:8" ht="13.2" x14ac:dyDescent="0.25">
      <c r="A3202" s="2"/>
      <c r="B3202" s="1"/>
      <c r="C3202" s="1"/>
      <c r="D3202" s="1"/>
      <c r="E3202" s="1"/>
      <c r="F3202" s="1"/>
      <c r="G3202" s="1"/>
      <c r="H3202" s="1"/>
    </row>
    <row r="3203" spans="1:8" ht="13.2" x14ac:dyDescent="0.25">
      <c r="A3203" s="2"/>
      <c r="B3203" s="1"/>
      <c r="C3203" s="1"/>
      <c r="D3203" s="1"/>
      <c r="E3203" s="1"/>
      <c r="F3203" s="1"/>
      <c r="G3203" s="3"/>
      <c r="H3203" s="1"/>
    </row>
    <row r="3204" spans="1:8" ht="13.2" x14ac:dyDescent="0.25">
      <c r="A3204" s="1"/>
      <c r="B3204" s="1"/>
      <c r="C3204" s="1"/>
      <c r="D3204" s="1"/>
      <c r="E3204" s="1"/>
      <c r="F3204" s="1"/>
      <c r="G3204" s="1"/>
      <c r="H3204" s="1"/>
    </row>
    <row r="3205" spans="1:8" ht="13.2" x14ac:dyDescent="0.25">
      <c r="A3205" s="1"/>
      <c r="B3205" s="1"/>
      <c r="C3205" s="1"/>
      <c r="D3205" s="1"/>
      <c r="E3205" s="1"/>
      <c r="F3205" s="1"/>
      <c r="G3205" s="1"/>
      <c r="H3205" s="1"/>
    </row>
    <row r="3206" spans="1:8" ht="13.2" x14ac:dyDescent="0.25">
      <c r="A3206" s="2"/>
      <c r="B3206" s="1"/>
      <c r="C3206" s="1"/>
      <c r="D3206" s="1"/>
      <c r="E3206" s="1"/>
      <c r="F3206" s="1"/>
      <c r="G3206" s="1"/>
      <c r="H3206" s="1"/>
    </row>
    <row r="3207" spans="1:8" ht="13.2" x14ac:dyDescent="0.25">
      <c r="A3207" s="2"/>
      <c r="B3207" s="1"/>
      <c r="C3207" s="1"/>
      <c r="D3207" s="1"/>
      <c r="E3207" s="1"/>
      <c r="F3207" s="1"/>
      <c r="G3207" s="1"/>
      <c r="H3207" s="1"/>
    </row>
    <row r="3208" spans="1:8" ht="13.2" x14ac:dyDescent="0.25">
      <c r="A3208" s="1"/>
      <c r="B3208" s="1"/>
      <c r="C3208" s="1"/>
      <c r="D3208" s="1"/>
      <c r="E3208" s="1"/>
      <c r="F3208" s="1"/>
      <c r="G3208" s="1"/>
      <c r="H3208" s="1"/>
    </row>
    <row r="3209" spans="1:8" ht="13.2" x14ac:dyDescent="0.25">
      <c r="A3209" s="1"/>
      <c r="B3209" s="1"/>
      <c r="C3209" s="1"/>
      <c r="D3209" s="1"/>
      <c r="E3209" s="1"/>
      <c r="F3209" s="1"/>
      <c r="G3209" s="1"/>
      <c r="H3209" s="1"/>
    </row>
    <row r="3210" spans="1:8" ht="13.2" x14ac:dyDescent="0.25">
      <c r="A3210" s="1"/>
      <c r="B3210" s="1"/>
      <c r="C3210" s="1"/>
      <c r="D3210" s="1"/>
      <c r="E3210" s="1"/>
      <c r="F3210" s="1"/>
      <c r="G3210" s="3"/>
      <c r="H3210" s="1"/>
    </row>
    <row r="3211" spans="1:8" ht="13.2" x14ac:dyDescent="0.25">
      <c r="A3211" s="1"/>
      <c r="B3211" s="1"/>
      <c r="C3211" s="1"/>
      <c r="D3211" s="1"/>
      <c r="E3211" s="1"/>
      <c r="F3211" s="1"/>
      <c r="G3211" s="1"/>
      <c r="H3211" s="1"/>
    </row>
    <row r="3212" spans="1:8" ht="13.2" x14ac:dyDescent="0.25">
      <c r="A3212" s="1"/>
      <c r="B3212" s="1"/>
      <c r="C3212" s="1"/>
      <c r="D3212" s="1"/>
      <c r="E3212" s="1"/>
      <c r="F3212" s="1"/>
      <c r="G3212" s="3"/>
      <c r="H3212" s="1"/>
    </row>
    <row r="3213" spans="1:8" ht="13.2" x14ac:dyDescent="0.25">
      <c r="A3213" s="2"/>
      <c r="B3213" s="1"/>
      <c r="C3213" s="1"/>
      <c r="D3213" s="1"/>
      <c r="E3213" s="1"/>
      <c r="F3213" s="1"/>
      <c r="G3213" s="1"/>
      <c r="H3213" s="1"/>
    </row>
    <row r="3214" spans="1:8" ht="13.2" x14ac:dyDescent="0.25">
      <c r="A3214" s="2"/>
      <c r="B3214" s="1"/>
      <c r="C3214" s="1"/>
      <c r="D3214" s="1"/>
      <c r="E3214" s="1"/>
      <c r="F3214" s="1"/>
      <c r="G3214" s="1"/>
      <c r="H3214" s="1"/>
    </row>
    <row r="3215" spans="1:8" ht="13.2" x14ac:dyDescent="0.25">
      <c r="A3215" s="1"/>
      <c r="B3215" s="1"/>
      <c r="C3215" s="1"/>
      <c r="D3215" s="1"/>
      <c r="E3215" s="1"/>
      <c r="F3215" s="1"/>
      <c r="G3215" s="1"/>
      <c r="H3215" s="1"/>
    </row>
    <row r="3216" spans="1:8" ht="13.2" x14ac:dyDescent="0.25">
      <c r="A3216" s="1"/>
      <c r="B3216" s="1"/>
      <c r="C3216" s="1"/>
      <c r="D3216" s="1"/>
      <c r="E3216" s="1"/>
      <c r="F3216" s="1"/>
      <c r="G3216" s="3"/>
      <c r="H3216" s="1"/>
    </row>
    <row r="3217" spans="1:8" ht="13.2" x14ac:dyDescent="0.25">
      <c r="A3217" s="1"/>
      <c r="B3217" s="1"/>
      <c r="C3217" s="1"/>
      <c r="D3217" s="1"/>
      <c r="E3217" s="1"/>
      <c r="F3217" s="1"/>
      <c r="G3217" s="3"/>
      <c r="H3217" s="1"/>
    </row>
    <row r="3218" spans="1:8" ht="13.2" x14ac:dyDescent="0.25">
      <c r="A3218" s="2"/>
      <c r="B3218" s="1"/>
      <c r="C3218" s="1"/>
      <c r="D3218" s="1"/>
      <c r="E3218" s="1"/>
      <c r="F3218" s="1"/>
      <c r="G3218" s="1"/>
      <c r="H3218" s="1"/>
    </row>
    <row r="3219" spans="1:8" ht="13.2" x14ac:dyDescent="0.25">
      <c r="A3219" s="1"/>
      <c r="B3219" s="1"/>
      <c r="C3219" s="1"/>
      <c r="D3219" s="1"/>
      <c r="E3219" s="1"/>
      <c r="F3219" s="1"/>
      <c r="G3219" s="1"/>
      <c r="H3219" s="1"/>
    </row>
    <row r="3220" spans="1:8" ht="13.2" x14ac:dyDescent="0.25">
      <c r="A3220" s="1"/>
      <c r="B3220" s="1"/>
      <c r="C3220" s="1"/>
      <c r="D3220" s="1"/>
      <c r="E3220" s="1"/>
      <c r="F3220" s="1"/>
      <c r="G3220" s="1"/>
      <c r="H3220" s="1"/>
    </row>
    <row r="3221" spans="1:8" ht="13.2" x14ac:dyDescent="0.25">
      <c r="A3221" s="1"/>
      <c r="B3221" s="1"/>
      <c r="C3221" s="1"/>
      <c r="D3221" s="1"/>
      <c r="E3221" s="1"/>
      <c r="F3221" s="1"/>
      <c r="G3221" s="1"/>
      <c r="H3221" s="1"/>
    </row>
    <row r="3222" spans="1:8" ht="13.2" x14ac:dyDescent="0.25">
      <c r="A3222" s="1"/>
      <c r="B3222" s="1"/>
      <c r="C3222" s="1"/>
      <c r="D3222" s="1"/>
      <c r="E3222" s="1"/>
      <c r="F3222" s="1"/>
      <c r="G3222" s="1"/>
      <c r="H3222" s="1"/>
    </row>
    <row r="3223" spans="1:8" ht="13.2" x14ac:dyDescent="0.25">
      <c r="A3223" s="2"/>
      <c r="B3223" s="1"/>
      <c r="C3223" s="1"/>
      <c r="D3223" s="1"/>
      <c r="E3223" s="1"/>
      <c r="F3223" s="1"/>
      <c r="G3223" s="3"/>
      <c r="H3223" s="1"/>
    </row>
    <row r="3224" spans="1:8" ht="13.2" x14ac:dyDescent="0.25">
      <c r="A3224" s="2"/>
      <c r="B3224" s="1"/>
      <c r="C3224" s="1"/>
      <c r="D3224" s="1"/>
      <c r="E3224" s="1"/>
      <c r="F3224" s="1"/>
      <c r="G3224" s="1"/>
      <c r="H3224" s="1"/>
    </row>
    <row r="3225" spans="1:8" ht="13.2" x14ac:dyDescent="0.25">
      <c r="A3225" s="1"/>
      <c r="B3225" s="1"/>
      <c r="C3225" s="1"/>
      <c r="D3225" s="1"/>
      <c r="E3225" s="1"/>
      <c r="F3225" s="1"/>
      <c r="G3225" s="1"/>
      <c r="H3225" s="1"/>
    </row>
    <row r="3226" spans="1:8" ht="13.2" x14ac:dyDescent="0.25">
      <c r="A3226" s="1"/>
      <c r="B3226" s="1"/>
      <c r="C3226" s="1"/>
      <c r="D3226" s="1"/>
      <c r="E3226" s="1"/>
      <c r="F3226" s="1"/>
      <c r="G3226" s="1"/>
      <c r="H3226" s="1"/>
    </row>
    <row r="3227" spans="1:8" ht="13.2" x14ac:dyDescent="0.25">
      <c r="A3227" s="1"/>
      <c r="B3227" s="1"/>
      <c r="C3227" s="1"/>
      <c r="D3227" s="1"/>
      <c r="E3227" s="1"/>
      <c r="F3227" s="1"/>
      <c r="G3227" s="3"/>
      <c r="H3227" s="1"/>
    </row>
    <row r="3228" spans="1:8" ht="13.2" x14ac:dyDescent="0.25">
      <c r="A3228" s="2"/>
      <c r="B3228" s="1"/>
      <c r="C3228" s="1"/>
      <c r="D3228" s="1"/>
      <c r="E3228" s="1"/>
      <c r="F3228" s="1"/>
      <c r="G3228" s="1"/>
      <c r="H3228" s="1"/>
    </row>
    <row r="3229" spans="1:8" ht="13.2" x14ac:dyDescent="0.25">
      <c r="A3229" s="1"/>
      <c r="B3229" s="1"/>
      <c r="C3229" s="1"/>
      <c r="D3229" s="1"/>
      <c r="E3229" s="1"/>
      <c r="F3229" s="1"/>
      <c r="G3229" s="1"/>
      <c r="H3229" s="1"/>
    </row>
    <row r="3230" spans="1:8" ht="13.2" x14ac:dyDescent="0.25">
      <c r="A3230" s="2"/>
      <c r="B3230" s="1"/>
      <c r="C3230" s="1"/>
      <c r="D3230" s="1"/>
      <c r="E3230" s="1"/>
      <c r="F3230" s="1"/>
      <c r="G3230" s="1"/>
      <c r="H3230" s="1"/>
    </row>
    <row r="3231" spans="1:8" ht="13.2" x14ac:dyDescent="0.25">
      <c r="A3231" s="1"/>
      <c r="B3231" s="1"/>
      <c r="C3231" s="1"/>
      <c r="D3231" s="1"/>
      <c r="E3231" s="1"/>
      <c r="F3231" s="1"/>
      <c r="G3231" s="3"/>
      <c r="H3231" s="1"/>
    </row>
    <row r="3232" spans="1:8" ht="13.2" x14ac:dyDescent="0.25">
      <c r="A3232" s="2"/>
      <c r="B3232" s="1"/>
      <c r="C3232" s="1"/>
      <c r="D3232" s="1"/>
      <c r="E3232" s="1"/>
      <c r="F3232" s="1"/>
      <c r="G3232" s="3"/>
      <c r="H3232" s="1"/>
    </row>
    <row r="3233" spans="1:8" ht="13.2" x14ac:dyDescent="0.25">
      <c r="A3233" s="1"/>
      <c r="B3233" s="1"/>
      <c r="C3233" s="1"/>
      <c r="D3233" s="1"/>
      <c r="E3233" s="1"/>
      <c r="F3233" s="1"/>
      <c r="G3233" s="1"/>
      <c r="H3233" s="1"/>
    </row>
    <row r="3234" spans="1:8" ht="13.2" x14ac:dyDescent="0.25">
      <c r="A3234" s="1"/>
      <c r="B3234" s="1"/>
      <c r="C3234" s="1"/>
      <c r="D3234" s="1"/>
      <c r="E3234" s="1"/>
      <c r="F3234" s="1"/>
      <c r="G3234" s="1"/>
      <c r="H3234" s="1"/>
    </row>
    <row r="3235" spans="1:8" ht="13.2" x14ac:dyDescent="0.25">
      <c r="A3235" s="2"/>
      <c r="B3235" s="1"/>
      <c r="C3235" s="1"/>
      <c r="D3235" s="1"/>
      <c r="E3235" s="1"/>
      <c r="F3235" s="1"/>
      <c r="G3235" s="3"/>
      <c r="H3235" s="1"/>
    </row>
    <row r="3236" spans="1:8" ht="13.2" x14ac:dyDescent="0.25">
      <c r="A3236" s="1"/>
      <c r="B3236" s="1"/>
      <c r="C3236" s="1"/>
      <c r="D3236" s="1"/>
      <c r="E3236" s="1"/>
      <c r="F3236" s="1"/>
      <c r="G3236" s="3"/>
      <c r="H3236" s="1"/>
    </row>
    <row r="3237" spans="1:8" ht="13.2" x14ac:dyDescent="0.25">
      <c r="A3237" s="1"/>
      <c r="B3237" s="1"/>
      <c r="C3237" s="1"/>
      <c r="D3237" s="1"/>
      <c r="E3237" s="1"/>
      <c r="F3237" s="1"/>
      <c r="G3237" s="3"/>
      <c r="H3237" s="1"/>
    </row>
    <row r="3238" spans="1:8" ht="13.2" x14ac:dyDescent="0.25">
      <c r="A3238" s="2"/>
      <c r="B3238" s="1"/>
      <c r="C3238" s="1"/>
      <c r="D3238" s="1"/>
      <c r="E3238" s="1"/>
      <c r="F3238" s="1"/>
      <c r="G3238" s="1"/>
      <c r="H3238" s="1"/>
    </row>
    <row r="3239" spans="1:8" ht="13.2" x14ac:dyDescent="0.25">
      <c r="A3239" s="2"/>
      <c r="B3239" s="1"/>
      <c r="C3239" s="1"/>
      <c r="D3239" s="1"/>
      <c r="E3239" s="1"/>
      <c r="F3239" s="1"/>
      <c r="G3239" s="1"/>
      <c r="H3239" s="1"/>
    </row>
    <row r="3240" spans="1:8" ht="13.2" x14ac:dyDescent="0.25">
      <c r="A3240" s="2"/>
      <c r="B3240" s="1"/>
      <c r="C3240" s="1"/>
      <c r="D3240" s="1"/>
      <c r="E3240" s="1"/>
      <c r="F3240" s="1"/>
      <c r="G3240" s="3"/>
      <c r="H3240" s="1"/>
    </row>
    <row r="3241" spans="1:8" ht="13.2" x14ac:dyDescent="0.25">
      <c r="A3241" s="2"/>
      <c r="B3241" s="1"/>
      <c r="C3241" s="1"/>
      <c r="D3241" s="1"/>
      <c r="E3241" s="1"/>
      <c r="F3241" s="1"/>
      <c r="G3241" s="1"/>
      <c r="H3241" s="1"/>
    </row>
    <row r="3242" spans="1:8" ht="13.2" x14ac:dyDescent="0.25">
      <c r="A3242" s="2"/>
      <c r="B3242" s="1"/>
      <c r="C3242" s="1"/>
      <c r="D3242" s="1"/>
      <c r="E3242" s="1"/>
      <c r="F3242" s="1"/>
      <c r="G3242" s="1"/>
      <c r="H3242" s="1"/>
    </row>
    <row r="3243" spans="1:8" ht="13.2" x14ac:dyDescent="0.25">
      <c r="A3243" s="2"/>
      <c r="B3243" s="1"/>
      <c r="C3243" s="1"/>
      <c r="D3243" s="1"/>
      <c r="E3243" s="1"/>
      <c r="F3243" s="1"/>
      <c r="G3243" s="1"/>
      <c r="H3243" s="1"/>
    </row>
    <row r="3244" spans="1:8" ht="13.2" x14ac:dyDescent="0.25">
      <c r="A3244" s="1"/>
      <c r="B3244" s="1"/>
      <c r="C3244" s="1"/>
      <c r="D3244" s="1"/>
      <c r="E3244" s="1"/>
      <c r="F3244" s="1"/>
      <c r="G3244" s="1"/>
      <c r="H3244" s="1"/>
    </row>
    <row r="3245" spans="1:8" ht="13.2" x14ac:dyDescent="0.25">
      <c r="A3245" s="2"/>
      <c r="B3245" s="1"/>
      <c r="C3245" s="1"/>
      <c r="D3245" s="1"/>
      <c r="E3245" s="1"/>
      <c r="F3245" s="1"/>
      <c r="G3245" s="1"/>
      <c r="H3245" s="1"/>
    </row>
    <row r="3246" spans="1:8" ht="13.2" x14ac:dyDescent="0.25">
      <c r="A3246" s="2"/>
      <c r="B3246" s="1"/>
      <c r="C3246" s="1"/>
      <c r="D3246" s="1"/>
      <c r="E3246" s="1"/>
      <c r="F3246" s="1"/>
      <c r="G3246" s="1"/>
      <c r="H3246" s="1"/>
    </row>
    <row r="3247" spans="1:8" ht="13.2" x14ac:dyDescent="0.25">
      <c r="A3247" s="1"/>
      <c r="B3247" s="1"/>
      <c r="C3247" s="1"/>
      <c r="D3247" s="1"/>
      <c r="E3247" s="1"/>
      <c r="F3247" s="1"/>
      <c r="G3247" s="1"/>
      <c r="H3247" s="1"/>
    </row>
    <row r="3248" spans="1:8" ht="13.2" x14ac:dyDescent="0.25">
      <c r="A3248" s="1"/>
      <c r="B3248" s="1"/>
      <c r="C3248" s="1"/>
      <c r="D3248" s="1"/>
      <c r="E3248" s="1"/>
      <c r="F3248" s="1"/>
      <c r="G3248" s="3"/>
      <c r="H3248" s="1"/>
    </row>
    <row r="3249" spans="1:8" ht="13.2" x14ac:dyDescent="0.25">
      <c r="A3249" s="2"/>
      <c r="B3249" s="1"/>
      <c r="C3249" s="1"/>
      <c r="D3249" s="1"/>
      <c r="E3249" s="1"/>
      <c r="F3249" s="1"/>
      <c r="G3249" s="1"/>
      <c r="H3249" s="1"/>
    </row>
    <row r="3250" spans="1:8" ht="13.2" x14ac:dyDescent="0.25">
      <c r="A3250" s="2"/>
      <c r="B3250" s="1"/>
      <c r="C3250" s="1"/>
      <c r="D3250" s="1"/>
      <c r="E3250" s="1"/>
      <c r="F3250" s="1"/>
      <c r="G3250" s="3"/>
      <c r="H3250" s="1"/>
    </row>
    <row r="3251" spans="1:8" ht="13.2" x14ac:dyDescent="0.25">
      <c r="A3251" s="1"/>
      <c r="B3251" s="1"/>
      <c r="C3251" s="1"/>
      <c r="D3251" s="1"/>
      <c r="E3251" s="1"/>
      <c r="F3251" s="1"/>
      <c r="G3251" s="3"/>
      <c r="H3251" s="1"/>
    </row>
    <row r="3252" spans="1:8" ht="13.2" x14ac:dyDescent="0.25">
      <c r="A3252" s="1"/>
      <c r="B3252" s="1"/>
      <c r="C3252" s="1"/>
      <c r="D3252" s="1"/>
      <c r="E3252" s="1"/>
      <c r="F3252" s="1"/>
      <c r="G3252" s="1"/>
      <c r="H3252" s="1"/>
    </row>
    <row r="3253" spans="1:8" ht="13.2" x14ac:dyDescent="0.25">
      <c r="A3253" s="1"/>
      <c r="B3253" s="1"/>
      <c r="C3253" s="1"/>
      <c r="D3253" s="1"/>
      <c r="E3253" s="1"/>
      <c r="F3253" s="1"/>
      <c r="G3253" s="3"/>
      <c r="H3253" s="1"/>
    </row>
    <row r="3254" spans="1:8" ht="13.2" x14ac:dyDescent="0.25">
      <c r="A3254" s="2"/>
      <c r="B3254" s="1"/>
      <c r="C3254" s="1"/>
      <c r="D3254" s="1"/>
      <c r="E3254" s="1"/>
      <c r="F3254" s="1"/>
      <c r="G3254" s="1"/>
      <c r="H3254" s="1"/>
    </row>
    <row r="3255" spans="1:8" ht="13.2" x14ac:dyDescent="0.25">
      <c r="A3255" s="1"/>
      <c r="B3255" s="1"/>
      <c r="C3255" s="1"/>
      <c r="D3255" s="1"/>
      <c r="E3255" s="1"/>
      <c r="F3255" s="1"/>
      <c r="G3255" s="1"/>
      <c r="H3255" s="1"/>
    </row>
    <row r="3256" spans="1:8" ht="13.2" x14ac:dyDescent="0.25">
      <c r="A3256" s="1"/>
      <c r="B3256" s="1"/>
      <c r="C3256" s="1"/>
      <c r="D3256" s="1"/>
      <c r="E3256" s="1"/>
      <c r="F3256" s="1"/>
      <c r="G3256" s="3"/>
      <c r="H3256" s="1"/>
    </row>
    <row r="3257" spans="1:8" ht="13.2" x14ac:dyDescent="0.25">
      <c r="A3257" s="2"/>
      <c r="B3257" s="1"/>
      <c r="C3257" s="1"/>
      <c r="D3257" s="1"/>
      <c r="E3257" s="1"/>
      <c r="F3257" s="1"/>
      <c r="G3257" s="1"/>
      <c r="H3257" s="1"/>
    </row>
    <row r="3258" spans="1:8" ht="13.2" x14ac:dyDescent="0.25">
      <c r="A3258" s="1"/>
      <c r="B3258" s="1"/>
      <c r="C3258" s="1"/>
      <c r="D3258" s="1"/>
      <c r="E3258" s="1"/>
      <c r="F3258" s="1"/>
      <c r="G3258" s="3"/>
      <c r="H3258" s="1"/>
    </row>
    <row r="3259" spans="1:8" ht="13.2" x14ac:dyDescent="0.25">
      <c r="A3259" s="1"/>
      <c r="B3259" s="1"/>
      <c r="C3259" s="1"/>
      <c r="D3259" s="1"/>
      <c r="E3259" s="1"/>
      <c r="F3259" s="1"/>
      <c r="G3259" s="3"/>
      <c r="H3259" s="1"/>
    </row>
    <row r="3260" spans="1:8" ht="13.2" x14ac:dyDescent="0.25">
      <c r="A3260" s="1"/>
      <c r="B3260" s="1"/>
      <c r="C3260" s="1"/>
      <c r="D3260" s="1"/>
      <c r="E3260" s="1"/>
      <c r="F3260" s="1"/>
      <c r="G3260" s="1"/>
      <c r="H3260" s="1"/>
    </row>
    <row r="3261" spans="1:8" ht="13.2" x14ac:dyDescent="0.25">
      <c r="A3261" s="1"/>
      <c r="B3261" s="1"/>
      <c r="C3261" s="1"/>
      <c r="D3261" s="1"/>
      <c r="E3261" s="1"/>
      <c r="F3261" s="1"/>
      <c r="G3261" s="1"/>
      <c r="H3261" s="1"/>
    </row>
    <row r="3262" spans="1:8" ht="13.2" x14ac:dyDescent="0.25">
      <c r="A3262" s="1"/>
      <c r="B3262" s="1"/>
      <c r="C3262" s="1"/>
      <c r="D3262" s="1"/>
      <c r="E3262" s="1"/>
      <c r="F3262" s="1"/>
      <c r="G3262" s="1"/>
      <c r="H3262" s="1"/>
    </row>
    <row r="3263" spans="1:8" ht="13.2" x14ac:dyDescent="0.25">
      <c r="A3263" s="1"/>
      <c r="B3263" s="1"/>
      <c r="C3263" s="1"/>
      <c r="D3263" s="1"/>
      <c r="E3263" s="1"/>
      <c r="F3263" s="1"/>
      <c r="G3263" s="1"/>
      <c r="H3263" s="1"/>
    </row>
    <row r="3264" spans="1:8" ht="13.2" x14ac:dyDescent="0.25">
      <c r="A3264" s="1"/>
      <c r="B3264" s="1"/>
      <c r="C3264" s="1"/>
      <c r="D3264" s="1"/>
      <c r="E3264" s="1"/>
      <c r="F3264" s="1"/>
      <c r="G3264" s="3"/>
      <c r="H3264" s="1"/>
    </row>
    <row r="3265" spans="1:8" ht="13.2" x14ac:dyDescent="0.25">
      <c r="A3265" s="1"/>
      <c r="B3265" s="1"/>
      <c r="C3265" s="1"/>
      <c r="D3265" s="1"/>
      <c r="E3265" s="1"/>
      <c r="F3265" s="1"/>
      <c r="G3265" s="1"/>
      <c r="H3265" s="1"/>
    </row>
    <row r="3266" spans="1:8" ht="13.2" x14ac:dyDescent="0.25">
      <c r="A3266" s="2"/>
      <c r="B3266" s="1"/>
      <c r="C3266" s="1"/>
      <c r="D3266" s="1"/>
      <c r="E3266" s="1"/>
      <c r="F3266" s="1"/>
      <c r="G3266" s="1"/>
      <c r="H3266" s="1"/>
    </row>
    <row r="3267" spans="1:8" ht="13.2" x14ac:dyDescent="0.25">
      <c r="A3267" s="2"/>
      <c r="B3267" s="1"/>
      <c r="C3267" s="1"/>
      <c r="D3267" s="1"/>
      <c r="E3267" s="1"/>
      <c r="F3267" s="1"/>
      <c r="G3267" s="1"/>
      <c r="H3267" s="1"/>
    </row>
    <row r="3268" spans="1:8" ht="13.2" x14ac:dyDescent="0.25">
      <c r="A3268" s="1"/>
      <c r="B3268" s="1"/>
      <c r="C3268" s="1"/>
      <c r="D3268" s="1"/>
      <c r="E3268" s="1"/>
      <c r="F3268" s="1"/>
      <c r="G3268" s="3"/>
      <c r="H3268" s="1"/>
    </row>
    <row r="3269" spans="1:8" ht="13.2" x14ac:dyDescent="0.25">
      <c r="A3269" s="2"/>
      <c r="B3269" s="1"/>
      <c r="C3269" s="1"/>
      <c r="D3269" s="1"/>
      <c r="E3269" s="1"/>
      <c r="F3269" s="1"/>
      <c r="G3269" s="1"/>
      <c r="H3269" s="1"/>
    </row>
    <row r="3270" spans="1:8" ht="13.2" x14ac:dyDescent="0.25">
      <c r="A3270" s="2"/>
      <c r="B3270" s="1"/>
      <c r="C3270" s="1"/>
      <c r="D3270" s="1"/>
      <c r="E3270" s="1"/>
      <c r="F3270" s="1"/>
      <c r="G3270" s="1"/>
      <c r="H3270" s="1"/>
    </row>
    <row r="3271" spans="1:8" ht="13.2" x14ac:dyDescent="0.25">
      <c r="A3271" s="1"/>
      <c r="B3271" s="1"/>
      <c r="C3271" s="1"/>
      <c r="D3271" s="1"/>
      <c r="E3271" s="1"/>
      <c r="F3271" s="1"/>
      <c r="G3271" s="1"/>
      <c r="H3271" s="1"/>
    </row>
    <row r="3272" spans="1:8" ht="13.2" x14ac:dyDescent="0.25">
      <c r="A3272" s="2"/>
      <c r="B3272" s="1"/>
      <c r="C3272" s="1"/>
      <c r="D3272" s="1"/>
      <c r="E3272" s="1"/>
      <c r="F3272" s="1"/>
      <c r="G3272" s="1"/>
      <c r="H3272" s="1"/>
    </row>
    <row r="3273" spans="1:8" ht="13.2" x14ac:dyDescent="0.25">
      <c r="A3273" s="1"/>
      <c r="B3273" s="1"/>
      <c r="C3273" s="1"/>
      <c r="D3273" s="1"/>
      <c r="E3273" s="1"/>
      <c r="F3273" s="1"/>
      <c r="G3273" s="1"/>
      <c r="H3273" s="1"/>
    </row>
    <row r="3274" spans="1:8" ht="13.2" x14ac:dyDescent="0.25">
      <c r="A3274" s="1"/>
      <c r="B3274" s="1"/>
      <c r="C3274" s="1"/>
      <c r="D3274" s="1"/>
      <c r="E3274" s="1"/>
      <c r="F3274" s="1"/>
      <c r="G3274" s="3"/>
      <c r="H3274" s="1"/>
    </row>
    <row r="3275" spans="1:8" ht="13.2" x14ac:dyDescent="0.25">
      <c r="A3275" s="1"/>
      <c r="B3275" s="1"/>
      <c r="C3275" s="1"/>
      <c r="D3275" s="1"/>
      <c r="E3275" s="1"/>
      <c r="F3275" s="1"/>
      <c r="G3275" s="3"/>
      <c r="H3275" s="1"/>
    </row>
    <row r="3276" spans="1:8" ht="13.2" x14ac:dyDescent="0.25">
      <c r="A3276" s="1"/>
      <c r="B3276" s="1"/>
      <c r="C3276" s="1"/>
      <c r="D3276" s="1"/>
      <c r="E3276" s="1"/>
      <c r="F3276" s="1"/>
      <c r="G3276" s="1"/>
      <c r="H3276" s="1"/>
    </row>
    <row r="3277" spans="1:8" ht="13.2" x14ac:dyDescent="0.25">
      <c r="A3277" s="1"/>
      <c r="B3277" s="1"/>
      <c r="C3277" s="1"/>
      <c r="D3277" s="1"/>
      <c r="E3277" s="1"/>
      <c r="F3277" s="1"/>
      <c r="G3277" s="3"/>
      <c r="H3277" s="1"/>
    </row>
    <row r="3278" spans="1:8" ht="13.2" x14ac:dyDescent="0.25">
      <c r="A3278" s="1"/>
      <c r="B3278" s="1"/>
      <c r="C3278" s="1"/>
      <c r="D3278" s="1"/>
      <c r="E3278" s="1"/>
      <c r="F3278" s="1"/>
      <c r="G3278" s="3"/>
      <c r="H3278" s="1"/>
    </row>
    <row r="3279" spans="1:8" ht="13.2" x14ac:dyDescent="0.25">
      <c r="A3279" s="2"/>
      <c r="B3279" s="1"/>
      <c r="C3279" s="1"/>
      <c r="D3279" s="1"/>
      <c r="E3279" s="1"/>
      <c r="F3279" s="1"/>
      <c r="G3279" s="1"/>
      <c r="H3279" s="1"/>
    </row>
    <row r="3280" spans="1:8" ht="13.2" x14ac:dyDescent="0.25">
      <c r="A3280" s="1"/>
      <c r="B3280" s="1"/>
      <c r="C3280" s="1"/>
      <c r="D3280" s="1"/>
      <c r="E3280" s="1"/>
      <c r="F3280" s="1"/>
      <c r="G3280" s="1"/>
      <c r="H3280" s="1"/>
    </row>
    <row r="3281" spans="1:8" ht="13.2" x14ac:dyDescent="0.25">
      <c r="A3281" s="2"/>
      <c r="B3281" s="1"/>
      <c r="C3281" s="1"/>
      <c r="D3281" s="1"/>
      <c r="E3281" s="1"/>
      <c r="F3281" s="1"/>
      <c r="G3281" s="1"/>
      <c r="H3281" s="1"/>
    </row>
    <row r="3282" spans="1:8" ht="13.2" x14ac:dyDescent="0.25">
      <c r="A3282" s="1"/>
      <c r="B3282" s="1"/>
      <c r="C3282" s="1"/>
      <c r="D3282" s="1"/>
      <c r="E3282" s="1"/>
      <c r="F3282" s="1"/>
      <c r="G3282" s="3"/>
      <c r="H3282" s="1"/>
    </row>
    <row r="3283" spans="1:8" ht="13.2" x14ac:dyDescent="0.25">
      <c r="A3283" s="1"/>
      <c r="B3283" s="1"/>
      <c r="C3283" s="1"/>
      <c r="D3283" s="1"/>
      <c r="E3283" s="1"/>
      <c r="F3283" s="1"/>
      <c r="G3283" s="1"/>
      <c r="H3283" s="1"/>
    </row>
    <row r="3284" spans="1:8" ht="13.2" x14ac:dyDescent="0.25">
      <c r="A3284" s="1"/>
      <c r="B3284" s="1"/>
      <c r="C3284" s="1"/>
      <c r="D3284" s="1"/>
      <c r="E3284" s="1"/>
      <c r="F3284" s="1"/>
      <c r="G3284" s="1"/>
      <c r="H3284" s="1"/>
    </row>
    <row r="3285" spans="1:8" ht="13.2" x14ac:dyDescent="0.25">
      <c r="A3285" s="1"/>
      <c r="B3285" s="1"/>
      <c r="C3285" s="1"/>
      <c r="D3285" s="1"/>
      <c r="E3285" s="1"/>
      <c r="F3285" s="1"/>
      <c r="G3285" s="3"/>
      <c r="H3285" s="1"/>
    </row>
    <row r="3286" spans="1:8" ht="13.2" x14ac:dyDescent="0.25">
      <c r="A3286" s="1"/>
      <c r="B3286" s="1"/>
      <c r="C3286" s="1"/>
      <c r="D3286" s="1"/>
      <c r="E3286" s="1"/>
      <c r="F3286" s="1"/>
      <c r="G3286" s="1"/>
      <c r="H3286" s="1"/>
    </row>
    <row r="3287" spans="1:8" ht="13.2" x14ac:dyDescent="0.25">
      <c r="A3287" s="1"/>
      <c r="B3287" s="1"/>
      <c r="C3287" s="1"/>
      <c r="D3287" s="1"/>
      <c r="E3287" s="1"/>
      <c r="F3287" s="1"/>
      <c r="G3287" s="3"/>
      <c r="H3287" s="1"/>
    </row>
    <row r="3288" spans="1:8" ht="13.2" x14ac:dyDescent="0.25">
      <c r="A3288" s="1"/>
      <c r="B3288" s="1"/>
      <c r="C3288" s="1"/>
      <c r="D3288" s="1"/>
      <c r="E3288" s="1"/>
      <c r="F3288" s="1"/>
      <c r="G3288" s="1"/>
      <c r="H3288" s="1"/>
    </row>
    <row r="3289" spans="1:8" ht="13.2" x14ac:dyDescent="0.25">
      <c r="A3289" s="1"/>
      <c r="B3289" s="1"/>
      <c r="C3289" s="1"/>
      <c r="D3289" s="1"/>
      <c r="E3289" s="1"/>
      <c r="F3289" s="1"/>
      <c r="G3289" s="3"/>
      <c r="H3289" s="1"/>
    </row>
    <row r="3290" spans="1:8" ht="13.2" x14ac:dyDescent="0.25">
      <c r="A3290" s="1"/>
      <c r="B3290" s="1"/>
      <c r="C3290" s="1"/>
      <c r="D3290" s="1"/>
      <c r="E3290" s="1"/>
      <c r="F3290" s="1"/>
      <c r="G3290" s="1"/>
      <c r="H3290" s="1"/>
    </row>
    <row r="3291" spans="1:8" ht="13.2" x14ac:dyDescent="0.25">
      <c r="A3291" s="1"/>
      <c r="B3291" s="1"/>
      <c r="C3291" s="1"/>
      <c r="D3291" s="1"/>
      <c r="E3291" s="1"/>
      <c r="F3291" s="1"/>
      <c r="G3291" s="1"/>
      <c r="H3291" s="1"/>
    </row>
    <row r="3292" spans="1:8" ht="13.2" x14ac:dyDescent="0.25">
      <c r="A3292" s="2"/>
      <c r="B3292" s="1"/>
      <c r="C3292" s="1"/>
      <c r="D3292" s="1"/>
      <c r="E3292" s="1"/>
      <c r="F3292" s="1"/>
      <c r="G3292" s="3"/>
      <c r="H3292" s="1"/>
    </row>
    <row r="3293" spans="1:8" ht="13.2" x14ac:dyDescent="0.25">
      <c r="A3293" s="2"/>
      <c r="B3293" s="1"/>
      <c r="C3293" s="1"/>
      <c r="D3293" s="1"/>
      <c r="E3293" s="1"/>
      <c r="F3293" s="1"/>
      <c r="G3293" s="1"/>
      <c r="H3293" s="1"/>
    </row>
    <row r="3294" spans="1:8" ht="13.2" x14ac:dyDescent="0.25">
      <c r="A3294" s="1"/>
      <c r="B3294" s="1"/>
      <c r="C3294" s="1"/>
      <c r="D3294" s="1"/>
      <c r="E3294" s="1"/>
      <c r="F3294" s="1"/>
      <c r="G3294" s="1"/>
      <c r="H3294" s="1"/>
    </row>
    <row r="3295" spans="1:8" ht="13.2" x14ac:dyDescent="0.25">
      <c r="A3295" s="1"/>
      <c r="B3295" s="1"/>
      <c r="C3295" s="1"/>
      <c r="D3295" s="1"/>
      <c r="E3295" s="1"/>
      <c r="F3295" s="1"/>
      <c r="G3295" s="1"/>
      <c r="H3295" s="1"/>
    </row>
    <row r="3296" spans="1:8" ht="13.2" x14ac:dyDescent="0.25">
      <c r="A3296" s="1"/>
      <c r="B3296" s="1"/>
      <c r="C3296" s="1"/>
      <c r="D3296" s="1"/>
      <c r="E3296" s="1"/>
      <c r="F3296" s="1"/>
      <c r="G3296" s="1"/>
      <c r="H3296" s="1"/>
    </row>
    <row r="3297" spans="1:8" ht="13.2" x14ac:dyDescent="0.25">
      <c r="A3297" s="1"/>
      <c r="B3297" s="1"/>
      <c r="C3297" s="1"/>
      <c r="D3297" s="1"/>
      <c r="E3297" s="1"/>
      <c r="F3297" s="1"/>
      <c r="G3297" s="3"/>
      <c r="H3297" s="1"/>
    </row>
    <row r="3298" spans="1:8" ht="13.2" x14ac:dyDescent="0.25">
      <c r="A3298" s="1"/>
      <c r="B3298" s="1"/>
      <c r="C3298" s="1"/>
      <c r="D3298" s="1"/>
      <c r="E3298" s="1"/>
      <c r="F3298" s="1"/>
      <c r="G3298" s="1"/>
      <c r="H3298" s="1"/>
    </row>
    <row r="3299" spans="1:8" ht="13.2" x14ac:dyDescent="0.25">
      <c r="A3299" s="2"/>
      <c r="B3299" s="1"/>
      <c r="C3299" s="1"/>
      <c r="D3299" s="1"/>
      <c r="E3299" s="1"/>
      <c r="F3299" s="1"/>
      <c r="G3299" s="1"/>
      <c r="H3299" s="1"/>
    </row>
    <row r="3300" spans="1:8" ht="13.2" x14ac:dyDescent="0.25">
      <c r="A3300" s="1"/>
      <c r="B3300" s="1"/>
      <c r="C3300" s="1"/>
      <c r="D3300" s="1"/>
      <c r="E3300" s="1"/>
      <c r="F3300" s="1"/>
      <c r="G3300" s="1"/>
      <c r="H3300" s="1"/>
    </row>
    <row r="3301" spans="1:8" ht="13.2" x14ac:dyDescent="0.25">
      <c r="A3301" s="1"/>
      <c r="B3301" s="1"/>
      <c r="C3301" s="1"/>
      <c r="D3301" s="1"/>
      <c r="E3301" s="1"/>
      <c r="F3301" s="1"/>
      <c r="G3301" s="1"/>
      <c r="H3301" s="1"/>
    </row>
    <row r="3302" spans="1:8" ht="13.2" x14ac:dyDescent="0.25">
      <c r="A3302" s="1"/>
      <c r="B3302" s="1"/>
      <c r="C3302" s="1"/>
      <c r="D3302" s="1"/>
      <c r="E3302" s="1"/>
      <c r="F3302" s="1"/>
      <c r="G3302" s="1"/>
      <c r="H3302" s="1"/>
    </row>
    <row r="3303" spans="1:8" ht="13.2" x14ac:dyDescent="0.25">
      <c r="A3303" s="1"/>
      <c r="B3303" s="1"/>
      <c r="C3303" s="1"/>
      <c r="D3303" s="1"/>
      <c r="E3303" s="1"/>
      <c r="F3303" s="1"/>
      <c r="G3303" s="3"/>
      <c r="H3303" s="1"/>
    </row>
    <row r="3304" spans="1:8" ht="13.2" x14ac:dyDescent="0.25">
      <c r="A3304" s="1"/>
      <c r="B3304" s="1"/>
      <c r="C3304" s="1"/>
      <c r="D3304" s="1"/>
      <c r="E3304" s="1"/>
      <c r="F3304" s="1"/>
      <c r="G3304" s="1"/>
      <c r="H3304" s="1"/>
    </row>
    <row r="3305" spans="1:8" ht="13.2" x14ac:dyDescent="0.25">
      <c r="A3305" s="1"/>
      <c r="B3305" s="1"/>
      <c r="C3305" s="1"/>
      <c r="D3305" s="1"/>
      <c r="E3305" s="1"/>
      <c r="F3305" s="1"/>
      <c r="G3305" s="1"/>
      <c r="H3305" s="1"/>
    </row>
    <row r="3306" spans="1:8" ht="13.2" x14ac:dyDescent="0.25">
      <c r="A3306" s="1"/>
      <c r="B3306" s="1"/>
      <c r="C3306" s="1"/>
      <c r="D3306" s="1"/>
      <c r="E3306" s="1"/>
      <c r="F3306" s="1"/>
      <c r="G3306" s="1"/>
      <c r="H3306" s="1"/>
    </row>
    <row r="3307" spans="1:8" ht="13.2" x14ac:dyDescent="0.25">
      <c r="A3307" s="1"/>
      <c r="B3307" s="1"/>
      <c r="C3307" s="1"/>
      <c r="D3307" s="1"/>
      <c r="E3307" s="1"/>
      <c r="F3307" s="1"/>
      <c r="G3307" s="3"/>
      <c r="H3307" s="1"/>
    </row>
    <row r="3308" spans="1:8" ht="13.2" x14ac:dyDescent="0.25">
      <c r="A3308" s="2"/>
      <c r="B3308" s="1"/>
      <c r="C3308" s="1"/>
      <c r="D3308" s="1"/>
      <c r="E3308" s="1"/>
      <c r="F3308" s="1"/>
      <c r="G3308" s="3"/>
      <c r="H3308" s="1"/>
    </row>
    <row r="3309" spans="1:8" ht="13.2" x14ac:dyDescent="0.25">
      <c r="A3309" s="1"/>
      <c r="B3309" s="1"/>
      <c r="C3309" s="1"/>
      <c r="D3309" s="1"/>
      <c r="E3309" s="1"/>
      <c r="F3309" s="1"/>
      <c r="G3309" s="3"/>
      <c r="H3309" s="1"/>
    </row>
    <row r="3310" spans="1:8" ht="13.2" x14ac:dyDescent="0.25">
      <c r="A3310" s="2"/>
      <c r="B3310" s="1"/>
      <c r="C3310" s="1"/>
      <c r="D3310" s="1"/>
      <c r="E3310" s="1"/>
      <c r="F3310" s="1"/>
      <c r="G3310" s="3"/>
      <c r="H3310" s="1"/>
    </row>
    <row r="3311" spans="1:8" ht="13.2" x14ac:dyDescent="0.25">
      <c r="A3311" s="2"/>
      <c r="B3311" s="1"/>
      <c r="C3311" s="1"/>
      <c r="D3311" s="1"/>
      <c r="E3311" s="1"/>
      <c r="F3311" s="1"/>
      <c r="G3311" s="3"/>
      <c r="H3311" s="1"/>
    </row>
    <row r="3312" spans="1:8" ht="13.2" x14ac:dyDescent="0.25">
      <c r="A3312" s="1"/>
      <c r="B3312" s="1"/>
      <c r="C3312" s="1"/>
      <c r="D3312" s="1"/>
      <c r="E3312" s="1"/>
      <c r="F3312" s="1"/>
      <c r="G3312" s="3"/>
      <c r="H3312" s="1"/>
    </row>
    <row r="3313" spans="1:8" ht="13.2" x14ac:dyDescent="0.25">
      <c r="A3313" s="1"/>
      <c r="B3313" s="1"/>
      <c r="C3313" s="1"/>
      <c r="D3313" s="1"/>
      <c r="E3313" s="1"/>
      <c r="F3313" s="1"/>
      <c r="G3313" s="1"/>
      <c r="H3313" s="1"/>
    </row>
    <row r="3314" spans="1:8" ht="13.2" x14ac:dyDescent="0.25">
      <c r="A3314" s="1"/>
      <c r="B3314" s="1"/>
      <c r="C3314" s="1"/>
      <c r="D3314" s="1"/>
      <c r="E3314" s="1"/>
      <c r="F3314" s="1"/>
      <c r="G3314" s="1"/>
      <c r="H3314" s="1"/>
    </row>
    <row r="3315" spans="1:8" ht="13.2" x14ac:dyDescent="0.25">
      <c r="A3315" s="1"/>
      <c r="B3315" s="1"/>
      <c r="C3315" s="1"/>
      <c r="D3315" s="1"/>
      <c r="E3315" s="1"/>
      <c r="F3315" s="1"/>
      <c r="G3315" s="3"/>
      <c r="H3315" s="1"/>
    </row>
    <row r="3316" spans="1:8" ht="13.2" x14ac:dyDescent="0.25">
      <c r="A3316" s="1"/>
      <c r="B3316" s="1"/>
      <c r="C3316" s="1"/>
      <c r="D3316" s="1"/>
      <c r="E3316" s="1"/>
      <c r="F3316" s="1"/>
      <c r="G3316" s="1"/>
      <c r="H3316" s="1"/>
    </row>
    <row r="3317" spans="1:8" ht="13.2" x14ac:dyDescent="0.25">
      <c r="A3317" s="1"/>
      <c r="B3317" s="1"/>
      <c r="C3317" s="1"/>
      <c r="D3317" s="1"/>
      <c r="E3317" s="1"/>
      <c r="F3317" s="1"/>
      <c r="G3317" s="3"/>
      <c r="H3317" s="1"/>
    </row>
    <row r="3318" spans="1:8" ht="13.2" x14ac:dyDescent="0.25">
      <c r="A3318" s="2"/>
      <c r="B3318" s="1"/>
      <c r="C3318" s="1"/>
      <c r="D3318" s="1"/>
      <c r="E3318" s="1"/>
      <c r="F3318" s="1"/>
      <c r="G3318" s="1"/>
      <c r="H3318" s="1"/>
    </row>
    <row r="3319" spans="1:8" ht="13.2" x14ac:dyDescent="0.25">
      <c r="A3319" s="1"/>
      <c r="B3319" s="1"/>
      <c r="C3319" s="1"/>
      <c r="D3319" s="1"/>
      <c r="E3319" s="1"/>
      <c r="F3319" s="1"/>
      <c r="G3319" s="1"/>
      <c r="H3319" s="1"/>
    </row>
    <row r="3320" spans="1:8" ht="13.2" x14ac:dyDescent="0.25">
      <c r="A3320" s="2"/>
      <c r="B3320" s="1"/>
      <c r="C3320" s="1"/>
      <c r="D3320" s="1"/>
      <c r="E3320" s="1"/>
      <c r="F3320" s="1"/>
      <c r="G3320" s="1"/>
      <c r="H3320" s="1"/>
    </row>
    <row r="3321" spans="1:8" ht="13.2" x14ac:dyDescent="0.25">
      <c r="A3321" s="1"/>
      <c r="B3321" s="1"/>
      <c r="C3321" s="1"/>
      <c r="D3321" s="1"/>
      <c r="E3321" s="1"/>
      <c r="F3321" s="1"/>
      <c r="G3321" s="3"/>
      <c r="H3321" s="1"/>
    </row>
    <row r="3322" spans="1:8" ht="13.2" x14ac:dyDescent="0.25">
      <c r="A3322" s="1"/>
      <c r="B3322" s="1"/>
      <c r="C3322" s="1"/>
      <c r="D3322" s="1"/>
      <c r="E3322" s="1"/>
      <c r="F3322" s="1"/>
      <c r="G3322" s="3"/>
      <c r="H3322" s="1"/>
    </row>
    <row r="3323" spans="1:8" ht="13.2" x14ac:dyDescent="0.25">
      <c r="A3323" s="1"/>
      <c r="B3323" s="1"/>
      <c r="C3323" s="1"/>
      <c r="D3323" s="1"/>
      <c r="E3323" s="1"/>
      <c r="F3323" s="1"/>
      <c r="G3323" s="3"/>
      <c r="H3323" s="1"/>
    </row>
    <row r="3324" spans="1:8" ht="13.2" x14ac:dyDescent="0.25">
      <c r="A3324" s="2"/>
      <c r="B3324" s="1"/>
      <c r="C3324" s="1"/>
      <c r="D3324" s="1"/>
      <c r="E3324" s="1"/>
      <c r="F3324" s="1"/>
      <c r="G3324" s="1"/>
      <c r="H3324" s="1"/>
    </row>
    <row r="3325" spans="1:8" ht="13.2" x14ac:dyDescent="0.25">
      <c r="A3325" s="2"/>
      <c r="B3325" s="1"/>
      <c r="C3325" s="1"/>
      <c r="D3325" s="1"/>
      <c r="E3325" s="1"/>
      <c r="F3325" s="1"/>
      <c r="G3325" s="1"/>
      <c r="H3325" s="1"/>
    </row>
    <row r="3326" spans="1:8" ht="13.2" x14ac:dyDescent="0.25">
      <c r="A3326" s="1"/>
      <c r="B3326" s="1"/>
      <c r="C3326" s="1"/>
      <c r="D3326" s="1"/>
      <c r="E3326" s="1"/>
      <c r="F3326" s="1"/>
      <c r="G3326" s="1"/>
      <c r="H3326" s="1"/>
    </row>
    <row r="3327" spans="1:8" ht="13.2" x14ac:dyDescent="0.25">
      <c r="A3327" s="1"/>
      <c r="B3327" s="1"/>
      <c r="C3327" s="1"/>
      <c r="D3327" s="1"/>
      <c r="E3327" s="1"/>
      <c r="F3327" s="1"/>
      <c r="G3327" s="1"/>
      <c r="H3327" s="1"/>
    </row>
    <row r="3328" spans="1:8" ht="13.2" x14ac:dyDescent="0.25">
      <c r="A3328" s="1"/>
      <c r="B3328" s="1"/>
      <c r="C3328" s="1"/>
      <c r="D3328" s="1"/>
      <c r="E3328" s="1"/>
      <c r="F3328" s="1"/>
      <c r="G3328" s="1"/>
      <c r="H3328" s="1"/>
    </row>
    <row r="3329" spans="1:8" ht="13.2" x14ac:dyDescent="0.25">
      <c r="A3329" s="2"/>
      <c r="B3329" s="1"/>
      <c r="C3329" s="1"/>
      <c r="D3329" s="1"/>
      <c r="E3329" s="1"/>
      <c r="F3329" s="1"/>
      <c r="G3329" s="1"/>
      <c r="H3329" s="1"/>
    </row>
    <row r="3330" spans="1:8" ht="13.2" x14ac:dyDescent="0.25">
      <c r="A3330" s="1"/>
      <c r="B3330" s="1"/>
      <c r="C3330" s="1"/>
      <c r="D3330" s="1"/>
      <c r="E3330" s="1"/>
      <c r="F3330" s="1"/>
      <c r="G3330" s="1"/>
      <c r="H3330" s="1"/>
    </row>
    <row r="3331" spans="1:8" ht="13.2" x14ac:dyDescent="0.25">
      <c r="A3331" s="1"/>
      <c r="B3331" s="1"/>
      <c r="C3331" s="1"/>
      <c r="D3331" s="1"/>
      <c r="E3331" s="1"/>
      <c r="F3331" s="1"/>
      <c r="G3331" s="1"/>
      <c r="H3331" s="1"/>
    </row>
    <row r="3332" spans="1:8" ht="13.2" x14ac:dyDescent="0.25">
      <c r="A3332" s="1"/>
      <c r="B3332" s="1"/>
      <c r="C3332" s="1"/>
      <c r="D3332" s="1"/>
      <c r="E3332" s="1"/>
      <c r="F3332" s="1"/>
      <c r="G3332" s="1"/>
      <c r="H3332" s="1"/>
    </row>
    <row r="3333" spans="1:8" ht="13.2" x14ac:dyDescent="0.25">
      <c r="A3333" s="2"/>
      <c r="B3333" s="1"/>
      <c r="C3333" s="1"/>
      <c r="D3333" s="1"/>
      <c r="E3333" s="1"/>
      <c r="F3333" s="1"/>
      <c r="G3333" s="1"/>
      <c r="H3333" s="1"/>
    </row>
    <row r="3334" spans="1:8" ht="13.2" x14ac:dyDescent="0.25">
      <c r="A3334" s="1"/>
      <c r="B3334" s="1"/>
      <c r="C3334" s="1"/>
      <c r="D3334" s="1"/>
      <c r="E3334" s="1"/>
      <c r="F3334" s="1"/>
      <c r="G3334" s="1"/>
      <c r="H3334" s="1"/>
    </row>
    <row r="3335" spans="1:8" ht="13.2" x14ac:dyDescent="0.25">
      <c r="A3335" s="1"/>
      <c r="B3335" s="1"/>
      <c r="C3335" s="1"/>
      <c r="D3335" s="1"/>
      <c r="E3335" s="1"/>
      <c r="F3335" s="1"/>
      <c r="G3335" s="1"/>
      <c r="H3335" s="1"/>
    </row>
    <row r="3336" spans="1:8" ht="13.2" x14ac:dyDescent="0.25">
      <c r="A3336" s="1"/>
      <c r="B3336" s="1"/>
      <c r="C3336" s="1"/>
      <c r="D3336" s="1"/>
      <c r="E3336" s="1"/>
      <c r="F3336" s="1"/>
      <c r="G3336" s="3"/>
      <c r="H3336" s="1"/>
    </row>
    <row r="3337" spans="1:8" ht="13.2" x14ac:dyDescent="0.25">
      <c r="A3337" s="1"/>
      <c r="B3337" s="1"/>
      <c r="C3337" s="1"/>
      <c r="D3337" s="1"/>
      <c r="E3337" s="1"/>
      <c r="F3337" s="1"/>
      <c r="G3337" s="1"/>
      <c r="H3337" s="1"/>
    </row>
    <row r="3338" spans="1:8" ht="13.2" x14ac:dyDescent="0.25">
      <c r="A3338" s="1"/>
      <c r="B3338" s="1"/>
      <c r="C3338" s="1"/>
      <c r="D3338" s="1"/>
      <c r="E3338" s="1"/>
      <c r="F3338" s="1"/>
      <c r="G3338" s="1"/>
      <c r="H3338" s="1"/>
    </row>
    <row r="3339" spans="1:8" ht="13.2" x14ac:dyDescent="0.25">
      <c r="A3339" s="1"/>
      <c r="B3339" s="1"/>
      <c r="C3339" s="1"/>
      <c r="D3339" s="1"/>
      <c r="E3339" s="1"/>
      <c r="F3339" s="1"/>
      <c r="G3339" s="1"/>
      <c r="H3339" s="1"/>
    </row>
    <row r="3340" spans="1:8" ht="13.2" x14ac:dyDescent="0.25">
      <c r="A3340" s="2"/>
      <c r="B3340" s="1"/>
      <c r="C3340" s="1"/>
      <c r="D3340" s="1"/>
      <c r="E3340" s="1"/>
      <c r="F3340" s="1"/>
      <c r="G3340" s="1"/>
      <c r="H3340" s="1"/>
    </row>
    <row r="3341" spans="1:8" ht="13.2" x14ac:dyDescent="0.25">
      <c r="A3341" s="1"/>
      <c r="B3341" s="1"/>
      <c r="C3341" s="1"/>
      <c r="D3341" s="1"/>
      <c r="E3341" s="1"/>
      <c r="F3341" s="1"/>
      <c r="G3341" s="3"/>
      <c r="H3341" s="1"/>
    </row>
    <row r="3342" spans="1:8" ht="13.2" x14ac:dyDescent="0.25">
      <c r="A3342" s="2"/>
      <c r="B3342" s="1"/>
      <c r="C3342" s="1"/>
      <c r="D3342" s="1"/>
      <c r="E3342" s="1"/>
      <c r="F3342" s="1"/>
      <c r="G3342" s="1"/>
      <c r="H3342" s="1"/>
    </row>
    <row r="3343" spans="1:8" ht="13.2" x14ac:dyDescent="0.25">
      <c r="A3343" s="1"/>
      <c r="B3343" s="1"/>
      <c r="C3343" s="1"/>
      <c r="D3343" s="1"/>
      <c r="E3343" s="1"/>
      <c r="F3343" s="1"/>
      <c r="G3343" s="1"/>
      <c r="H3343" s="1"/>
    </row>
    <row r="3344" spans="1:8" ht="13.2" x14ac:dyDescent="0.25">
      <c r="A3344" s="1"/>
      <c r="B3344" s="1"/>
      <c r="C3344" s="1"/>
      <c r="D3344" s="1"/>
      <c r="E3344" s="1"/>
      <c r="F3344" s="1"/>
      <c r="G3344" s="1"/>
      <c r="H3344" s="1"/>
    </row>
    <row r="3345" spans="1:8" ht="13.2" x14ac:dyDescent="0.25">
      <c r="A3345" s="1"/>
      <c r="B3345" s="1"/>
      <c r="C3345" s="1"/>
      <c r="D3345" s="1"/>
      <c r="E3345" s="1"/>
      <c r="F3345" s="1"/>
      <c r="G3345" s="1"/>
      <c r="H3345" s="1"/>
    </row>
    <row r="3346" spans="1:8" ht="13.2" x14ac:dyDescent="0.25">
      <c r="A3346" s="1"/>
      <c r="B3346" s="1"/>
      <c r="C3346" s="1"/>
      <c r="D3346" s="1"/>
      <c r="E3346" s="1"/>
      <c r="F3346" s="1"/>
      <c r="G3346" s="1"/>
      <c r="H3346" s="1"/>
    </row>
    <row r="3347" spans="1:8" ht="13.2" x14ac:dyDescent="0.25">
      <c r="A3347" s="1"/>
      <c r="B3347" s="1"/>
      <c r="C3347" s="1"/>
      <c r="D3347" s="1"/>
      <c r="E3347" s="1"/>
      <c r="F3347" s="1"/>
      <c r="G3347" s="1"/>
      <c r="H3347" s="1"/>
    </row>
    <row r="3348" spans="1:8" ht="13.2" x14ac:dyDescent="0.25">
      <c r="A3348" s="1"/>
      <c r="B3348" s="1"/>
      <c r="C3348" s="1"/>
      <c r="D3348" s="1"/>
      <c r="E3348" s="1"/>
      <c r="F3348" s="1"/>
      <c r="G3348" s="1"/>
      <c r="H3348" s="1"/>
    </row>
    <row r="3349" spans="1:8" ht="13.2" x14ac:dyDescent="0.25">
      <c r="A3349" s="1"/>
      <c r="B3349" s="1"/>
      <c r="C3349" s="1"/>
      <c r="D3349" s="1"/>
      <c r="E3349" s="1"/>
      <c r="F3349" s="1"/>
      <c r="G3349" s="3"/>
      <c r="H3349" s="1"/>
    </row>
    <row r="3350" spans="1:8" ht="13.2" x14ac:dyDescent="0.25">
      <c r="A3350" s="2"/>
      <c r="B3350" s="1"/>
      <c r="C3350" s="1"/>
      <c r="D3350" s="1"/>
      <c r="E3350" s="1"/>
      <c r="F3350" s="1"/>
      <c r="G3350" s="3"/>
      <c r="H3350" s="1"/>
    </row>
    <row r="3351" spans="1:8" ht="13.2" x14ac:dyDescent="0.25">
      <c r="A3351" s="2"/>
      <c r="B3351" s="1"/>
      <c r="C3351" s="1"/>
      <c r="D3351" s="1"/>
      <c r="E3351" s="1"/>
      <c r="F3351" s="1"/>
      <c r="G3351" s="1"/>
      <c r="H3351" s="1"/>
    </row>
    <row r="3352" spans="1:8" ht="13.2" x14ac:dyDescent="0.25">
      <c r="A3352" s="1"/>
      <c r="B3352" s="1"/>
      <c r="C3352" s="1"/>
      <c r="D3352" s="1"/>
      <c r="E3352" s="1"/>
      <c r="F3352" s="1"/>
      <c r="G3352" s="1"/>
      <c r="H3352" s="1"/>
    </row>
    <row r="3353" spans="1:8" ht="13.2" x14ac:dyDescent="0.25">
      <c r="A3353" s="1"/>
      <c r="B3353" s="1"/>
      <c r="C3353" s="1"/>
      <c r="D3353" s="1"/>
      <c r="E3353" s="1"/>
      <c r="F3353" s="1"/>
      <c r="G3353" s="3"/>
      <c r="H3353" s="1"/>
    </row>
    <row r="3354" spans="1:8" ht="13.2" x14ac:dyDescent="0.25">
      <c r="A3354" s="1"/>
      <c r="B3354" s="1"/>
      <c r="C3354" s="1"/>
      <c r="D3354" s="1"/>
      <c r="E3354" s="1"/>
      <c r="F3354" s="1"/>
      <c r="G3354" s="1"/>
      <c r="H3354" s="1"/>
    </row>
    <row r="3355" spans="1:8" ht="13.2" x14ac:dyDescent="0.25">
      <c r="A3355" s="1"/>
      <c r="B3355" s="1"/>
      <c r="C3355" s="1"/>
      <c r="D3355" s="1"/>
      <c r="E3355" s="1"/>
      <c r="F3355" s="1"/>
      <c r="G3355" s="1"/>
      <c r="H3355" s="1"/>
    </row>
    <row r="3356" spans="1:8" ht="13.2" x14ac:dyDescent="0.25">
      <c r="A3356" s="1"/>
      <c r="B3356" s="1"/>
      <c r="C3356" s="1"/>
      <c r="D3356" s="1"/>
      <c r="E3356" s="1"/>
      <c r="F3356" s="1"/>
      <c r="G3356" s="3"/>
      <c r="H3356" s="1"/>
    </row>
    <row r="3357" spans="1:8" ht="13.2" x14ac:dyDescent="0.25">
      <c r="A3357" s="1"/>
      <c r="B3357" s="1"/>
      <c r="C3357" s="1"/>
      <c r="D3357" s="1"/>
      <c r="E3357" s="1"/>
      <c r="F3357" s="1"/>
      <c r="G3357" s="3"/>
      <c r="H3357" s="1"/>
    </row>
    <row r="3358" spans="1:8" ht="13.2" x14ac:dyDescent="0.25">
      <c r="A3358" s="1"/>
      <c r="B3358" s="1"/>
      <c r="C3358" s="1"/>
      <c r="D3358" s="1"/>
      <c r="E3358" s="1"/>
      <c r="F3358" s="1"/>
      <c r="G3358" s="3"/>
      <c r="H3358" s="1"/>
    </row>
    <row r="3359" spans="1:8" ht="13.2" x14ac:dyDescent="0.25">
      <c r="A3359" s="1"/>
      <c r="B3359" s="1"/>
      <c r="C3359" s="1"/>
      <c r="D3359" s="1"/>
      <c r="E3359" s="1"/>
      <c r="F3359" s="1"/>
      <c r="G3359" s="1"/>
      <c r="H3359" s="1"/>
    </row>
    <row r="3360" spans="1:8" ht="13.2" x14ac:dyDescent="0.25">
      <c r="A3360" s="1"/>
      <c r="B3360" s="1"/>
      <c r="C3360" s="1"/>
      <c r="D3360" s="1"/>
      <c r="E3360" s="1"/>
      <c r="F3360" s="1"/>
      <c r="G3360" s="3"/>
      <c r="H3360" s="1"/>
    </row>
    <row r="3361" spans="1:8" ht="13.2" x14ac:dyDescent="0.25">
      <c r="A3361" s="1"/>
      <c r="B3361" s="1"/>
      <c r="C3361" s="1"/>
      <c r="D3361" s="1"/>
      <c r="E3361" s="1"/>
      <c r="F3361" s="1"/>
      <c r="G3361" s="1"/>
      <c r="H3361" s="1"/>
    </row>
    <row r="3362" spans="1:8" ht="13.2" x14ac:dyDescent="0.25">
      <c r="A3362" s="1"/>
      <c r="B3362" s="1"/>
      <c r="C3362" s="1"/>
      <c r="D3362" s="1"/>
      <c r="E3362" s="1"/>
      <c r="F3362" s="1"/>
      <c r="G3362" s="1"/>
      <c r="H3362" s="1"/>
    </row>
    <row r="3363" spans="1:8" ht="13.2" x14ac:dyDescent="0.25">
      <c r="A3363" s="1"/>
      <c r="B3363" s="1"/>
      <c r="C3363" s="1"/>
      <c r="D3363" s="1"/>
      <c r="E3363" s="1"/>
      <c r="F3363" s="1"/>
      <c r="G3363" s="1"/>
      <c r="H3363" s="1"/>
    </row>
    <row r="3364" spans="1:8" ht="13.2" x14ac:dyDescent="0.25">
      <c r="A3364" s="2"/>
      <c r="B3364" s="1"/>
      <c r="C3364" s="1"/>
      <c r="D3364" s="1"/>
      <c r="E3364" s="1"/>
      <c r="F3364" s="1"/>
      <c r="G3364" s="1"/>
      <c r="H3364" s="1"/>
    </row>
    <row r="3365" spans="1:8" ht="13.2" x14ac:dyDescent="0.25">
      <c r="A3365" s="1"/>
      <c r="B3365" s="1"/>
      <c r="C3365" s="1"/>
      <c r="D3365" s="1"/>
      <c r="E3365" s="1"/>
      <c r="F3365" s="1"/>
      <c r="G3365" s="1"/>
      <c r="H3365" s="1"/>
    </row>
    <row r="3366" spans="1:8" ht="13.2" x14ac:dyDescent="0.25">
      <c r="A3366" s="2"/>
      <c r="B3366" s="1"/>
      <c r="C3366" s="1"/>
      <c r="D3366" s="1"/>
      <c r="E3366" s="1"/>
      <c r="F3366" s="1"/>
      <c r="G3366" s="3"/>
      <c r="H3366" s="1"/>
    </row>
    <row r="3367" spans="1:8" ht="13.2" x14ac:dyDescent="0.25">
      <c r="A3367" s="1"/>
      <c r="B3367" s="1"/>
      <c r="C3367" s="1"/>
      <c r="D3367" s="1"/>
      <c r="E3367" s="1"/>
      <c r="F3367" s="1"/>
      <c r="G3367" s="1"/>
      <c r="H3367" s="1"/>
    </row>
    <row r="3368" spans="1:8" ht="13.2" x14ac:dyDescent="0.25">
      <c r="A3368" s="2"/>
      <c r="B3368" s="1"/>
      <c r="C3368" s="1"/>
      <c r="D3368" s="1"/>
      <c r="E3368" s="1"/>
      <c r="F3368" s="1"/>
      <c r="G3368" s="1"/>
      <c r="H3368" s="1"/>
    </row>
    <row r="3369" spans="1:8" ht="13.2" x14ac:dyDescent="0.25">
      <c r="A3369" s="1"/>
      <c r="B3369" s="1"/>
      <c r="C3369" s="1"/>
      <c r="D3369" s="1"/>
      <c r="E3369" s="1"/>
      <c r="F3369" s="1"/>
      <c r="G3369" s="1"/>
      <c r="H3369" s="1"/>
    </row>
    <row r="3370" spans="1:8" ht="13.2" x14ac:dyDescent="0.25">
      <c r="A3370" s="1"/>
      <c r="B3370" s="1"/>
      <c r="C3370" s="1"/>
      <c r="D3370" s="1"/>
      <c r="E3370" s="1"/>
      <c r="F3370" s="1"/>
      <c r="G3370" s="3"/>
      <c r="H3370" s="1"/>
    </row>
    <row r="3371" spans="1:8" ht="13.2" x14ac:dyDescent="0.25">
      <c r="A3371" s="1"/>
      <c r="B3371" s="1"/>
      <c r="C3371" s="1"/>
      <c r="D3371" s="1"/>
      <c r="E3371" s="1"/>
      <c r="F3371" s="1"/>
      <c r="G3371" s="3"/>
      <c r="H3371" s="1"/>
    </row>
    <row r="3372" spans="1:8" ht="13.2" x14ac:dyDescent="0.25">
      <c r="A3372" s="1"/>
      <c r="B3372" s="1"/>
      <c r="C3372" s="1"/>
      <c r="D3372" s="1"/>
      <c r="E3372" s="1"/>
      <c r="F3372" s="1"/>
      <c r="G3372" s="3"/>
      <c r="H3372" s="1"/>
    </row>
    <row r="3373" spans="1:8" ht="13.2" x14ac:dyDescent="0.25">
      <c r="A3373" s="1"/>
      <c r="B3373" s="1"/>
      <c r="C3373" s="1"/>
      <c r="D3373" s="1"/>
      <c r="E3373" s="1"/>
      <c r="F3373" s="1"/>
      <c r="G3373" s="1"/>
      <c r="H3373" s="1"/>
    </row>
    <row r="3374" spans="1:8" ht="13.2" x14ac:dyDescent="0.25">
      <c r="A3374" s="2"/>
      <c r="B3374" s="1"/>
      <c r="C3374" s="1"/>
      <c r="D3374" s="1"/>
      <c r="E3374" s="1"/>
      <c r="F3374" s="1"/>
      <c r="G3374" s="1"/>
      <c r="H3374" s="1"/>
    </row>
    <row r="3375" spans="1:8" ht="13.2" x14ac:dyDescent="0.25">
      <c r="A3375" s="1"/>
      <c r="B3375" s="1"/>
      <c r="C3375" s="1"/>
      <c r="D3375" s="1"/>
      <c r="E3375" s="1"/>
      <c r="F3375" s="1"/>
      <c r="G3375" s="1"/>
      <c r="H3375" s="1"/>
    </row>
    <row r="3376" spans="1:8" ht="13.2" x14ac:dyDescent="0.25">
      <c r="A3376" s="1"/>
      <c r="B3376" s="1"/>
      <c r="C3376" s="1"/>
      <c r="D3376" s="1"/>
      <c r="E3376" s="1"/>
      <c r="F3376" s="1"/>
      <c r="G3376" s="1"/>
      <c r="H3376" s="1"/>
    </row>
    <row r="3377" spans="1:8" ht="13.2" x14ac:dyDescent="0.25">
      <c r="A3377" s="1"/>
      <c r="B3377" s="1"/>
      <c r="C3377" s="1"/>
      <c r="D3377" s="1"/>
      <c r="E3377" s="1"/>
      <c r="F3377" s="1"/>
      <c r="G3377" s="1"/>
      <c r="H3377" s="1"/>
    </row>
    <row r="3378" spans="1:8" ht="13.2" x14ac:dyDescent="0.25">
      <c r="A3378" s="1"/>
      <c r="B3378" s="1"/>
      <c r="C3378" s="1"/>
      <c r="D3378" s="1"/>
      <c r="E3378" s="1"/>
      <c r="F3378" s="1"/>
      <c r="G3378" s="1"/>
      <c r="H3378" s="1"/>
    </row>
    <row r="3379" spans="1:8" ht="13.2" x14ac:dyDescent="0.25">
      <c r="A3379" s="1"/>
      <c r="B3379" s="1"/>
      <c r="C3379" s="1"/>
      <c r="D3379" s="1"/>
      <c r="E3379" s="1"/>
      <c r="F3379" s="1"/>
      <c r="G3379" s="1"/>
      <c r="H3379" s="1"/>
    </row>
    <row r="3380" spans="1:8" ht="13.2" x14ac:dyDescent="0.25">
      <c r="A3380" s="2"/>
      <c r="B3380" s="1"/>
      <c r="C3380" s="1"/>
      <c r="D3380" s="1"/>
      <c r="E3380" s="1"/>
      <c r="F3380" s="1"/>
      <c r="G3380" s="1"/>
      <c r="H3380" s="1"/>
    </row>
    <row r="3381" spans="1:8" ht="13.2" x14ac:dyDescent="0.25">
      <c r="A3381" s="1"/>
      <c r="B3381" s="1"/>
      <c r="C3381" s="1"/>
      <c r="D3381" s="1"/>
      <c r="E3381" s="1"/>
      <c r="F3381" s="1"/>
      <c r="G3381" s="1"/>
      <c r="H3381" s="1"/>
    </row>
    <row r="3382" spans="1:8" ht="13.2" x14ac:dyDescent="0.25">
      <c r="A3382" s="1"/>
      <c r="B3382" s="1"/>
      <c r="C3382" s="1"/>
      <c r="D3382" s="1"/>
      <c r="E3382" s="1"/>
      <c r="F3382" s="1"/>
      <c r="G3382" s="1"/>
      <c r="H3382" s="1"/>
    </row>
    <row r="3383" spans="1:8" ht="13.2" x14ac:dyDescent="0.25">
      <c r="A3383" s="1"/>
      <c r="B3383" s="1"/>
      <c r="C3383" s="1"/>
      <c r="D3383" s="1"/>
      <c r="E3383" s="1"/>
      <c r="F3383" s="1"/>
      <c r="G3383" s="1"/>
      <c r="H3383" s="1"/>
    </row>
    <row r="3384" spans="1:8" ht="13.2" x14ac:dyDescent="0.25">
      <c r="A3384" s="1"/>
      <c r="B3384" s="1"/>
      <c r="C3384" s="1"/>
      <c r="D3384" s="1"/>
      <c r="E3384" s="1"/>
      <c r="F3384" s="1"/>
      <c r="G3384" s="1"/>
      <c r="H3384" s="1"/>
    </row>
    <row r="3385" spans="1:8" ht="13.2" x14ac:dyDescent="0.25">
      <c r="A3385" s="1"/>
      <c r="B3385" s="1"/>
      <c r="C3385" s="1"/>
      <c r="D3385" s="1"/>
      <c r="E3385" s="1"/>
      <c r="F3385" s="1"/>
      <c r="G3385" s="1"/>
      <c r="H3385" s="1"/>
    </row>
    <row r="3386" spans="1:8" ht="13.2" x14ac:dyDescent="0.25">
      <c r="A3386" s="1"/>
      <c r="B3386" s="1"/>
      <c r="C3386" s="1"/>
      <c r="D3386" s="1"/>
      <c r="E3386" s="1"/>
      <c r="F3386" s="1"/>
      <c r="G3386" s="1"/>
      <c r="H3386" s="1"/>
    </row>
    <row r="3387" spans="1:8" ht="13.2" x14ac:dyDescent="0.25">
      <c r="A3387" s="1"/>
      <c r="B3387" s="1"/>
      <c r="C3387" s="1"/>
      <c r="D3387" s="1"/>
      <c r="E3387" s="1"/>
      <c r="F3387" s="1"/>
      <c r="G3387" s="1"/>
      <c r="H3387" s="1"/>
    </row>
    <row r="3388" spans="1:8" ht="13.2" x14ac:dyDescent="0.25">
      <c r="A3388" s="1"/>
      <c r="B3388" s="1"/>
      <c r="C3388" s="1"/>
      <c r="D3388" s="1"/>
      <c r="E3388" s="1"/>
      <c r="F3388" s="1"/>
      <c r="G3388" s="1"/>
      <c r="H3388" s="1"/>
    </row>
    <row r="3389" spans="1:8" ht="13.2" x14ac:dyDescent="0.25">
      <c r="A3389" s="1"/>
      <c r="B3389" s="1"/>
      <c r="C3389" s="1"/>
      <c r="D3389" s="1"/>
      <c r="E3389" s="1"/>
      <c r="F3389" s="1"/>
      <c r="G3389" s="1"/>
      <c r="H3389" s="1"/>
    </row>
    <row r="3390" spans="1:8" ht="13.2" x14ac:dyDescent="0.25">
      <c r="A3390" s="1"/>
      <c r="B3390" s="1"/>
      <c r="C3390" s="1"/>
      <c r="D3390" s="1"/>
      <c r="E3390" s="1"/>
      <c r="F3390" s="1"/>
      <c r="G3390" s="1"/>
      <c r="H3390" s="1"/>
    </row>
    <row r="3391" spans="1:8" ht="13.2" x14ac:dyDescent="0.25">
      <c r="A3391" s="1"/>
      <c r="B3391" s="1"/>
      <c r="C3391" s="1"/>
      <c r="D3391" s="1"/>
      <c r="E3391" s="1"/>
      <c r="F3391" s="1"/>
      <c r="G3391" s="1"/>
      <c r="H3391" s="1"/>
    </row>
    <row r="3392" spans="1:8" ht="13.2" x14ac:dyDescent="0.25">
      <c r="A3392" s="2"/>
      <c r="B3392" s="1"/>
      <c r="C3392" s="1"/>
      <c r="D3392" s="1"/>
      <c r="E3392" s="1"/>
      <c r="F3392" s="1"/>
      <c r="G3392" s="1"/>
      <c r="H3392" s="1"/>
    </row>
    <row r="3393" spans="1:8" ht="13.2" x14ac:dyDescent="0.25">
      <c r="A3393" s="1"/>
      <c r="B3393" s="1"/>
      <c r="C3393" s="1"/>
      <c r="D3393" s="1"/>
      <c r="E3393" s="1"/>
      <c r="F3393" s="1"/>
      <c r="G3393" s="3"/>
      <c r="H3393" s="1"/>
    </row>
    <row r="3394" spans="1:8" ht="13.2" x14ac:dyDescent="0.25">
      <c r="A3394" s="1"/>
      <c r="B3394" s="1"/>
      <c r="C3394" s="1"/>
      <c r="D3394" s="1"/>
      <c r="E3394" s="1"/>
      <c r="F3394" s="1"/>
      <c r="G3394" s="3"/>
      <c r="H3394" s="1"/>
    </row>
    <row r="3395" spans="1:8" ht="13.2" x14ac:dyDescent="0.25">
      <c r="A3395" s="1"/>
      <c r="B3395" s="1"/>
      <c r="C3395" s="1"/>
      <c r="D3395" s="1"/>
      <c r="E3395" s="1"/>
      <c r="F3395" s="1"/>
      <c r="G3395" s="1"/>
      <c r="H3395" s="1"/>
    </row>
    <row r="3396" spans="1:8" ht="13.2" x14ac:dyDescent="0.25">
      <c r="A3396" s="1"/>
      <c r="B3396" s="1"/>
      <c r="C3396" s="1"/>
      <c r="D3396" s="1"/>
      <c r="E3396" s="1"/>
      <c r="F3396" s="1"/>
      <c r="G3396" s="1"/>
      <c r="H3396" s="1"/>
    </row>
    <row r="3397" spans="1:8" ht="13.2" x14ac:dyDescent="0.25">
      <c r="A3397" s="1"/>
      <c r="B3397" s="1"/>
      <c r="C3397" s="1"/>
      <c r="D3397" s="1"/>
      <c r="E3397" s="1"/>
      <c r="F3397" s="1"/>
      <c r="G3397" s="1"/>
      <c r="H3397" s="1"/>
    </row>
    <row r="3398" spans="1:8" ht="13.2" x14ac:dyDescent="0.25">
      <c r="A3398" s="1"/>
      <c r="B3398" s="1"/>
      <c r="C3398" s="1"/>
      <c r="D3398" s="1"/>
      <c r="E3398" s="1"/>
      <c r="F3398" s="1"/>
      <c r="G3398" s="1"/>
      <c r="H3398" s="1"/>
    </row>
    <row r="3399" spans="1:8" ht="13.2" x14ac:dyDescent="0.25">
      <c r="A3399" s="1"/>
      <c r="B3399" s="1"/>
      <c r="C3399" s="1"/>
      <c r="D3399" s="1"/>
      <c r="E3399" s="1"/>
      <c r="F3399" s="1"/>
      <c r="G3399" s="1"/>
      <c r="H3399" s="1"/>
    </row>
    <row r="3400" spans="1:8" ht="13.2" x14ac:dyDescent="0.25">
      <c r="A3400" s="1"/>
      <c r="B3400" s="1"/>
      <c r="C3400" s="1"/>
      <c r="D3400" s="1"/>
      <c r="E3400" s="1"/>
      <c r="F3400" s="1"/>
      <c r="G3400" s="1"/>
      <c r="H3400" s="1"/>
    </row>
    <row r="3401" spans="1:8" ht="13.2" x14ac:dyDescent="0.25">
      <c r="A3401" s="1"/>
      <c r="B3401" s="1"/>
      <c r="C3401" s="1"/>
      <c r="D3401" s="1"/>
      <c r="E3401" s="1"/>
      <c r="F3401" s="1"/>
      <c r="G3401" s="1"/>
      <c r="H3401" s="1"/>
    </row>
    <row r="3402" spans="1:8" ht="13.2" x14ac:dyDescent="0.25">
      <c r="A3402" s="1"/>
      <c r="B3402" s="1"/>
      <c r="C3402" s="1"/>
      <c r="D3402" s="1"/>
      <c r="E3402" s="1"/>
      <c r="F3402" s="1"/>
      <c r="G3402" s="1"/>
      <c r="H3402" s="1"/>
    </row>
    <row r="3403" spans="1:8" ht="13.2" x14ac:dyDescent="0.25">
      <c r="A3403" s="1"/>
      <c r="B3403" s="1"/>
      <c r="C3403" s="1"/>
      <c r="D3403" s="1"/>
      <c r="E3403" s="1"/>
      <c r="F3403" s="1"/>
      <c r="G3403" s="1"/>
      <c r="H3403" s="1"/>
    </row>
    <row r="3404" spans="1:8" ht="13.2" x14ac:dyDescent="0.25">
      <c r="A3404" s="1"/>
      <c r="B3404" s="1"/>
      <c r="C3404" s="1"/>
      <c r="D3404" s="1"/>
      <c r="E3404" s="1"/>
      <c r="F3404" s="1"/>
      <c r="G3404" s="3"/>
      <c r="H3404" s="1"/>
    </row>
    <row r="3405" spans="1:8" ht="13.2" x14ac:dyDescent="0.25">
      <c r="A3405" s="1"/>
      <c r="B3405" s="1"/>
      <c r="C3405" s="1"/>
      <c r="D3405" s="1"/>
      <c r="E3405" s="1"/>
      <c r="F3405" s="1"/>
      <c r="G3405" s="1"/>
      <c r="H3405" s="1"/>
    </row>
    <row r="3406" spans="1:8" ht="13.2" x14ac:dyDescent="0.25">
      <c r="A3406" s="1"/>
      <c r="B3406" s="1"/>
      <c r="C3406" s="1"/>
      <c r="D3406" s="1"/>
      <c r="E3406" s="1"/>
      <c r="F3406" s="1"/>
      <c r="G3406" s="1"/>
      <c r="H3406" s="1"/>
    </row>
    <row r="3407" spans="1:8" ht="13.2" x14ac:dyDescent="0.25">
      <c r="A3407" s="1"/>
      <c r="B3407" s="1"/>
      <c r="C3407" s="1"/>
      <c r="D3407" s="1"/>
      <c r="E3407" s="1"/>
      <c r="F3407" s="1"/>
      <c r="G3407" s="1"/>
      <c r="H3407" s="1"/>
    </row>
    <row r="3408" spans="1:8" ht="13.2" x14ac:dyDescent="0.25">
      <c r="A3408" s="1"/>
      <c r="B3408" s="1"/>
      <c r="C3408" s="1"/>
      <c r="D3408" s="1"/>
      <c r="E3408" s="1"/>
      <c r="F3408" s="1"/>
      <c r="G3408" s="1"/>
      <c r="H3408" s="1"/>
    </row>
    <row r="3409" spans="1:8" ht="13.2" x14ac:dyDescent="0.25">
      <c r="A3409" s="2"/>
      <c r="B3409" s="1"/>
      <c r="C3409" s="1"/>
      <c r="D3409" s="1"/>
      <c r="E3409" s="1"/>
      <c r="F3409" s="1"/>
      <c r="G3409" s="1"/>
      <c r="H3409" s="1"/>
    </row>
    <row r="3410" spans="1:8" ht="13.2" x14ac:dyDescent="0.25">
      <c r="A3410" s="2"/>
      <c r="B3410" s="1"/>
      <c r="C3410" s="1"/>
      <c r="D3410" s="1"/>
      <c r="E3410" s="1"/>
      <c r="F3410" s="1"/>
      <c r="G3410" s="1"/>
      <c r="H3410" s="1"/>
    </row>
    <row r="3411" spans="1:8" ht="13.2" x14ac:dyDescent="0.25">
      <c r="A3411" s="1"/>
      <c r="B3411" s="1"/>
      <c r="C3411" s="1"/>
      <c r="D3411" s="1"/>
      <c r="E3411" s="1"/>
      <c r="F3411" s="1"/>
      <c r="G3411" s="1"/>
      <c r="H3411" s="1"/>
    </row>
    <row r="3412" spans="1:8" ht="13.2" x14ac:dyDescent="0.25">
      <c r="A3412" s="2"/>
      <c r="B3412" s="1"/>
      <c r="C3412" s="1"/>
      <c r="D3412" s="1"/>
      <c r="E3412" s="1"/>
      <c r="F3412" s="1"/>
      <c r="G3412" s="3"/>
      <c r="H3412" s="1"/>
    </row>
    <row r="3413" spans="1:8" ht="13.2" x14ac:dyDescent="0.25">
      <c r="A3413" s="1"/>
      <c r="B3413" s="1"/>
      <c r="C3413" s="1"/>
      <c r="D3413" s="1"/>
      <c r="E3413" s="1"/>
      <c r="F3413" s="1"/>
      <c r="G3413" s="1"/>
      <c r="H3413" s="1"/>
    </row>
    <row r="3414" spans="1:8" ht="13.2" x14ac:dyDescent="0.25">
      <c r="A3414" s="2"/>
      <c r="B3414" s="1"/>
      <c r="C3414" s="1"/>
      <c r="D3414" s="1"/>
      <c r="E3414" s="1"/>
      <c r="F3414" s="1"/>
      <c r="G3414" s="1"/>
      <c r="H3414" s="1"/>
    </row>
    <row r="3415" spans="1:8" ht="13.2" x14ac:dyDescent="0.25">
      <c r="A3415" s="1"/>
      <c r="B3415" s="1"/>
      <c r="C3415" s="1"/>
      <c r="D3415" s="1"/>
      <c r="E3415" s="1"/>
      <c r="F3415" s="1"/>
      <c r="G3415" s="3"/>
      <c r="H3415" s="1"/>
    </row>
    <row r="3416" spans="1:8" ht="13.2" x14ac:dyDescent="0.25">
      <c r="A3416" s="1"/>
      <c r="B3416" s="1"/>
      <c r="C3416" s="1"/>
      <c r="D3416" s="1"/>
      <c r="E3416" s="1"/>
      <c r="F3416" s="1"/>
      <c r="G3416" s="3"/>
      <c r="H3416" s="1"/>
    </row>
    <row r="3417" spans="1:8" ht="13.2" x14ac:dyDescent="0.25">
      <c r="A3417" s="1"/>
      <c r="B3417" s="1"/>
      <c r="C3417" s="1"/>
      <c r="D3417" s="1"/>
      <c r="E3417" s="1"/>
      <c r="F3417" s="1"/>
      <c r="G3417" s="1"/>
      <c r="H3417" s="1"/>
    </row>
    <row r="3418" spans="1:8" ht="13.2" x14ac:dyDescent="0.25">
      <c r="A3418" s="1"/>
      <c r="B3418" s="1"/>
      <c r="C3418" s="1"/>
      <c r="D3418" s="1"/>
      <c r="E3418" s="1"/>
      <c r="F3418" s="1"/>
      <c r="G3418" s="3"/>
      <c r="H3418" s="1"/>
    </row>
    <row r="3419" spans="1:8" ht="13.2" x14ac:dyDescent="0.25">
      <c r="A3419" s="1"/>
      <c r="B3419" s="1"/>
      <c r="C3419" s="1"/>
      <c r="D3419" s="1"/>
      <c r="E3419" s="1"/>
      <c r="F3419" s="1"/>
      <c r="G3419" s="3"/>
      <c r="H3419" s="1"/>
    </row>
    <row r="3420" spans="1:8" ht="13.2" x14ac:dyDescent="0.25">
      <c r="A3420" s="1"/>
      <c r="B3420" s="1"/>
      <c r="C3420" s="1"/>
      <c r="D3420" s="1"/>
      <c r="E3420" s="1"/>
      <c r="F3420" s="1"/>
      <c r="G3420" s="1"/>
      <c r="H3420" s="1"/>
    </row>
    <row r="3421" spans="1:8" ht="13.2" x14ac:dyDescent="0.25">
      <c r="A3421" s="1"/>
      <c r="B3421" s="1"/>
      <c r="C3421" s="1"/>
      <c r="D3421" s="1"/>
      <c r="E3421" s="1"/>
      <c r="F3421" s="1"/>
      <c r="G3421" s="1"/>
      <c r="H3421" s="1"/>
    </row>
    <row r="3422" spans="1:8" ht="13.2" x14ac:dyDescent="0.25">
      <c r="A3422" s="1"/>
      <c r="B3422" s="1"/>
      <c r="C3422" s="1"/>
      <c r="D3422" s="1"/>
      <c r="E3422" s="1"/>
      <c r="F3422" s="1"/>
      <c r="G3422" s="1"/>
      <c r="H3422" s="1"/>
    </row>
    <row r="3423" spans="1:8" ht="13.2" x14ac:dyDescent="0.25">
      <c r="A3423" s="1"/>
      <c r="B3423" s="1"/>
      <c r="C3423" s="1"/>
      <c r="D3423" s="1"/>
      <c r="E3423" s="1"/>
      <c r="F3423" s="1"/>
      <c r="G3423" s="3"/>
      <c r="H3423" s="1"/>
    </row>
    <row r="3424" spans="1:8" ht="13.2" x14ac:dyDescent="0.25">
      <c r="A3424" s="1"/>
      <c r="B3424" s="1"/>
      <c r="C3424" s="1"/>
      <c r="D3424" s="1"/>
      <c r="E3424" s="1"/>
      <c r="F3424" s="1"/>
      <c r="G3424" s="1"/>
      <c r="H3424" s="1"/>
    </row>
    <row r="3425" spans="1:8" ht="13.2" x14ac:dyDescent="0.25">
      <c r="A3425" s="2"/>
      <c r="B3425" s="1"/>
      <c r="C3425" s="1"/>
      <c r="D3425" s="1"/>
      <c r="E3425" s="1"/>
      <c r="F3425" s="1"/>
      <c r="G3425" s="1"/>
      <c r="H3425" s="1"/>
    </row>
    <row r="3426" spans="1:8" ht="13.2" x14ac:dyDescent="0.25">
      <c r="A3426" s="1"/>
      <c r="B3426" s="1"/>
      <c r="C3426" s="1"/>
      <c r="D3426" s="1"/>
      <c r="E3426" s="1"/>
      <c r="F3426" s="1"/>
      <c r="G3426" s="3"/>
      <c r="H3426" s="1"/>
    </row>
    <row r="3427" spans="1:8" ht="13.2" x14ac:dyDescent="0.25">
      <c r="A3427" s="1"/>
      <c r="B3427" s="1"/>
      <c r="C3427" s="1"/>
      <c r="D3427" s="1"/>
      <c r="E3427" s="1"/>
      <c r="F3427" s="1"/>
      <c r="G3427" s="3"/>
      <c r="H3427" s="1"/>
    </row>
    <row r="3428" spans="1:8" ht="13.2" x14ac:dyDescent="0.25">
      <c r="A3428" s="2"/>
      <c r="B3428" s="1"/>
      <c r="C3428" s="1"/>
      <c r="D3428" s="1"/>
      <c r="E3428" s="1"/>
      <c r="F3428" s="1"/>
      <c r="G3428" s="1"/>
      <c r="H3428" s="1"/>
    </row>
    <row r="3429" spans="1:8" ht="13.2" x14ac:dyDescent="0.25">
      <c r="A3429" s="2"/>
      <c r="B3429" s="1"/>
      <c r="C3429" s="1"/>
      <c r="D3429" s="1"/>
      <c r="E3429" s="1"/>
      <c r="F3429" s="1"/>
      <c r="G3429" s="1"/>
      <c r="H3429" s="1"/>
    </row>
    <row r="3430" spans="1:8" ht="13.2" x14ac:dyDescent="0.25">
      <c r="A3430" s="1"/>
      <c r="B3430" s="1"/>
      <c r="C3430" s="1"/>
      <c r="D3430" s="1"/>
      <c r="E3430" s="1"/>
      <c r="F3430" s="1"/>
      <c r="G3430" s="1"/>
      <c r="H3430" s="1"/>
    </row>
    <row r="3431" spans="1:8" ht="13.2" x14ac:dyDescent="0.25">
      <c r="A3431" s="2"/>
      <c r="B3431" s="1"/>
      <c r="C3431" s="1"/>
      <c r="D3431" s="1"/>
      <c r="E3431" s="1"/>
      <c r="F3431" s="1"/>
      <c r="G3431" s="1"/>
      <c r="H3431" s="1"/>
    </row>
    <row r="3432" spans="1:8" ht="13.2" x14ac:dyDescent="0.25">
      <c r="A3432" s="1"/>
      <c r="B3432" s="1"/>
      <c r="C3432" s="1"/>
      <c r="D3432" s="1"/>
      <c r="E3432" s="1"/>
      <c r="F3432" s="1"/>
      <c r="G3432" s="1"/>
      <c r="H3432" s="1"/>
    </row>
    <row r="3433" spans="1:8" ht="13.2" x14ac:dyDescent="0.25">
      <c r="A3433" s="1"/>
      <c r="B3433" s="1"/>
      <c r="C3433" s="1"/>
      <c r="D3433" s="1"/>
      <c r="E3433" s="1"/>
      <c r="F3433" s="1"/>
      <c r="G3433" s="3"/>
      <c r="H3433" s="1"/>
    </row>
    <row r="3434" spans="1:8" ht="13.2" x14ac:dyDescent="0.25">
      <c r="A3434" s="1"/>
      <c r="B3434" s="1"/>
      <c r="C3434" s="1"/>
      <c r="D3434" s="1"/>
      <c r="E3434" s="1"/>
      <c r="F3434" s="1"/>
      <c r="G3434" s="1"/>
      <c r="H3434" s="1"/>
    </row>
    <row r="3435" spans="1:8" ht="13.2" x14ac:dyDescent="0.25">
      <c r="A3435" s="1"/>
      <c r="B3435" s="1"/>
      <c r="C3435" s="1"/>
      <c r="D3435" s="1"/>
      <c r="E3435" s="1"/>
      <c r="F3435" s="1"/>
      <c r="G3435" s="3"/>
      <c r="H3435" s="1"/>
    </row>
    <row r="3436" spans="1:8" ht="13.2" x14ac:dyDescent="0.25">
      <c r="A3436" s="1"/>
      <c r="B3436" s="1"/>
      <c r="C3436" s="1"/>
      <c r="D3436" s="1"/>
      <c r="E3436" s="1"/>
      <c r="F3436" s="1"/>
      <c r="G3436" s="3"/>
      <c r="H3436" s="1"/>
    </row>
    <row r="3437" spans="1:8" ht="13.2" x14ac:dyDescent="0.25">
      <c r="A3437" s="1"/>
      <c r="B3437" s="1"/>
      <c r="C3437" s="1"/>
      <c r="D3437" s="1"/>
      <c r="E3437" s="1"/>
      <c r="F3437" s="1"/>
      <c r="G3437" s="1"/>
      <c r="H3437" s="1"/>
    </row>
    <row r="3438" spans="1:8" ht="13.2" x14ac:dyDescent="0.25">
      <c r="A3438" s="1"/>
      <c r="B3438" s="1"/>
      <c r="C3438" s="1"/>
      <c r="D3438" s="1"/>
      <c r="E3438" s="1"/>
      <c r="F3438" s="1"/>
      <c r="G3438" s="1"/>
      <c r="H3438" s="1"/>
    </row>
    <row r="3439" spans="1:8" ht="13.2" x14ac:dyDescent="0.25">
      <c r="A3439" s="2"/>
      <c r="B3439" s="1"/>
      <c r="C3439" s="1"/>
      <c r="D3439" s="1"/>
      <c r="E3439" s="1"/>
      <c r="F3439" s="1"/>
      <c r="G3439" s="1"/>
      <c r="H3439" s="1"/>
    </row>
    <row r="3440" spans="1:8" ht="13.2" x14ac:dyDescent="0.25">
      <c r="A3440" s="2"/>
      <c r="B3440" s="1"/>
      <c r="C3440" s="1"/>
      <c r="D3440" s="1"/>
      <c r="E3440" s="1"/>
      <c r="F3440" s="1"/>
      <c r="G3440" s="1"/>
      <c r="H3440" s="1"/>
    </row>
    <row r="3441" spans="1:8" ht="13.2" x14ac:dyDescent="0.25">
      <c r="A3441" s="1"/>
      <c r="B3441" s="1"/>
      <c r="C3441" s="1"/>
      <c r="D3441" s="1"/>
      <c r="E3441" s="1"/>
      <c r="F3441" s="1"/>
      <c r="G3441" s="1"/>
      <c r="H3441" s="1"/>
    </row>
    <row r="3442" spans="1:8" ht="13.2" x14ac:dyDescent="0.25">
      <c r="A3442" s="2"/>
      <c r="B3442" s="1"/>
      <c r="C3442" s="1"/>
      <c r="D3442" s="1"/>
      <c r="E3442" s="1"/>
      <c r="F3442" s="1"/>
      <c r="G3442" s="1"/>
      <c r="H3442" s="1"/>
    </row>
    <row r="3443" spans="1:8" ht="13.2" x14ac:dyDescent="0.25">
      <c r="A3443" s="2"/>
      <c r="B3443" s="1"/>
      <c r="C3443" s="1"/>
      <c r="D3443" s="1"/>
      <c r="E3443" s="1"/>
      <c r="F3443" s="1"/>
      <c r="G3443" s="1"/>
      <c r="H3443" s="1"/>
    </row>
    <row r="3444" spans="1:8" ht="13.2" x14ac:dyDescent="0.25">
      <c r="A3444" s="2"/>
      <c r="B3444" s="1"/>
      <c r="C3444" s="1"/>
      <c r="D3444" s="1"/>
      <c r="E3444" s="1"/>
      <c r="F3444" s="1"/>
      <c r="G3444" s="1"/>
      <c r="H3444" s="1"/>
    </row>
    <row r="3445" spans="1:8" ht="13.2" x14ac:dyDescent="0.25">
      <c r="A3445" s="1"/>
      <c r="B3445" s="1"/>
      <c r="C3445" s="1"/>
      <c r="D3445" s="1"/>
      <c r="E3445" s="1"/>
      <c r="F3445" s="1"/>
      <c r="G3445" s="1"/>
      <c r="H3445" s="1"/>
    </row>
    <row r="3446" spans="1:8" ht="13.2" x14ac:dyDescent="0.25">
      <c r="A3446" s="1"/>
      <c r="B3446" s="1"/>
      <c r="C3446" s="1"/>
      <c r="D3446" s="1"/>
      <c r="E3446" s="1"/>
      <c r="F3446" s="1"/>
      <c r="G3446" s="1"/>
      <c r="H3446" s="1"/>
    </row>
    <row r="3447" spans="1:8" ht="13.2" x14ac:dyDescent="0.25">
      <c r="A3447" s="1"/>
      <c r="B3447" s="1"/>
      <c r="C3447" s="1"/>
      <c r="D3447" s="1"/>
      <c r="E3447" s="1"/>
      <c r="F3447" s="1"/>
      <c r="G3447" s="1"/>
      <c r="H3447" s="1"/>
    </row>
    <row r="3448" spans="1:8" ht="13.2" x14ac:dyDescent="0.25">
      <c r="A3448" s="1"/>
      <c r="B3448" s="1"/>
      <c r="C3448" s="1"/>
      <c r="D3448" s="1"/>
      <c r="E3448" s="1"/>
      <c r="F3448" s="1"/>
      <c r="G3448" s="3"/>
      <c r="H3448" s="1"/>
    </row>
    <row r="3449" spans="1:8" ht="13.2" x14ac:dyDescent="0.25">
      <c r="A3449" s="2"/>
      <c r="B3449" s="1"/>
      <c r="C3449" s="1"/>
      <c r="D3449" s="1"/>
      <c r="E3449" s="1"/>
      <c r="F3449" s="1"/>
      <c r="G3449" s="1"/>
      <c r="H3449" s="1"/>
    </row>
    <row r="3450" spans="1:8" ht="13.2" x14ac:dyDescent="0.25">
      <c r="A3450" s="1"/>
      <c r="B3450" s="1"/>
      <c r="C3450" s="1"/>
      <c r="D3450" s="1"/>
      <c r="E3450" s="1"/>
      <c r="F3450" s="1"/>
      <c r="G3450" s="1"/>
      <c r="H3450" s="1"/>
    </row>
    <row r="3451" spans="1:8" ht="13.2" x14ac:dyDescent="0.25">
      <c r="A3451" s="2"/>
      <c r="B3451" s="1"/>
      <c r="C3451" s="1"/>
      <c r="D3451" s="1"/>
      <c r="E3451" s="1"/>
      <c r="F3451" s="1"/>
      <c r="G3451" s="1"/>
      <c r="H3451" s="1"/>
    </row>
    <row r="3452" spans="1:8" ht="13.2" x14ac:dyDescent="0.25">
      <c r="A3452" s="2"/>
      <c r="B3452" s="1"/>
      <c r="C3452" s="1"/>
      <c r="D3452" s="1"/>
      <c r="E3452" s="1"/>
      <c r="F3452" s="1"/>
      <c r="G3452" s="1"/>
      <c r="H3452" s="1"/>
    </row>
    <row r="3453" spans="1:8" ht="13.2" x14ac:dyDescent="0.25">
      <c r="A3453" s="1"/>
      <c r="B3453" s="1"/>
      <c r="C3453" s="1"/>
      <c r="D3453" s="1"/>
      <c r="E3453" s="1"/>
      <c r="F3453" s="1"/>
      <c r="G3453" s="3"/>
      <c r="H3453" s="1"/>
    </row>
    <row r="3454" spans="1:8" ht="13.2" x14ac:dyDescent="0.25">
      <c r="A3454" s="1"/>
      <c r="B3454" s="1"/>
      <c r="C3454" s="1"/>
      <c r="D3454" s="1"/>
      <c r="E3454" s="1"/>
      <c r="F3454" s="1"/>
      <c r="G3454" s="1"/>
      <c r="H3454" s="1"/>
    </row>
    <row r="3455" spans="1:8" ht="13.2" x14ac:dyDescent="0.25">
      <c r="A3455" s="1"/>
      <c r="B3455" s="1"/>
      <c r="C3455" s="1"/>
      <c r="D3455" s="1"/>
      <c r="E3455" s="1"/>
      <c r="F3455" s="1"/>
      <c r="G3455" s="3"/>
      <c r="H3455" s="1"/>
    </row>
    <row r="3456" spans="1:8" ht="13.2" x14ac:dyDescent="0.25">
      <c r="A3456" s="1"/>
      <c r="B3456" s="1"/>
      <c r="C3456" s="1"/>
      <c r="D3456" s="1"/>
      <c r="E3456" s="1"/>
      <c r="F3456" s="1"/>
      <c r="G3456" s="1"/>
      <c r="H3456" s="1"/>
    </row>
    <row r="3457" spans="1:8" ht="13.2" x14ac:dyDescent="0.25">
      <c r="A3457" s="1"/>
      <c r="B3457" s="1"/>
      <c r="C3457" s="1"/>
      <c r="D3457" s="1"/>
      <c r="E3457" s="1"/>
      <c r="F3457" s="1"/>
      <c r="G3457" s="3"/>
      <c r="H3457" s="1"/>
    </row>
    <row r="3458" spans="1:8" ht="13.2" x14ac:dyDescent="0.25">
      <c r="A3458" s="2"/>
      <c r="B3458" s="1"/>
      <c r="C3458" s="1"/>
      <c r="D3458" s="1"/>
      <c r="E3458" s="1"/>
      <c r="F3458" s="1"/>
      <c r="G3458" s="1"/>
      <c r="H3458" s="1"/>
    </row>
    <row r="3459" spans="1:8" ht="13.2" x14ac:dyDescent="0.25">
      <c r="A3459" s="1"/>
      <c r="B3459" s="1"/>
      <c r="C3459" s="1"/>
      <c r="D3459" s="1"/>
      <c r="E3459" s="1"/>
      <c r="F3459" s="1"/>
      <c r="G3459" s="3"/>
      <c r="H3459" s="1"/>
    </row>
    <row r="3460" spans="1:8" ht="13.2" x14ac:dyDescent="0.25">
      <c r="A3460" s="1"/>
      <c r="B3460" s="1"/>
      <c r="C3460" s="1"/>
      <c r="D3460" s="1"/>
      <c r="E3460" s="1"/>
      <c r="F3460" s="1"/>
      <c r="G3460" s="1"/>
      <c r="H3460" s="1"/>
    </row>
    <row r="3461" spans="1:8" ht="13.2" x14ac:dyDescent="0.25">
      <c r="A3461" s="2"/>
      <c r="B3461" s="1"/>
      <c r="C3461" s="1"/>
      <c r="D3461" s="1"/>
      <c r="E3461" s="1"/>
      <c r="F3461" s="1"/>
      <c r="G3461" s="3"/>
      <c r="H3461" s="1"/>
    </row>
    <row r="3462" spans="1:8" ht="13.2" x14ac:dyDescent="0.25">
      <c r="A3462" s="1"/>
      <c r="B3462" s="1"/>
      <c r="C3462" s="1"/>
      <c r="D3462" s="1"/>
      <c r="E3462" s="1"/>
      <c r="F3462" s="1"/>
      <c r="G3462" s="3"/>
      <c r="H3462" s="1"/>
    </row>
    <row r="3463" spans="1:8" ht="13.2" x14ac:dyDescent="0.25">
      <c r="A3463" s="1"/>
      <c r="B3463" s="1"/>
      <c r="C3463" s="1"/>
      <c r="D3463" s="1"/>
      <c r="E3463" s="1"/>
      <c r="F3463" s="1"/>
      <c r="G3463" s="1"/>
      <c r="H3463" s="1"/>
    </row>
    <row r="3464" spans="1:8" ht="13.2" x14ac:dyDescent="0.25">
      <c r="A3464" s="1"/>
      <c r="B3464" s="1"/>
      <c r="C3464" s="1"/>
      <c r="D3464" s="1"/>
      <c r="E3464" s="1"/>
      <c r="F3464" s="1"/>
      <c r="G3464" s="1"/>
      <c r="H3464" s="1"/>
    </row>
    <row r="3465" spans="1:8" ht="13.2" x14ac:dyDescent="0.25">
      <c r="A3465" s="1"/>
      <c r="B3465" s="1"/>
      <c r="C3465" s="1"/>
      <c r="D3465" s="1"/>
      <c r="E3465" s="1"/>
      <c r="F3465" s="1"/>
      <c r="G3465" s="3"/>
      <c r="H3465" s="1"/>
    </row>
    <row r="3466" spans="1:8" ht="13.2" x14ac:dyDescent="0.25">
      <c r="A3466" s="2"/>
      <c r="B3466" s="1"/>
      <c r="C3466" s="1"/>
      <c r="D3466" s="1"/>
      <c r="E3466" s="1"/>
      <c r="F3466" s="1"/>
      <c r="G3466" s="1"/>
      <c r="H3466" s="1"/>
    </row>
    <row r="3467" spans="1:8" ht="13.2" x14ac:dyDescent="0.25">
      <c r="A3467" s="1"/>
      <c r="B3467" s="1"/>
      <c r="C3467" s="1"/>
      <c r="D3467" s="1"/>
      <c r="E3467" s="1"/>
      <c r="F3467" s="1"/>
      <c r="G3467" s="1"/>
      <c r="H3467" s="1"/>
    </row>
    <row r="3468" spans="1:8" ht="13.2" x14ac:dyDescent="0.25">
      <c r="A3468" s="1"/>
      <c r="B3468" s="1"/>
      <c r="C3468" s="1"/>
      <c r="D3468" s="1"/>
      <c r="E3468" s="1"/>
      <c r="F3468" s="1"/>
      <c r="G3468" s="1"/>
      <c r="H3468" s="1"/>
    </row>
    <row r="3469" spans="1:8" ht="13.2" x14ac:dyDescent="0.25">
      <c r="A3469" s="2"/>
      <c r="B3469" s="1"/>
      <c r="C3469" s="1"/>
      <c r="D3469" s="1"/>
      <c r="E3469" s="1"/>
      <c r="F3469" s="1"/>
      <c r="G3469" s="1"/>
      <c r="H3469" s="1"/>
    </row>
    <row r="3470" spans="1:8" ht="13.2" x14ac:dyDescent="0.25">
      <c r="A3470" s="2"/>
      <c r="B3470" s="1"/>
      <c r="C3470" s="1"/>
      <c r="D3470" s="1"/>
      <c r="E3470" s="1"/>
      <c r="F3470" s="1"/>
      <c r="G3470" s="3"/>
      <c r="H3470" s="1"/>
    </row>
    <row r="3471" spans="1:8" ht="13.2" x14ac:dyDescent="0.25">
      <c r="A3471" s="1"/>
      <c r="B3471" s="1"/>
      <c r="C3471" s="1"/>
      <c r="D3471" s="1"/>
      <c r="E3471" s="1"/>
      <c r="F3471" s="1"/>
      <c r="G3471" s="1"/>
      <c r="H3471" s="1"/>
    </row>
    <row r="3472" spans="1:8" ht="13.2" x14ac:dyDescent="0.25">
      <c r="A3472" s="2"/>
      <c r="B3472" s="1"/>
      <c r="C3472" s="1"/>
      <c r="D3472" s="1"/>
      <c r="E3472" s="1"/>
      <c r="F3472" s="1"/>
      <c r="G3472" s="1"/>
      <c r="H3472" s="1"/>
    </row>
    <row r="3473" spans="1:8" ht="13.2" x14ac:dyDescent="0.25">
      <c r="A3473" s="1"/>
      <c r="B3473" s="1"/>
      <c r="C3473" s="1"/>
      <c r="D3473" s="1"/>
      <c r="E3473" s="1"/>
      <c r="F3473" s="1"/>
      <c r="G3473" s="3"/>
      <c r="H3473" s="1"/>
    </row>
    <row r="3474" spans="1:8" ht="13.2" x14ac:dyDescent="0.25">
      <c r="A3474" s="2"/>
      <c r="B3474" s="1"/>
      <c r="C3474" s="1"/>
      <c r="D3474" s="1"/>
      <c r="E3474" s="1"/>
      <c r="F3474" s="1"/>
      <c r="G3474" s="1"/>
      <c r="H3474" s="1"/>
    </row>
    <row r="3475" spans="1:8" ht="13.2" x14ac:dyDescent="0.25">
      <c r="A3475" s="1"/>
      <c r="B3475" s="1"/>
      <c r="C3475" s="1"/>
      <c r="D3475" s="1"/>
      <c r="E3475" s="1"/>
      <c r="F3475" s="1"/>
      <c r="G3475" s="1"/>
      <c r="H3475" s="1"/>
    </row>
    <row r="3476" spans="1:8" ht="13.2" x14ac:dyDescent="0.25">
      <c r="A3476" s="1"/>
      <c r="B3476" s="1"/>
      <c r="C3476" s="1"/>
      <c r="D3476" s="1"/>
      <c r="E3476" s="1"/>
      <c r="F3476" s="1"/>
      <c r="G3476" s="1"/>
      <c r="H3476" s="1"/>
    </row>
    <row r="3477" spans="1:8" ht="13.2" x14ac:dyDescent="0.25">
      <c r="A3477" s="2"/>
      <c r="B3477" s="1"/>
      <c r="C3477" s="1"/>
      <c r="D3477" s="1"/>
      <c r="E3477" s="1"/>
      <c r="F3477" s="1"/>
      <c r="G3477" s="1"/>
      <c r="H3477" s="1"/>
    </row>
    <row r="3478" spans="1:8" ht="13.2" x14ac:dyDescent="0.25">
      <c r="A3478" s="2"/>
      <c r="B3478" s="1"/>
      <c r="C3478" s="1"/>
      <c r="D3478" s="1"/>
      <c r="E3478" s="1"/>
      <c r="F3478" s="1"/>
      <c r="G3478" s="1"/>
      <c r="H3478" s="1"/>
    </row>
    <row r="3479" spans="1:8" ht="13.2" x14ac:dyDescent="0.25">
      <c r="A3479" s="1"/>
      <c r="B3479" s="1"/>
      <c r="C3479" s="1"/>
      <c r="D3479" s="1"/>
      <c r="E3479" s="1"/>
      <c r="F3479" s="1"/>
      <c r="G3479" s="1"/>
      <c r="H3479" s="1"/>
    </row>
    <row r="3480" spans="1:8" ht="13.2" x14ac:dyDescent="0.25">
      <c r="A3480" s="1"/>
      <c r="B3480" s="1"/>
      <c r="C3480" s="1"/>
      <c r="D3480" s="1"/>
      <c r="E3480" s="1"/>
      <c r="F3480" s="1"/>
      <c r="G3480" s="1"/>
      <c r="H3480" s="1"/>
    </row>
    <row r="3481" spans="1:8" ht="13.2" x14ac:dyDescent="0.25">
      <c r="A3481" s="1"/>
      <c r="B3481" s="1"/>
      <c r="C3481" s="1"/>
      <c r="D3481" s="1"/>
      <c r="E3481" s="1"/>
      <c r="F3481" s="1"/>
      <c r="G3481" s="1"/>
      <c r="H3481" s="1"/>
    </row>
    <row r="3482" spans="1:8" ht="13.2" x14ac:dyDescent="0.25">
      <c r="A3482" s="1"/>
      <c r="B3482" s="1"/>
      <c r="C3482" s="1"/>
      <c r="D3482" s="1"/>
      <c r="E3482" s="1"/>
      <c r="F3482" s="1"/>
      <c r="G3482" s="3"/>
      <c r="H3482" s="1"/>
    </row>
    <row r="3483" spans="1:8" ht="13.2" x14ac:dyDescent="0.25">
      <c r="A3483" s="1"/>
      <c r="B3483" s="1"/>
      <c r="C3483" s="1"/>
      <c r="D3483" s="1"/>
      <c r="E3483" s="1"/>
      <c r="F3483" s="1"/>
      <c r="G3483" s="3"/>
      <c r="H3483" s="1"/>
    </row>
    <row r="3484" spans="1:8" ht="13.2" x14ac:dyDescent="0.25">
      <c r="A3484" s="1"/>
      <c r="B3484" s="1"/>
      <c r="C3484" s="1"/>
      <c r="D3484" s="1"/>
      <c r="E3484" s="1"/>
      <c r="F3484" s="1"/>
      <c r="G3484" s="3"/>
      <c r="H3484" s="1"/>
    </row>
    <row r="3485" spans="1:8" ht="13.2" x14ac:dyDescent="0.25">
      <c r="A3485" s="2"/>
      <c r="B3485" s="1"/>
      <c r="C3485" s="1"/>
      <c r="D3485" s="1"/>
      <c r="E3485" s="1"/>
      <c r="F3485" s="1"/>
      <c r="G3485" s="1"/>
      <c r="H3485" s="1"/>
    </row>
    <row r="3486" spans="1:8" ht="13.2" x14ac:dyDescent="0.25">
      <c r="A3486" s="1"/>
      <c r="B3486" s="1"/>
      <c r="C3486" s="1"/>
      <c r="D3486" s="1"/>
      <c r="E3486" s="1"/>
      <c r="F3486" s="1"/>
      <c r="G3486" s="1"/>
      <c r="H3486" s="1"/>
    </row>
    <row r="3487" spans="1:8" ht="13.2" x14ac:dyDescent="0.25">
      <c r="A3487" s="1"/>
      <c r="B3487" s="1"/>
      <c r="C3487" s="1"/>
      <c r="D3487" s="1"/>
      <c r="E3487" s="1"/>
      <c r="F3487" s="1"/>
      <c r="G3487" s="1"/>
      <c r="H3487" s="1"/>
    </row>
    <row r="3488" spans="1:8" ht="13.2" x14ac:dyDescent="0.25">
      <c r="A3488" s="1"/>
      <c r="B3488" s="1"/>
      <c r="C3488" s="1"/>
      <c r="D3488" s="1"/>
      <c r="E3488" s="1"/>
      <c r="F3488" s="1"/>
      <c r="G3488" s="3"/>
      <c r="H3488" s="1"/>
    </row>
    <row r="3489" spans="1:8" ht="13.2" x14ac:dyDescent="0.25">
      <c r="A3489" s="1"/>
      <c r="B3489" s="1"/>
      <c r="C3489" s="1"/>
      <c r="D3489" s="1"/>
      <c r="E3489" s="1"/>
      <c r="F3489" s="1"/>
      <c r="G3489" s="1"/>
      <c r="H3489" s="1"/>
    </row>
    <row r="3490" spans="1:8" ht="13.2" x14ac:dyDescent="0.25">
      <c r="A3490" s="2"/>
      <c r="B3490" s="1"/>
      <c r="C3490" s="1"/>
      <c r="D3490" s="1"/>
      <c r="E3490" s="1"/>
      <c r="F3490" s="1"/>
      <c r="G3490" s="3"/>
      <c r="H3490" s="1"/>
    </row>
    <row r="3491" spans="1:8" ht="13.2" x14ac:dyDescent="0.25">
      <c r="A3491" s="1"/>
      <c r="B3491" s="1"/>
      <c r="C3491" s="1"/>
      <c r="D3491" s="1"/>
      <c r="E3491" s="1"/>
      <c r="F3491" s="1"/>
      <c r="G3491" s="3"/>
      <c r="H3491" s="1"/>
    </row>
    <row r="3492" spans="1:8" ht="13.2" x14ac:dyDescent="0.25">
      <c r="A3492" s="1"/>
      <c r="B3492" s="1"/>
      <c r="C3492" s="1"/>
      <c r="D3492" s="1"/>
      <c r="E3492" s="1"/>
      <c r="F3492" s="1"/>
      <c r="G3492" s="1"/>
      <c r="H3492" s="1"/>
    </row>
    <row r="3493" spans="1:8" ht="13.2" x14ac:dyDescent="0.25">
      <c r="A3493" s="1"/>
      <c r="B3493" s="1"/>
      <c r="C3493" s="1"/>
      <c r="D3493" s="1"/>
      <c r="E3493" s="1"/>
      <c r="F3493" s="1"/>
      <c r="G3493" s="1"/>
      <c r="H3493" s="1"/>
    </row>
    <row r="3494" spans="1:8" ht="13.2" x14ac:dyDescent="0.25">
      <c r="A3494" s="2"/>
      <c r="B3494" s="1"/>
      <c r="C3494" s="1"/>
      <c r="D3494" s="1"/>
      <c r="E3494" s="1"/>
      <c r="F3494" s="1"/>
      <c r="G3494" s="1"/>
      <c r="H3494" s="1"/>
    </row>
    <row r="3495" spans="1:8" ht="13.2" x14ac:dyDescent="0.25">
      <c r="A3495" s="1"/>
      <c r="B3495" s="1"/>
      <c r="C3495" s="1"/>
      <c r="D3495" s="1"/>
      <c r="E3495" s="1"/>
      <c r="F3495" s="1"/>
      <c r="G3495" s="1"/>
      <c r="H3495" s="1"/>
    </row>
    <row r="3496" spans="1:8" ht="13.2" x14ac:dyDescent="0.25">
      <c r="A3496" s="1"/>
      <c r="B3496" s="1"/>
      <c r="C3496" s="1"/>
      <c r="D3496" s="1"/>
      <c r="E3496" s="1"/>
      <c r="F3496" s="1"/>
      <c r="G3496" s="1"/>
      <c r="H3496" s="1"/>
    </row>
    <row r="3497" spans="1:8" ht="13.2" x14ac:dyDescent="0.25">
      <c r="A3497" s="1"/>
      <c r="B3497" s="1"/>
      <c r="C3497" s="1"/>
      <c r="D3497" s="1"/>
      <c r="E3497" s="1"/>
      <c r="F3497" s="1"/>
      <c r="G3497" s="3"/>
      <c r="H3497" s="1"/>
    </row>
    <row r="3498" spans="1:8" ht="13.2" x14ac:dyDescent="0.25">
      <c r="A3498" s="2"/>
      <c r="B3498" s="1"/>
      <c r="C3498" s="1"/>
      <c r="D3498" s="1"/>
      <c r="E3498" s="1"/>
      <c r="F3498" s="1"/>
      <c r="G3498" s="3"/>
      <c r="H3498" s="1"/>
    </row>
    <row r="3499" spans="1:8" ht="13.2" x14ac:dyDescent="0.25">
      <c r="A3499" s="1"/>
      <c r="B3499" s="1"/>
      <c r="C3499" s="1"/>
      <c r="D3499" s="1"/>
      <c r="E3499" s="1"/>
      <c r="F3499" s="1"/>
      <c r="G3499" s="3"/>
      <c r="H3499" s="1"/>
    </row>
    <row r="3500" spans="1:8" ht="13.2" x14ac:dyDescent="0.25">
      <c r="A3500" s="2"/>
      <c r="B3500" s="1"/>
      <c r="C3500" s="1"/>
      <c r="D3500" s="1"/>
      <c r="E3500" s="1"/>
      <c r="F3500" s="1"/>
      <c r="G3500" s="1"/>
      <c r="H3500" s="1"/>
    </row>
    <row r="3501" spans="1:8" ht="13.2" x14ac:dyDescent="0.25">
      <c r="A3501" s="1"/>
      <c r="B3501" s="1"/>
      <c r="C3501" s="1"/>
      <c r="D3501" s="1"/>
      <c r="E3501" s="1"/>
      <c r="F3501" s="1"/>
      <c r="G3501" s="3"/>
      <c r="H3501" s="1"/>
    </row>
    <row r="3502" spans="1:8" ht="13.2" x14ac:dyDescent="0.25">
      <c r="A3502" s="1"/>
      <c r="B3502" s="1"/>
      <c r="C3502" s="1"/>
      <c r="D3502" s="1"/>
      <c r="E3502" s="1"/>
      <c r="F3502" s="1"/>
      <c r="G3502" s="3"/>
      <c r="H3502" s="1"/>
    </row>
    <row r="3503" spans="1:8" ht="13.2" x14ac:dyDescent="0.25">
      <c r="A3503" s="2"/>
      <c r="B3503" s="1"/>
      <c r="C3503" s="1"/>
      <c r="D3503" s="1"/>
      <c r="E3503" s="1"/>
      <c r="F3503" s="1"/>
      <c r="G3503" s="3"/>
      <c r="H3503" s="1"/>
    </row>
    <row r="3504" spans="1:8" ht="13.2" x14ac:dyDescent="0.25">
      <c r="A3504" s="1"/>
      <c r="B3504" s="1"/>
      <c r="C3504" s="1"/>
      <c r="D3504" s="1"/>
      <c r="E3504" s="1"/>
      <c r="F3504" s="1"/>
      <c r="G3504" s="3"/>
      <c r="H3504" s="1"/>
    </row>
    <row r="3505" spans="1:8" ht="13.2" x14ac:dyDescent="0.25">
      <c r="A3505" s="1"/>
      <c r="B3505" s="1"/>
      <c r="C3505" s="1"/>
      <c r="D3505" s="1"/>
      <c r="E3505" s="1"/>
      <c r="F3505" s="1"/>
      <c r="G3505" s="3"/>
      <c r="H3505" s="1"/>
    </row>
    <row r="3506" spans="1:8" ht="13.2" x14ac:dyDescent="0.25">
      <c r="A3506" s="1"/>
      <c r="B3506" s="1"/>
      <c r="C3506" s="1"/>
      <c r="D3506" s="1"/>
      <c r="E3506" s="1"/>
      <c r="F3506" s="1"/>
      <c r="G3506" s="3"/>
      <c r="H3506" s="1"/>
    </row>
    <row r="3507" spans="1:8" ht="13.2" x14ac:dyDescent="0.25">
      <c r="A3507" s="2"/>
      <c r="B3507" s="1"/>
      <c r="C3507" s="1"/>
      <c r="D3507" s="1"/>
      <c r="E3507" s="1"/>
      <c r="F3507" s="1"/>
      <c r="G3507" s="3"/>
      <c r="H3507" s="1"/>
    </row>
    <row r="3508" spans="1:8" ht="13.2" x14ac:dyDescent="0.25">
      <c r="A3508" s="2"/>
      <c r="B3508" s="1"/>
      <c r="C3508" s="1"/>
      <c r="D3508" s="1"/>
      <c r="E3508" s="1"/>
      <c r="F3508" s="1"/>
      <c r="G3508" s="3"/>
      <c r="H3508" s="1"/>
    </row>
    <row r="3509" spans="1:8" ht="13.2" x14ac:dyDescent="0.25">
      <c r="A3509" s="2"/>
      <c r="B3509" s="1"/>
      <c r="C3509" s="1"/>
      <c r="D3509" s="1"/>
      <c r="E3509" s="1"/>
      <c r="F3509" s="1"/>
      <c r="G3509" s="3"/>
      <c r="H3509" s="1"/>
    </row>
    <row r="3510" spans="1:8" ht="13.2" x14ac:dyDescent="0.25">
      <c r="A3510" s="1"/>
      <c r="B3510" s="1"/>
      <c r="C3510" s="1"/>
      <c r="D3510" s="1"/>
      <c r="E3510" s="1"/>
      <c r="F3510" s="1"/>
      <c r="G3510" s="3"/>
      <c r="H3510" s="1"/>
    </row>
    <row r="3511" spans="1:8" ht="13.2" x14ac:dyDescent="0.25">
      <c r="A3511" s="1"/>
      <c r="B3511" s="1"/>
      <c r="C3511" s="1"/>
      <c r="D3511" s="1"/>
      <c r="E3511" s="1"/>
      <c r="F3511" s="1"/>
      <c r="G3511" s="3"/>
      <c r="H3511" s="1"/>
    </row>
    <row r="3512" spans="1:8" ht="13.2" x14ac:dyDescent="0.25">
      <c r="A3512" s="1"/>
      <c r="B3512" s="1"/>
      <c r="C3512" s="1"/>
      <c r="D3512" s="1"/>
      <c r="E3512" s="1"/>
      <c r="F3512" s="1"/>
      <c r="G3512" s="3"/>
      <c r="H3512" s="1"/>
    </row>
    <row r="3513" spans="1:8" ht="13.2" x14ac:dyDescent="0.25">
      <c r="A3513" s="1"/>
      <c r="B3513" s="1"/>
      <c r="C3513" s="1"/>
      <c r="D3513" s="1"/>
      <c r="E3513" s="1"/>
      <c r="F3513" s="1"/>
      <c r="G3513" s="3"/>
      <c r="H3513" s="1"/>
    </row>
    <row r="3514" spans="1:8" ht="13.2" x14ac:dyDescent="0.25">
      <c r="A3514" s="2"/>
      <c r="B3514" s="1"/>
      <c r="C3514" s="1"/>
      <c r="D3514" s="1"/>
      <c r="E3514" s="1"/>
      <c r="F3514" s="1"/>
      <c r="G3514" s="3"/>
      <c r="H3514" s="1"/>
    </row>
    <row r="3515" spans="1:8" ht="13.2" x14ac:dyDescent="0.25">
      <c r="A3515" s="1"/>
      <c r="B3515" s="1"/>
      <c r="C3515" s="1"/>
      <c r="D3515" s="1"/>
      <c r="E3515" s="1"/>
      <c r="F3515" s="1"/>
      <c r="G3515" s="1"/>
      <c r="H3515" s="1"/>
    </row>
    <row r="3516" spans="1:8" ht="13.2" x14ac:dyDescent="0.25">
      <c r="A3516" s="2"/>
      <c r="B3516" s="1"/>
      <c r="C3516" s="1"/>
      <c r="D3516" s="1"/>
      <c r="E3516" s="1"/>
      <c r="F3516" s="1"/>
      <c r="G3516" s="3"/>
      <c r="H3516" s="1"/>
    </row>
    <row r="3517" spans="1:8" ht="13.2" x14ac:dyDescent="0.25">
      <c r="A3517" s="1"/>
      <c r="B3517" s="1"/>
      <c r="C3517" s="1"/>
      <c r="D3517" s="1"/>
      <c r="E3517" s="1"/>
      <c r="F3517" s="1"/>
      <c r="G3517" s="3"/>
      <c r="H3517" s="1"/>
    </row>
    <row r="3518" spans="1:8" ht="13.2" x14ac:dyDescent="0.25">
      <c r="A3518" s="2"/>
      <c r="B3518" s="1"/>
      <c r="C3518" s="1"/>
      <c r="D3518" s="1"/>
      <c r="E3518" s="1"/>
      <c r="F3518" s="1"/>
      <c r="G3518" s="3"/>
      <c r="H3518" s="1"/>
    </row>
    <row r="3519" spans="1:8" ht="13.2" x14ac:dyDescent="0.25">
      <c r="A3519" s="2"/>
      <c r="B3519" s="1"/>
      <c r="C3519" s="1"/>
      <c r="D3519" s="1"/>
      <c r="E3519" s="1"/>
      <c r="F3519" s="1"/>
      <c r="G3519" s="3"/>
      <c r="H3519" s="1"/>
    </row>
    <row r="3520" spans="1:8" ht="13.2" x14ac:dyDescent="0.25">
      <c r="A3520" s="1"/>
      <c r="B3520" s="1"/>
      <c r="C3520" s="1"/>
      <c r="D3520" s="1"/>
      <c r="E3520" s="1"/>
      <c r="F3520" s="1"/>
      <c r="G3520" s="1"/>
      <c r="H3520" s="1"/>
    </row>
    <row r="3521" spans="1:8" ht="13.2" x14ac:dyDescent="0.25">
      <c r="A3521" s="1"/>
      <c r="B3521" s="1"/>
      <c r="C3521" s="1"/>
      <c r="D3521" s="1"/>
      <c r="E3521" s="1"/>
      <c r="F3521" s="1"/>
      <c r="G3521" s="1"/>
      <c r="H3521" s="1"/>
    </row>
    <row r="3522" spans="1:8" ht="13.2" x14ac:dyDescent="0.25">
      <c r="A3522" s="1"/>
      <c r="B3522" s="1"/>
      <c r="C3522" s="1"/>
      <c r="D3522" s="1"/>
      <c r="E3522" s="1"/>
      <c r="F3522" s="1"/>
      <c r="G3522" s="3"/>
      <c r="H3522" s="1"/>
    </row>
    <row r="3523" spans="1:8" ht="13.2" x14ac:dyDescent="0.25">
      <c r="A3523" s="1"/>
      <c r="B3523" s="1"/>
      <c r="C3523" s="1"/>
      <c r="D3523" s="1"/>
      <c r="E3523" s="1"/>
      <c r="F3523" s="1"/>
      <c r="G3523" s="3"/>
      <c r="H3523" s="1"/>
    </row>
    <row r="3524" spans="1:8" ht="13.2" x14ac:dyDescent="0.25">
      <c r="A3524" s="1"/>
      <c r="B3524" s="1"/>
      <c r="C3524" s="1"/>
      <c r="D3524" s="1"/>
      <c r="E3524" s="1"/>
      <c r="F3524" s="1"/>
      <c r="G3524" s="3"/>
      <c r="H3524" s="1"/>
    </row>
    <row r="3525" spans="1:8" ht="13.2" x14ac:dyDescent="0.25">
      <c r="A3525" s="1"/>
      <c r="B3525" s="1"/>
      <c r="C3525" s="1"/>
      <c r="D3525" s="1"/>
      <c r="E3525" s="1"/>
      <c r="F3525" s="1"/>
      <c r="G3525" s="1"/>
      <c r="H3525" s="1"/>
    </row>
    <row r="3526" spans="1:8" ht="13.2" x14ac:dyDescent="0.25">
      <c r="A3526" s="1"/>
      <c r="B3526" s="1"/>
      <c r="C3526" s="1"/>
      <c r="D3526" s="1"/>
      <c r="E3526" s="1"/>
      <c r="F3526" s="1"/>
      <c r="G3526" s="3"/>
      <c r="H3526" s="1"/>
    </row>
    <row r="3527" spans="1:8" ht="13.2" x14ac:dyDescent="0.25">
      <c r="A3527" s="1"/>
      <c r="B3527" s="1"/>
      <c r="C3527" s="1"/>
      <c r="D3527" s="1"/>
      <c r="E3527" s="1"/>
      <c r="F3527" s="1"/>
      <c r="G3527" s="3"/>
      <c r="H3527" s="1"/>
    </row>
    <row r="3528" spans="1:8" ht="13.2" x14ac:dyDescent="0.25">
      <c r="A3528" s="1"/>
      <c r="B3528" s="1"/>
      <c r="C3528" s="1"/>
      <c r="D3528" s="1"/>
      <c r="E3528" s="1"/>
      <c r="F3528" s="1"/>
      <c r="G3528" s="1"/>
      <c r="H3528" s="1"/>
    </row>
    <row r="3529" spans="1:8" ht="13.2" x14ac:dyDescent="0.25">
      <c r="A3529" s="1"/>
      <c r="B3529" s="1"/>
      <c r="C3529" s="1"/>
      <c r="D3529" s="1"/>
      <c r="E3529" s="1"/>
      <c r="F3529" s="1"/>
      <c r="G3529" s="1"/>
      <c r="H3529" s="1"/>
    </row>
    <row r="3530" spans="1:8" ht="13.2" x14ac:dyDescent="0.25">
      <c r="A3530" s="1"/>
      <c r="B3530" s="1"/>
      <c r="C3530" s="1"/>
      <c r="D3530" s="1"/>
      <c r="E3530" s="1"/>
      <c r="F3530" s="1"/>
      <c r="G3530" s="3"/>
      <c r="H3530" s="1"/>
    </row>
    <row r="3531" spans="1:8" ht="13.2" x14ac:dyDescent="0.25">
      <c r="A3531" s="2"/>
      <c r="B3531" s="1"/>
      <c r="C3531" s="1"/>
      <c r="D3531" s="1"/>
      <c r="E3531" s="1"/>
      <c r="F3531" s="1"/>
      <c r="G3531" s="3"/>
      <c r="H3531" s="1"/>
    </row>
    <row r="3532" spans="1:8" ht="13.2" x14ac:dyDescent="0.25">
      <c r="A3532" s="2"/>
      <c r="B3532" s="1"/>
      <c r="C3532" s="1"/>
      <c r="D3532" s="1"/>
      <c r="E3532" s="1"/>
      <c r="F3532" s="1"/>
      <c r="G3532" s="3"/>
      <c r="H3532" s="1"/>
    </row>
    <row r="3533" spans="1:8" ht="13.2" x14ac:dyDescent="0.25">
      <c r="A3533" s="1"/>
      <c r="B3533" s="1"/>
      <c r="C3533" s="1"/>
      <c r="D3533" s="1"/>
      <c r="E3533" s="1"/>
      <c r="F3533" s="1"/>
      <c r="G3533" s="1"/>
      <c r="H3533" s="1"/>
    </row>
    <row r="3534" spans="1:8" ht="13.2" x14ac:dyDescent="0.25">
      <c r="A3534" s="1"/>
      <c r="B3534" s="1"/>
      <c r="C3534" s="1"/>
      <c r="D3534" s="1"/>
      <c r="E3534" s="1"/>
      <c r="F3534" s="1"/>
      <c r="G3534" s="3"/>
      <c r="H3534" s="1"/>
    </row>
    <row r="3535" spans="1:8" ht="13.2" x14ac:dyDescent="0.25">
      <c r="A3535" s="1"/>
      <c r="B3535" s="1"/>
      <c r="C3535" s="1"/>
      <c r="D3535" s="1"/>
      <c r="E3535" s="1"/>
      <c r="F3535" s="1"/>
      <c r="G3535" s="1"/>
      <c r="H3535" s="1"/>
    </row>
    <row r="3536" spans="1:8" ht="13.2" x14ac:dyDescent="0.25">
      <c r="A3536" s="1"/>
      <c r="B3536" s="1"/>
      <c r="C3536" s="1"/>
      <c r="D3536" s="1"/>
      <c r="E3536" s="1"/>
      <c r="F3536" s="1"/>
      <c r="G3536" s="1"/>
      <c r="H3536" s="1"/>
    </row>
    <row r="3537" spans="1:8" ht="13.2" x14ac:dyDescent="0.25">
      <c r="A3537" s="1"/>
      <c r="B3537" s="1"/>
      <c r="C3537" s="1"/>
      <c r="D3537" s="1"/>
      <c r="E3537" s="1"/>
      <c r="F3537" s="1"/>
      <c r="G3537" s="1"/>
      <c r="H3537" s="1"/>
    </row>
    <row r="3538" spans="1:8" ht="13.2" x14ac:dyDescent="0.25">
      <c r="A3538" s="1"/>
      <c r="B3538" s="1"/>
      <c r="C3538" s="1"/>
      <c r="D3538" s="1"/>
      <c r="E3538" s="1"/>
      <c r="F3538" s="1"/>
      <c r="G3538" s="1"/>
      <c r="H3538" s="1"/>
    </row>
    <row r="3539" spans="1:8" ht="13.2" x14ac:dyDescent="0.25">
      <c r="A3539" s="1"/>
      <c r="B3539" s="1"/>
      <c r="C3539" s="1"/>
      <c r="D3539" s="1"/>
      <c r="E3539" s="1"/>
      <c r="F3539" s="1"/>
      <c r="G3539" s="1"/>
      <c r="H3539" s="1"/>
    </row>
    <row r="3540" spans="1:8" ht="13.2" x14ac:dyDescent="0.25">
      <c r="A3540" s="1"/>
      <c r="B3540" s="1"/>
      <c r="C3540" s="1"/>
      <c r="D3540" s="1"/>
      <c r="E3540" s="1"/>
      <c r="F3540" s="1"/>
      <c r="G3540" s="1"/>
      <c r="H3540" s="1"/>
    </row>
    <row r="3541" spans="1:8" ht="13.2" x14ac:dyDescent="0.25">
      <c r="A3541" s="1"/>
      <c r="B3541" s="1"/>
      <c r="C3541" s="1"/>
      <c r="D3541" s="1"/>
      <c r="E3541" s="1"/>
      <c r="F3541" s="1"/>
      <c r="G3541" s="1"/>
      <c r="H3541" s="1"/>
    </row>
    <row r="3542" spans="1:8" ht="13.2" x14ac:dyDescent="0.25">
      <c r="A3542" s="1"/>
      <c r="B3542" s="1"/>
      <c r="C3542" s="1"/>
      <c r="D3542" s="1"/>
      <c r="E3542" s="1"/>
      <c r="F3542" s="1"/>
      <c r="G3542" s="1"/>
      <c r="H3542" s="1"/>
    </row>
    <row r="3543" spans="1:8" ht="13.2" x14ac:dyDescent="0.25">
      <c r="A3543" s="1"/>
      <c r="B3543" s="1"/>
      <c r="C3543" s="1"/>
      <c r="D3543" s="1"/>
      <c r="E3543" s="1"/>
      <c r="F3543" s="1"/>
      <c r="G3543" s="1"/>
      <c r="H3543" s="1"/>
    </row>
    <row r="3544" spans="1:8" ht="13.2" x14ac:dyDescent="0.25">
      <c r="A3544" s="1"/>
      <c r="B3544" s="1"/>
      <c r="C3544" s="1"/>
      <c r="D3544" s="1"/>
      <c r="E3544" s="1"/>
      <c r="F3544" s="1"/>
      <c r="G3544" s="1"/>
      <c r="H3544" s="1"/>
    </row>
    <row r="3545" spans="1:8" ht="13.2" x14ac:dyDescent="0.25">
      <c r="A3545" s="1"/>
      <c r="B3545" s="1"/>
      <c r="C3545" s="1"/>
      <c r="D3545" s="1"/>
      <c r="E3545" s="1"/>
      <c r="F3545" s="1"/>
      <c r="G3545" s="1"/>
      <c r="H3545" s="1"/>
    </row>
    <row r="3546" spans="1:8" ht="13.2" x14ac:dyDescent="0.25">
      <c r="A3546" s="1"/>
      <c r="B3546" s="1"/>
      <c r="C3546" s="1"/>
      <c r="D3546" s="1"/>
      <c r="E3546" s="1"/>
      <c r="F3546" s="1"/>
      <c r="G3546" s="1"/>
      <c r="H3546" s="1"/>
    </row>
    <row r="3547" spans="1:8" ht="13.2" x14ac:dyDescent="0.25">
      <c r="A3547" s="1"/>
      <c r="B3547" s="1"/>
      <c r="C3547" s="1"/>
      <c r="D3547" s="1"/>
      <c r="E3547" s="1"/>
      <c r="F3547" s="1"/>
      <c r="G3547" s="1"/>
      <c r="H3547" s="1"/>
    </row>
    <row r="3548" spans="1:8" ht="13.2" x14ac:dyDescent="0.25">
      <c r="A3548" s="1"/>
      <c r="B3548" s="1"/>
      <c r="C3548" s="1"/>
      <c r="D3548" s="1"/>
      <c r="E3548" s="1"/>
      <c r="F3548" s="1"/>
      <c r="G3548" s="3"/>
      <c r="H3548" s="1"/>
    </row>
    <row r="3549" spans="1:8" ht="13.2" x14ac:dyDescent="0.25">
      <c r="A3549" s="1"/>
      <c r="B3549" s="1"/>
      <c r="C3549" s="1"/>
      <c r="D3549" s="1"/>
      <c r="E3549" s="1"/>
      <c r="F3549" s="1"/>
      <c r="G3549" s="3"/>
      <c r="H3549" s="1"/>
    </row>
    <row r="3550" spans="1:8" ht="13.2" x14ac:dyDescent="0.25">
      <c r="A3550" s="1"/>
      <c r="B3550" s="1"/>
      <c r="C3550" s="1"/>
      <c r="D3550" s="1"/>
      <c r="E3550" s="1"/>
      <c r="F3550" s="1"/>
      <c r="G3550" s="1"/>
      <c r="H3550" s="1"/>
    </row>
    <row r="3551" spans="1:8" ht="13.2" x14ac:dyDescent="0.25">
      <c r="A3551" s="1"/>
      <c r="B3551" s="1"/>
      <c r="C3551" s="1"/>
      <c r="D3551" s="1"/>
      <c r="E3551" s="1"/>
      <c r="F3551" s="1"/>
      <c r="G3551" s="1"/>
      <c r="H3551" s="1"/>
    </row>
    <row r="3552" spans="1:8" ht="13.2" x14ac:dyDescent="0.25">
      <c r="A3552" s="1"/>
      <c r="B3552" s="1"/>
      <c r="C3552" s="1"/>
      <c r="D3552" s="1"/>
      <c r="E3552" s="1"/>
      <c r="F3552" s="1"/>
      <c r="G3552" s="1"/>
      <c r="H3552" s="1"/>
    </row>
    <row r="3553" spans="1:8" ht="13.2" x14ac:dyDescent="0.25">
      <c r="A3553" s="1"/>
      <c r="B3553" s="1"/>
      <c r="C3553" s="1"/>
      <c r="D3553" s="1"/>
      <c r="E3553" s="1"/>
      <c r="F3553" s="1"/>
      <c r="G3553" s="1"/>
      <c r="H3553" s="1"/>
    </row>
    <row r="3554" spans="1:8" ht="13.2" x14ac:dyDescent="0.25">
      <c r="A3554" s="1"/>
      <c r="B3554" s="1"/>
      <c r="C3554" s="1"/>
      <c r="D3554" s="1"/>
      <c r="E3554" s="1"/>
      <c r="F3554" s="1"/>
      <c r="G3554" s="1"/>
      <c r="H3554" s="1"/>
    </row>
    <row r="3555" spans="1:8" ht="13.2" x14ac:dyDescent="0.25">
      <c r="A3555" s="1"/>
      <c r="B3555" s="1"/>
      <c r="C3555" s="1"/>
      <c r="D3555" s="1"/>
      <c r="E3555" s="1"/>
      <c r="F3555" s="1"/>
      <c r="G3555" s="1"/>
      <c r="H3555" s="1"/>
    </row>
    <row r="3556" spans="1:8" ht="13.2" x14ac:dyDescent="0.25">
      <c r="A3556" s="1"/>
      <c r="B3556" s="1"/>
      <c r="C3556" s="1"/>
      <c r="D3556" s="1"/>
      <c r="E3556" s="1"/>
      <c r="F3556" s="1"/>
      <c r="G3556" s="1"/>
      <c r="H3556" s="1"/>
    </row>
    <row r="3557" spans="1:8" ht="13.2" x14ac:dyDescent="0.25">
      <c r="A3557" s="1"/>
      <c r="B3557" s="1"/>
      <c r="C3557" s="1"/>
      <c r="D3557" s="1"/>
      <c r="E3557" s="1"/>
      <c r="F3557" s="1"/>
      <c r="G3557" s="3"/>
      <c r="H3557" s="1"/>
    </row>
    <row r="3558" spans="1:8" ht="13.2" x14ac:dyDescent="0.25">
      <c r="A3558" s="1"/>
      <c r="B3558" s="1"/>
      <c r="C3558" s="1"/>
      <c r="D3558" s="1"/>
      <c r="E3558" s="1"/>
      <c r="F3558" s="1"/>
      <c r="G3558" s="1"/>
      <c r="H3558" s="1"/>
    </row>
    <row r="3559" spans="1:8" ht="13.2" x14ac:dyDescent="0.25">
      <c r="A3559" s="1"/>
      <c r="B3559" s="1"/>
      <c r="C3559" s="1"/>
      <c r="D3559" s="1"/>
      <c r="E3559" s="1"/>
      <c r="F3559" s="1"/>
      <c r="G3559" s="1"/>
      <c r="H3559" s="1"/>
    </row>
    <row r="3560" spans="1:8" ht="13.2" x14ac:dyDescent="0.25">
      <c r="A3560" s="1"/>
      <c r="B3560" s="1"/>
      <c r="C3560" s="1"/>
      <c r="D3560" s="1"/>
      <c r="E3560" s="1"/>
      <c r="F3560" s="1"/>
      <c r="G3560" s="1"/>
      <c r="H3560" s="1"/>
    </row>
    <row r="3561" spans="1:8" ht="13.2" x14ac:dyDescent="0.25">
      <c r="A3561" s="1"/>
      <c r="B3561" s="1"/>
      <c r="C3561" s="1"/>
      <c r="D3561" s="1"/>
      <c r="E3561" s="1"/>
      <c r="F3561" s="1"/>
      <c r="G3561" s="1"/>
      <c r="H3561" s="1"/>
    </row>
    <row r="3562" spans="1:8" ht="13.2" x14ac:dyDescent="0.25">
      <c r="A3562" s="1"/>
      <c r="B3562" s="1"/>
      <c r="C3562" s="1"/>
      <c r="D3562" s="1"/>
      <c r="E3562" s="1"/>
      <c r="F3562" s="1"/>
      <c r="G3562" s="1"/>
      <c r="H3562" s="1"/>
    </row>
    <row r="3563" spans="1:8" ht="13.2" x14ac:dyDescent="0.25">
      <c r="A3563" s="1"/>
      <c r="B3563" s="1"/>
      <c r="C3563" s="1"/>
      <c r="D3563" s="1"/>
      <c r="E3563" s="1"/>
      <c r="F3563" s="1"/>
      <c r="G3563" s="1"/>
      <c r="H3563" s="1"/>
    </row>
    <row r="3564" spans="1:8" ht="13.2" x14ac:dyDescent="0.25">
      <c r="A3564" s="1"/>
      <c r="B3564" s="1"/>
      <c r="C3564" s="1"/>
      <c r="D3564" s="1"/>
      <c r="E3564" s="1"/>
      <c r="F3564" s="1"/>
      <c r="G3564" s="1"/>
      <c r="H3564" s="1"/>
    </row>
    <row r="3565" spans="1:8" ht="13.2" x14ac:dyDescent="0.25">
      <c r="A3565" s="1"/>
      <c r="B3565" s="1"/>
      <c r="C3565" s="1"/>
      <c r="D3565" s="1"/>
      <c r="E3565" s="1"/>
      <c r="F3565" s="1"/>
      <c r="G3565" s="1"/>
      <c r="H3565" s="1"/>
    </row>
    <row r="3566" spans="1:8" ht="13.2" x14ac:dyDescent="0.25">
      <c r="A3566" s="1"/>
      <c r="B3566" s="1"/>
      <c r="C3566" s="1"/>
      <c r="D3566" s="1"/>
      <c r="E3566" s="1"/>
      <c r="F3566" s="1"/>
      <c r="G3566" s="1"/>
      <c r="H3566" s="1"/>
    </row>
    <row r="3567" spans="1:8" ht="13.2" x14ac:dyDescent="0.25">
      <c r="A3567" s="1"/>
      <c r="B3567" s="1"/>
      <c r="C3567" s="1"/>
      <c r="D3567" s="1"/>
      <c r="E3567" s="1"/>
      <c r="F3567" s="1"/>
      <c r="G3567" s="1"/>
      <c r="H3567" s="1"/>
    </row>
    <row r="3568" spans="1:8" ht="13.2" x14ac:dyDescent="0.25">
      <c r="A3568" s="1"/>
      <c r="B3568" s="1"/>
      <c r="C3568" s="1"/>
      <c r="D3568" s="1"/>
      <c r="E3568" s="1"/>
      <c r="F3568" s="1"/>
      <c r="G3568" s="1"/>
      <c r="H3568" s="1"/>
    </row>
    <row r="3569" spans="1:8" ht="13.2" x14ac:dyDescent="0.25">
      <c r="A3569" s="1"/>
      <c r="B3569" s="1"/>
      <c r="C3569" s="1"/>
      <c r="D3569" s="1"/>
      <c r="E3569" s="1"/>
      <c r="F3569" s="1"/>
      <c r="G3569" s="1"/>
      <c r="H3569" s="1"/>
    </row>
    <row r="3570" spans="1:8" ht="13.2" x14ac:dyDescent="0.25">
      <c r="A3570" s="1"/>
      <c r="B3570" s="1"/>
      <c r="C3570" s="1"/>
      <c r="D3570" s="1"/>
      <c r="E3570" s="1"/>
      <c r="F3570" s="1"/>
      <c r="G3570" s="1"/>
      <c r="H3570" s="1"/>
    </row>
    <row r="3571" spans="1:8" ht="13.2" x14ac:dyDescent="0.25">
      <c r="A3571" s="1"/>
      <c r="B3571" s="1"/>
      <c r="C3571" s="1"/>
      <c r="D3571" s="1"/>
      <c r="E3571" s="1"/>
      <c r="F3571" s="1"/>
      <c r="G3571" s="1"/>
      <c r="H3571" s="1"/>
    </row>
    <row r="3572" spans="1:8" ht="13.2" x14ac:dyDescent="0.25">
      <c r="A3572" s="1"/>
      <c r="B3572" s="1"/>
      <c r="C3572" s="1"/>
      <c r="D3572" s="1"/>
      <c r="E3572" s="1"/>
      <c r="F3572" s="1"/>
      <c r="G3572" s="1"/>
      <c r="H3572" s="1"/>
    </row>
    <row r="3573" spans="1:8" ht="13.2" x14ac:dyDescent="0.25">
      <c r="A3573" s="1"/>
      <c r="B3573" s="1"/>
      <c r="C3573" s="1"/>
      <c r="D3573" s="1"/>
      <c r="E3573" s="1"/>
      <c r="F3573" s="1"/>
      <c r="G3573" s="1"/>
      <c r="H3573" s="1"/>
    </row>
    <row r="3574" spans="1:8" ht="13.2" x14ac:dyDescent="0.25">
      <c r="A3574" s="1"/>
      <c r="B3574" s="1"/>
      <c r="C3574" s="1"/>
      <c r="D3574" s="1"/>
      <c r="E3574" s="1"/>
      <c r="F3574" s="1"/>
      <c r="G3574" s="1"/>
      <c r="H3574" s="1"/>
    </row>
    <row r="3575" spans="1:8" ht="13.2" x14ac:dyDescent="0.25">
      <c r="A3575" s="1"/>
      <c r="B3575" s="1"/>
      <c r="C3575" s="1"/>
      <c r="D3575" s="1"/>
      <c r="E3575" s="1"/>
      <c r="F3575" s="1"/>
      <c r="G3575" s="1"/>
      <c r="H3575" s="1"/>
    </row>
    <row r="3576" spans="1:8" ht="13.2" x14ac:dyDescent="0.25">
      <c r="A3576" s="1"/>
      <c r="B3576" s="1"/>
      <c r="C3576" s="1"/>
      <c r="D3576" s="1"/>
      <c r="E3576" s="1"/>
      <c r="F3576" s="1"/>
      <c r="G3576" s="3"/>
      <c r="H3576" s="1"/>
    </row>
    <row r="3577" spans="1:8" ht="13.2" x14ac:dyDescent="0.25">
      <c r="A3577" s="1"/>
      <c r="B3577" s="1"/>
      <c r="C3577" s="1"/>
      <c r="D3577" s="1"/>
      <c r="E3577" s="1"/>
      <c r="F3577" s="1"/>
      <c r="G3577" s="1"/>
      <c r="H3577" s="1"/>
    </row>
    <row r="3578" spans="1:8" ht="13.2" x14ac:dyDescent="0.25">
      <c r="A3578" s="1"/>
      <c r="B3578" s="1"/>
      <c r="C3578" s="1"/>
      <c r="D3578" s="1"/>
      <c r="E3578" s="1"/>
      <c r="F3578" s="1"/>
      <c r="G3578" s="3"/>
      <c r="H3578" s="1"/>
    </row>
    <row r="3579" spans="1:8" ht="13.2" x14ac:dyDescent="0.25">
      <c r="A3579" s="1"/>
      <c r="B3579" s="1"/>
      <c r="C3579" s="1"/>
      <c r="D3579" s="1"/>
      <c r="E3579" s="1"/>
      <c r="F3579" s="1"/>
      <c r="G3579" s="1"/>
      <c r="H3579" s="1"/>
    </row>
    <row r="3580" spans="1:8" ht="13.2" x14ac:dyDescent="0.25">
      <c r="A3580" s="1"/>
      <c r="B3580" s="1"/>
      <c r="C3580" s="1"/>
      <c r="D3580" s="1"/>
      <c r="E3580" s="1"/>
      <c r="F3580" s="1"/>
      <c r="G3580" s="1"/>
      <c r="H3580" s="1"/>
    </row>
    <row r="3581" spans="1:8" ht="13.2" x14ac:dyDescent="0.25">
      <c r="A3581" s="1"/>
      <c r="B3581" s="1"/>
      <c r="C3581" s="1"/>
      <c r="D3581" s="1"/>
      <c r="E3581" s="1"/>
      <c r="F3581" s="1"/>
      <c r="G3581" s="1"/>
      <c r="H3581" s="1"/>
    </row>
    <row r="3582" spans="1:8" ht="13.2" x14ac:dyDescent="0.25">
      <c r="A3582" s="1"/>
      <c r="B3582" s="1"/>
      <c r="C3582" s="1"/>
      <c r="D3582" s="1"/>
      <c r="E3582" s="1"/>
      <c r="F3582" s="1"/>
      <c r="G3582" s="1"/>
      <c r="H3582" s="1"/>
    </row>
    <row r="3583" spans="1:8" ht="13.2" x14ac:dyDescent="0.25">
      <c r="A3583" s="1"/>
      <c r="B3583" s="1"/>
      <c r="C3583" s="1"/>
      <c r="D3583" s="1"/>
      <c r="E3583" s="1"/>
      <c r="F3583" s="1"/>
      <c r="G3583" s="1"/>
      <c r="H3583" s="1"/>
    </row>
    <row r="3584" spans="1:8" ht="13.2" x14ac:dyDescent="0.25">
      <c r="A3584" s="1"/>
      <c r="B3584" s="1"/>
      <c r="C3584" s="1"/>
      <c r="D3584" s="1"/>
      <c r="E3584" s="1"/>
      <c r="F3584" s="1"/>
      <c r="G3584" s="1"/>
      <c r="H3584" s="1"/>
    </row>
    <row r="3585" spans="1:8" ht="13.2" x14ac:dyDescent="0.25">
      <c r="A3585" s="1"/>
      <c r="B3585" s="1"/>
      <c r="C3585" s="1"/>
      <c r="D3585" s="1"/>
      <c r="E3585" s="1"/>
      <c r="F3585" s="1"/>
      <c r="G3585" s="1"/>
      <c r="H3585" s="1"/>
    </row>
    <row r="3586" spans="1:8" ht="13.2" x14ac:dyDescent="0.25">
      <c r="A3586" s="1"/>
      <c r="B3586" s="1"/>
      <c r="C3586" s="1"/>
      <c r="D3586" s="1"/>
      <c r="E3586" s="1"/>
      <c r="F3586" s="1"/>
      <c r="G3586" s="1"/>
      <c r="H3586" s="1"/>
    </row>
    <row r="3587" spans="1:8" ht="13.2" x14ac:dyDescent="0.25">
      <c r="A3587" s="1"/>
      <c r="B3587" s="1"/>
      <c r="C3587" s="1"/>
      <c r="D3587" s="1"/>
      <c r="E3587" s="1"/>
      <c r="F3587" s="1"/>
      <c r="G3587" s="1"/>
      <c r="H3587" s="1"/>
    </row>
    <row r="3588" spans="1:8" ht="13.2" x14ac:dyDescent="0.25">
      <c r="A3588" s="1"/>
      <c r="B3588" s="1"/>
      <c r="C3588" s="1"/>
      <c r="D3588" s="1"/>
      <c r="E3588" s="1"/>
      <c r="F3588" s="1"/>
      <c r="G3588" s="3"/>
      <c r="H3588" s="1"/>
    </row>
    <row r="3589" spans="1:8" ht="13.2" x14ac:dyDescent="0.25">
      <c r="A3589" s="1"/>
      <c r="B3589" s="1"/>
      <c r="C3589" s="1"/>
      <c r="D3589" s="1"/>
      <c r="E3589" s="1"/>
      <c r="F3589" s="1"/>
      <c r="G3589" s="1"/>
      <c r="H3589" s="1"/>
    </row>
    <row r="3590" spans="1:8" ht="13.2" x14ac:dyDescent="0.25">
      <c r="A3590" s="1"/>
      <c r="B3590" s="1"/>
      <c r="C3590" s="1"/>
      <c r="D3590" s="1"/>
      <c r="E3590" s="1"/>
      <c r="F3590" s="1"/>
      <c r="G3590" s="1"/>
      <c r="H3590" s="1"/>
    </row>
    <row r="3591" spans="1:8" ht="13.2" x14ac:dyDescent="0.25">
      <c r="A3591" s="1"/>
      <c r="B3591" s="1"/>
      <c r="C3591" s="1"/>
      <c r="D3591" s="1"/>
      <c r="E3591" s="1"/>
      <c r="F3591" s="1"/>
      <c r="G3591" s="1"/>
      <c r="H3591" s="1"/>
    </row>
    <row r="3592" spans="1:8" ht="13.2" x14ac:dyDescent="0.25">
      <c r="A3592" s="1"/>
      <c r="B3592" s="1"/>
      <c r="C3592" s="1"/>
      <c r="D3592" s="1"/>
      <c r="E3592" s="1"/>
      <c r="F3592" s="1"/>
      <c r="G3592" s="1"/>
      <c r="H3592" s="1"/>
    </row>
    <row r="3593" spans="1:8" ht="13.2" x14ac:dyDescent="0.25">
      <c r="A3593" s="1"/>
      <c r="B3593" s="1"/>
      <c r="C3593" s="1"/>
      <c r="D3593" s="1"/>
      <c r="E3593" s="1"/>
      <c r="F3593" s="1"/>
      <c r="G3593" s="1"/>
      <c r="H3593" s="1"/>
    </row>
    <row r="3594" spans="1:8" ht="13.2" x14ac:dyDescent="0.25">
      <c r="A3594" s="1"/>
      <c r="B3594" s="1"/>
      <c r="C3594" s="1"/>
      <c r="D3594" s="1"/>
      <c r="E3594" s="1"/>
      <c r="F3594" s="1"/>
      <c r="G3594" s="1"/>
      <c r="H3594" s="1"/>
    </row>
    <row r="3595" spans="1:8" ht="13.2" x14ac:dyDescent="0.25">
      <c r="A3595" s="1"/>
      <c r="B3595" s="1"/>
      <c r="C3595" s="1"/>
      <c r="D3595" s="1"/>
      <c r="E3595" s="1"/>
      <c r="F3595" s="1"/>
      <c r="G3595" s="1"/>
      <c r="H3595" s="1"/>
    </row>
    <row r="3596" spans="1:8" ht="13.2" x14ac:dyDescent="0.25">
      <c r="A3596" s="1"/>
      <c r="B3596" s="1"/>
      <c r="C3596" s="1"/>
      <c r="D3596" s="1"/>
      <c r="E3596" s="1"/>
      <c r="F3596" s="1"/>
      <c r="G3596" s="1"/>
      <c r="H3596" s="1"/>
    </row>
    <row r="3597" spans="1:8" ht="13.2" x14ac:dyDescent="0.25">
      <c r="A3597" s="1"/>
      <c r="B3597" s="1"/>
      <c r="C3597" s="1"/>
      <c r="D3597" s="1"/>
      <c r="E3597" s="1"/>
      <c r="F3597" s="1"/>
      <c r="G3597" s="1"/>
      <c r="H3597" s="1"/>
    </row>
    <row r="3598" spans="1:8" ht="13.2" x14ac:dyDescent="0.25">
      <c r="A3598" s="1"/>
      <c r="B3598" s="1"/>
      <c r="C3598" s="1"/>
      <c r="D3598" s="1"/>
      <c r="E3598" s="1"/>
      <c r="F3598" s="1"/>
      <c r="G3598" s="1"/>
      <c r="H3598" s="1"/>
    </row>
    <row r="3599" spans="1:8" ht="13.2" x14ac:dyDescent="0.25">
      <c r="A3599" s="1"/>
      <c r="B3599" s="1"/>
      <c r="C3599" s="1"/>
      <c r="D3599" s="1"/>
      <c r="E3599" s="1"/>
      <c r="F3599" s="1"/>
      <c r="G3599" s="1"/>
      <c r="H3599" s="1"/>
    </row>
    <row r="3600" spans="1:8" ht="13.2" x14ac:dyDescent="0.25">
      <c r="A3600" s="1"/>
      <c r="B3600" s="1"/>
      <c r="C3600" s="1"/>
      <c r="D3600" s="1"/>
      <c r="E3600" s="1"/>
      <c r="F3600" s="1"/>
      <c r="G3600" s="1"/>
      <c r="H3600" s="1"/>
    </row>
    <row r="3601" spans="1:8" ht="13.2" x14ac:dyDescent="0.25">
      <c r="A3601" s="1"/>
      <c r="B3601" s="1"/>
      <c r="C3601" s="1"/>
      <c r="D3601" s="1"/>
      <c r="E3601" s="1"/>
      <c r="F3601" s="1"/>
      <c r="G3601" s="1"/>
      <c r="H3601" s="1"/>
    </row>
    <row r="3602" spans="1:8" ht="13.2" x14ac:dyDescent="0.25">
      <c r="A3602" s="1"/>
      <c r="B3602" s="1"/>
      <c r="C3602" s="1"/>
      <c r="D3602" s="1"/>
      <c r="E3602" s="1"/>
      <c r="F3602" s="1"/>
      <c r="G3602" s="1"/>
      <c r="H3602" s="1"/>
    </row>
    <row r="3603" spans="1:8" ht="13.2" x14ac:dyDescent="0.25">
      <c r="A3603" s="1"/>
      <c r="B3603" s="1"/>
      <c r="C3603" s="1"/>
      <c r="D3603" s="1"/>
      <c r="E3603" s="1"/>
      <c r="F3603" s="1"/>
      <c r="G3603" s="1"/>
      <c r="H3603" s="1"/>
    </row>
    <row r="3604" spans="1:8" ht="13.2" x14ac:dyDescent="0.25">
      <c r="A3604" s="1"/>
      <c r="B3604" s="1"/>
      <c r="C3604" s="1"/>
      <c r="D3604" s="1"/>
      <c r="E3604" s="1"/>
      <c r="F3604" s="1"/>
      <c r="G3604" s="1"/>
      <c r="H3604" s="1"/>
    </row>
    <row r="3605" spans="1:8" ht="13.2" x14ac:dyDescent="0.25">
      <c r="A3605" s="1"/>
      <c r="B3605" s="1"/>
      <c r="C3605" s="1"/>
      <c r="D3605" s="1"/>
      <c r="E3605" s="1"/>
      <c r="F3605" s="1"/>
      <c r="G3605" s="1"/>
      <c r="H3605" s="1"/>
    </row>
    <row r="3606" spans="1:8" ht="13.2" x14ac:dyDescent="0.25">
      <c r="A3606" s="1"/>
      <c r="B3606" s="1"/>
      <c r="C3606" s="1"/>
      <c r="D3606" s="1"/>
      <c r="E3606" s="1"/>
      <c r="F3606" s="1"/>
      <c r="G3606" s="1"/>
      <c r="H3606" s="1"/>
    </row>
    <row r="3607" spans="1:8" ht="13.2" x14ac:dyDescent="0.25">
      <c r="A3607" s="1"/>
      <c r="B3607" s="1"/>
      <c r="C3607" s="1"/>
      <c r="D3607" s="1"/>
      <c r="E3607" s="1"/>
      <c r="F3607" s="1"/>
      <c r="G3607" s="1"/>
      <c r="H3607" s="1"/>
    </row>
    <row r="3608" spans="1:8" ht="13.2" x14ac:dyDescent="0.25">
      <c r="A3608" s="1"/>
      <c r="B3608" s="1"/>
      <c r="C3608" s="1"/>
      <c r="D3608" s="1"/>
      <c r="E3608" s="1"/>
      <c r="F3608" s="1"/>
      <c r="G3608" s="1"/>
      <c r="H3608" s="1"/>
    </row>
    <row r="3609" spans="1:8" ht="13.2" x14ac:dyDescent="0.25">
      <c r="A3609" s="1"/>
      <c r="B3609" s="1"/>
      <c r="C3609" s="1"/>
      <c r="D3609" s="1"/>
      <c r="E3609" s="1"/>
      <c r="F3609" s="1"/>
      <c r="G3609" s="1"/>
      <c r="H3609" s="1"/>
    </row>
    <row r="3610" spans="1:8" ht="13.2" x14ac:dyDescent="0.25">
      <c r="A3610" s="1"/>
      <c r="B3610" s="1"/>
      <c r="C3610" s="1"/>
      <c r="D3610" s="1"/>
      <c r="E3610" s="1"/>
      <c r="F3610" s="1"/>
      <c r="G3610" s="1"/>
      <c r="H3610" s="1"/>
    </row>
    <row r="3611" spans="1:8" ht="13.2" x14ac:dyDescent="0.25">
      <c r="A3611" s="1"/>
      <c r="B3611" s="1"/>
      <c r="C3611" s="1"/>
      <c r="D3611" s="1"/>
      <c r="E3611" s="1"/>
      <c r="F3611" s="1"/>
      <c r="G3611" s="3"/>
      <c r="H3611" s="1"/>
    </row>
    <row r="3612" spans="1:8" ht="13.2" x14ac:dyDescent="0.25">
      <c r="A3612" s="1"/>
      <c r="B3612" s="1"/>
      <c r="C3612" s="1"/>
      <c r="D3612" s="1"/>
      <c r="E3612" s="1"/>
      <c r="F3612" s="1"/>
      <c r="G3612" s="1"/>
      <c r="H3612" s="1"/>
    </row>
    <row r="3613" spans="1:8" ht="13.2" x14ac:dyDescent="0.25">
      <c r="A3613" s="1"/>
      <c r="B3613" s="1"/>
      <c r="C3613" s="1"/>
      <c r="D3613" s="1"/>
      <c r="E3613" s="1"/>
      <c r="F3613" s="1"/>
      <c r="G3613" s="1"/>
      <c r="H3613" s="1"/>
    </row>
    <row r="3614" spans="1:8" ht="13.2" x14ac:dyDescent="0.25">
      <c r="A3614" s="1"/>
      <c r="B3614" s="1"/>
      <c r="C3614" s="1"/>
      <c r="D3614" s="1"/>
      <c r="E3614" s="1"/>
      <c r="F3614" s="1"/>
      <c r="G3614" s="1"/>
      <c r="H3614" s="1"/>
    </row>
    <row r="3615" spans="1:8" ht="13.2" x14ac:dyDescent="0.25">
      <c r="A3615" s="1"/>
      <c r="B3615" s="1"/>
      <c r="C3615" s="1"/>
      <c r="D3615" s="1"/>
      <c r="E3615" s="1"/>
      <c r="F3615" s="1"/>
      <c r="G3615" s="3"/>
      <c r="H3615" s="1"/>
    </row>
    <row r="3616" spans="1:8" ht="13.2" x14ac:dyDescent="0.25">
      <c r="A3616" s="1"/>
      <c r="B3616" s="1"/>
      <c r="C3616" s="1"/>
      <c r="D3616" s="1"/>
      <c r="E3616" s="1"/>
      <c r="F3616" s="1"/>
      <c r="G3616" s="1"/>
      <c r="H3616" s="1"/>
    </row>
    <row r="3617" spans="1:8" ht="13.2" x14ac:dyDescent="0.25">
      <c r="A3617" s="1"/>
      <c r="B3617" s="1"/>
      <c r="C3617" s="1"/>
      <c r="D3617" s="1"/>
      <c r="E3617" s="1"/>
      <c r="F3617" s="1"/>
      <c r="G3617" s="1"/>
      <c r="H3617" s="1"/>
    </row>
    <row r="3618" spans="1:8" ht="13.2" x14ac:dyDescent="0.25">
      <c r="A3618" s="1"/>
      <c r="B3618" s="1"/>
      <c r="C3618" s="1"/>
      <c r="D3618" s="1"/>
      <c r="E3618" s="1"/>
      <c r="F3618" s="1"/>
      <c r="G3618" s="1"/>
      <c r="H3618" s="1"/>
    </row>
    <row r="3619" spans="1:8" ht="13.2" x14ac:dyDescent="0.25">
      <c r="A3619" s="1"/>
      <c r="B3619" s="1"/>
      <c r="C3619" s="1"/>
      <c r="D3619" s="1"/>
      <c r="E3619" s="1"/>
      <c r="F3619" s="1"/>
      <c r="G3619" s="1"/>
      <c r="H3619" s="1"/>
    </row>
    <row r="3620" spans="1:8" ht="13.2" x14ac:dyDescent="0.25">
      <c r="A3620" s="1"/>
      <c r="B3620" s="1"/>
      <c r="C3620" s="1"/>
      <c r="D3620" s="1"/>
      <c r="E3620" s="1"/>
      <c r="F3620" s="1"/>
      <c r="G3620" s="1"/>
      <c r="H3620" s="1"/>
    </row>
    <row r="3621" spans="1:8" ht="13.2" x14ac:dyDescent="0.25">
      <c r="A3621" s="1"/>
      <c r="B3621" s="1"/>
      <c r="C3621" s="1"/>
      <c r="D3621" s="1"/>
      <c r="E3621" s="1"/>
      <c r="F3621" s="1"/>
      <c r="G3621" s="1"/>
      <c r="H3621" s="1"/>
    </row>
    <row r="3622" spans="1:8" ht="13.2" x14ac:dyDescent="0.25">
      <c r="A3622" s="1"/>
      <c r="B3622" s="1"/>
      <c r="C3622" s="1"/>
      <c r="D3622" s="1"/>
      <c r="E3622" s="1"/>
      <c r="F3622" s="1"/>
      <c r="G3622" s="3"/>
      <c r="H3622" s="1"/>
    </row>
    <row r="3623" spans="1:8" ht="13.2" x14ac:dyDescent="0.25">
      <c r="A3623" s="1"/>
      <c r="B3623" s="1"/>
      <c r="C3623" s="1"/>
      <c r="D3623" s="1"/>
      <c r="E3623" s="1"/>
      <c r="F3623" s="1"/>
      <c r="G3623" s="1"/>
      <c r="H3623" s="1"/>
    </row>
    <row r="3624" spans="1:8" ht="13.2" x14ac:dyDescent="0.25">
      <c r="A3624" s="1"/>
      <c r="B3624" s="1"/>
      <c r="C3624" s="1"/>
      <c r="D3624" s="1"/>
      <c r="E3624" s="1"/>
      <c r="F3624" s="1"/>
      <c r="G3624" s="1"/>
      <c r="H3624" s="1"/>
    </row>
    <row r="3625" spans="1:8" ht="13.2" x14ac:dyDescent="0.25">
      <c r="A3625" s="1"/>
      <c r="B3625" s="1"/>
      <c r="C3625" s="1"/>
      <c r="D3625" s="1"/>
      <c r="E3625" s="1"/>
      <c r="F3625" s="1"/>
      <c r="G3625" s="1"/>
      <c r="H3625" s="1"/>
    </row>
    <row r="3626" spans="1:8" ht="13.2" x14ac:dyDescent="0.25">
      <c r="A3626" s="1"/>
      <c r="B3626" s="1"/>
      <c r="C3626" s="1"/>
      <c r="D3626" s="1"/>
      <c r="E3626" s="1"/>
      <c r="F3626" s="1"/>
      <c r="G3626" s="1"/>
      <c r="H3626" s="1"/>
    </row>
    <row r="3627" spans="1:8" ht="13.2" x14ac:dyDescent="0.25">
      <c r="A3627" s="1"/>
      <c r="B3627" s="1"/>
      <c r="C3627" s="1"/>
      <c r="D3627" s="1"/>
      <c r="E3627" s="1"/>
      <c r="F3627" s="1"/>
      <c r="G3627" s="1"/>
      <c r="H3627" s="1"/>
    </row>
    <row r="3628" spans="1:8" ht="13.2" x14ac:dyDescent="0.25">
      <c r="A3628" s="1"/>
      <c r="B3628" s="1"/>
      <c r="C3628" s="1"/>
      <c r="D3628" s="1"/>
      <c r="E3628" s="1"/>
      <c r="F3628" s="1"/>
      <c r="G3628" s="1"/>
      <c r="H3628" s="1"/>
    </row>
    <row r="3629" spans="1:8" ht="13.2" x14ac:dyDescent="0.25">
      <c r="A3629" s="1"/>
      <c r="B3629" s="1"/>
      <c r="C3629" s="1"/>
      <c r="D3629" s="1"/>
      <c r="E3629" s="1"/>
      <c r="F3629" s="1"/>
      <c r="G3629" s="1"/>
      <c r="H3629" s="1"/>
    </row>
    <row r="3630" spans="1:8" ht="13.2" x14ac:dyDescent="0.25">
      <c r="A3630" s="1"/>
      <c r="B3630" s="1"/>
      <c r="C3630" s="1"/>
      <c r="D3630" s="1"/>
      <c r="E3630" s="1"/>
      <c r="F3630" s="1"/>
      <c r="G3630" s="1"/>
      <c r="H3630" s="1"/>
    </row>
    <row r="3631" spans="1:8" ht="13.2" x14ac:dyDescent="0.25">
      <c r="A3631" s="1"/>
      <c r="B3631" s="1"/>
      <c r="C3631" s="1"/>
      <c r="D3631" s="1"/>
      <c r="E3631" s="1"/>
      <c r="F3631" s="1"/>
      <c r="G3631" s="1"/>
      <c r="H3631" s="1"/>
    </row>
    <row r="3632" spans="1:8" ht="13.2" x14ac:dyDescent="0.25">
      <c r="A3632" s="1"/>
      <c r="B3632" s="1"/>
      <c r="C3632" s="1"/>
      <c r="D3632" s="1"/>
      <c r="E3632" s="1"/>
      <c r="F3632" s="1"/>
      <c r="G3632" s="1"/>
      <c r="H3632" s="1"/>
    </row>
    <row r="3633" spans="1:8" ht="13.2" x14ac:dyDescent="0.25">
      <c r="A3633" s="1"/>
      <c r="B3633" s="1"/>
      <c r="C3633" s="1"/>
      <c r="D3633" s="1"/>
      <c r="E3633" s="1"/>
      <c r="F3633" s="1"/>
      <c r="G3633" s="1"/>
      <c r="H3633" s="1"/>
    </row>
    <row r="3634" spans="1:8" ht="13.2" x14ac:dyDescent="0.25">
      <c r="A3634" s="1"/>
      <c r="B3634" s="1"/>
      <c r="C3634" s="1"/>
      <c r="D3634" s="1"/>
      <c r="E3634" s="1"/>
      <c r="F3634" s="1"/>
      <c r="G3634" s="1"/>
      <c r="H3634" s="1"/>
    </row>
    <row r="3635" spans="1:8" ht="13.2" x14ac:dyDescent="0.25">
      <c r="A3635" s="1"/>
      <c r="B3635" s="1"/>
      <c r="C3635" s="1"/>
      <c r="D3635" s="1"/>
      <c r="E3635" s="1"/>
      <c r="F3635" s="1"/>
      <c r="G3635" s="3"/>
      <c r="H3635" s="1"/>
    </row>
    <row r="3636" spans="1:8" ht="13.2" x14ac:dyDescent="0.25">
      <c r="A3636" s="1"/>
      <c r="B3636" s="1"/>
      <c r="C3636" s="1"/>
      <c r="D3636" s="1"/>
      <c r="E3636" s="1"/>
      <c r="F3636" s="1"/>
      <c r="G3636" s="1"/>
      <c r="H3636" s="1"/>
    </row>
    <row r="3637" spans="1:8" ht="13.2" x14ac:dyDescent="0.25">
      <c r="A3637" s="1"/>
      <c r="B3637" s="1"/>
      <c r="C3637" s="1"/>
      <c r="D3637" s="1"/>
      <c r="E3637" s="1"/>
      <c r="F3637" s="1"/>
      <c r="G3637" s="3"/>
      <c r="H3637" s="1"/>
    </row>
    <row r="3638" spans="1:8" ht="13.2" x14ac:dyDescent="0.25">
      <c r="A3638" s="1"/>
      <c r="B3638" s="1"/>
      <c r="C3638" s="1"/>
      <c r="D3638" s="1"/>
      <c r="E3638" s="1"/>
      <c r="F3638" s="1"/>
      <c r="G3638" s="1"/>
      <c r="H3638" s="1"/>
    </row>
    <row r="3639" spans="1:8" ht="13.2" x14ac:dyDescent="0.25">
      <c r="A3639" s="1"/>
      <c r="B3639" s="1"/>
      <c r="C3639" s="1"/>
      <c r="D3639" s="1"/>
      <c r="E3639" s="1"/>
      <c r="F3639" s="1"/>
      <c r="G3639" s="3"/>
      <c r="H3639" s="1"/>
    </row>
    <row r="3640" spans="1:8" ht="13.2" x14ac:dyDescent="0.25">
      <c r="A3640" s="1"/>
      <c r="B3640" s="1"/>
      <c r="C3640" s="1"/>
      <c r="D3640" s="1"/>
      <c r="E3640" s="1"/>
      <c r="F3640" s="1"/>
      <c r="G3640" s="3"/>
      <c r="H3640" s="1"/>
    </row>
    <row r="3641" spans="1:8" ht="13.2" x14ac:dyDescent="0.25">
      <c r="A3641" s="1"/>
      <c r="B3641" s="1"/>
      <c r="C3641" s="1"/>
      <c r="D3641" s="1"/>
      <c r="E3641" s="1"/>
      <c r="F3641" s="1"/>
      <c r="G3641" s="1"/>
      <c r="H3641" s="1"/>
    </row>
    <row r="3642" spans="1:8" ht="13.2" x14ac:dyDescent="0.25">
      <c r="A3642" s="1"/>
      <c r="B3642" s="1"/>
      <c r="C3642" s="1"/>
      <c r="D3642" s="1"/>
      <c r="E3642" s="1"/>
      <c r="F3642" s="1"/>
      <c r="G3642" s="1"/>
      <c r="H3642" s="1"/>
    </row>
    <row r="3643" spans="1:8" ht="13.2" x14ac:dyDescent="0.25">
      <c r="A3643" s="1"/>
      <c r="B3643" s="1"/>
      <c r="C3643" s="1"/>
      <c r="D3643" s="1"/>
      <c r="E3643" s="1"/>
      <c r="F3643" s="1"/>
      <c r="G3643" s="1"/>
      <c r="H3643" s="1"/>
    </row>
    <row r="3644" spans="1:8" ht="13.2" x14ac:dyDescent="0.25">
      <c r="A3644" s="1"/>
      <c r="B3644" s="1"/>
      <c r="C3644" s="1"/>
      <c r="D3644" s="1"/>
      <c r="E3644" s="1"/>
      <c r="F3644" s="1"/>
      <c r="G3644" s="1"/>
      <c r="H3644" s="1"/>
    </row>
    <row r="3645" spans="1:8" ht="13.2" x14ac:dyDescent="0.25">
      <c r="A3645" s="1"/>
      <c r="B3645" s="1"/>
      <c r="C3645" s="1"/>
      <c r="D3645" s="1"/>
      <c r="E3645" s="1"/>
      <c r="F3645" s="1"/>
      <c r="G3645" s="1"/>
      <c r="H3645" s="1"/>
    </row>
    <row r="3646" spans="1:8" ht="13.2" x14ac:dyDescent="0.25">
      <c r="A3646" s="1"/>
      <c r="B3646" s="1"/>
      <c r="C3646" s="1"/>
      <c r="D3646" s="1"/>
      <c r="E3646" s="1"/>
      <c r="F3646" s="1"/>
      <c r="G3646" s="3"/>
      <c r="H3646" s="1"/>
    </row>
    <row r="3647" spans="1:8" ht="13.2" x14ac:dyDescent="0.25">
      <c r="A3647" s="1"/>
      <c r="B3647" s="1"/>
      <c r="C3647" s="1"/>
      <c r="D3647" s="1"/>
      <c r="E3647" s="1"/>
      <c r="F3647" s="1"/>
      <c r="G3647" s="1"/>
      <c r="H3647" s="1"/>
    </row>
    <row r="3648" spans="1:8" ht="13.2" x14ac:dyDescent="0.25">
      <c r="A3648" s="1"/>
      <c r="B3648" s="1"/>
      <c r="C3648" s="1"/>
      <c r="D3648" s="1"/>
      <c r="E3648" s="1"/>
      <c r="F3648" s="1"/>
      <c r="G3648" s="1"/>
      <c r="H3648" s="1"/>
    </row>
    <row r="3649" spans="1:8" ht="13.2" x14ac:dyDescent="0.25">
      <c r="A3649" s="1"/>
      <c r="B3649" s="1"/>
      <c r="C3649" s="1"/>
      <c r="D3649" s="1"/>
      <c r="E3649" s="1"/>
      <c r="F3649" s="1"/>
      <c r="G3649" s="3"/>
      <c r="H3649" s="1"/>
    </row>
    <row r="3650" spans="1:8" ht="13.2" x14ac:dyDescent="0.25">
      <c r="A3650" s="1"/>
      <c r="B3650" s="1"/>
      <c r="C3650" s="1"/>
      <c r="D3650" s="1"/>
      <c r="E3650" s="1"/>
      <c r="F3650" s="1"/>
      <c r="G3650" s="1"/>
      <c r="H3650" s="1"/>
    </row>
    <row r="3651" spans="1:8" ht="13.2" x14ac:dyDescent="0.25">
      <c r="A3651" s="1"/>
      <c r="B3651" s="1"/>
      <c r="C3651" s="1"/>
      <c r="D3651" s="1"/>
      <c r="E3651" s="1"/>
      <c r="F3651" s="1"/>
      <c r="G3651" s="1"/>
      <c r="H3651" s="1"/>
    </row>
    <row r="3652" spans="1:8" ht="13.2" x14ac:dyDescent="0.25">
      <c r="A3652" s="1"/>
      <c r="B3652" s="1"/>
      <c r="C3652" s="1"/>
      <c r="D3652" s="1"/>
      <c r="E3652" s="1"/>
      <c r="F3652" s="1"/>
      <c r="G3652" s="1"/>
      <c r="H3652" s="1"/>
    </row>
    <row r="3653" spans="1:8" ht="13.2" x14ac:dyDescent="0.25">
      <c r="A3653" s="1"/>
      <c r="B3653" s="1"/>
      <c r="C3653" s="1"/>
      <c r="D3653" s="1"/>
      <c r="E3653" s="1"/>
      <c r="F3653" s="1"/>
      <c r="G3653" s="1"/>
      <c r="H3653" s="1"/>
    </row>
    <row r="3654" spans="1:8" ht="13.2" x14ac:dyDescent="0.25">
      <c r="A3654" s="1"/>
      <c r="B3654" s="1"/>
      <c r="C3654" s="1"/>
      <c r="D3654" s="1"/>
      <c r="E3654" s="1"/>
      <c r="F3654" s="1"/>
      <c r="G3654" s="1"/>
      <c r="H3654" s="1"/>
    </row>
    <row r="3655" spans="1:8" ht="13.2" x14ac:dyDescent="0.25">
      <c r="A3655" s="1"/>
      <c r="B3655" s="1"/>
      <c r="C3655" s="1"/>
      <c r="D3655" s="1"/>
      <c r="E3655" s="1"/>
      <c r="F3655" s="1"/>
      <c r="G3655" s="1"/>
      <c r="H3655" s="1"/>
    </row>
    <row r="3656" spans="1:8" ht="13.2" x14ac:dyDescent="0.25">
      <c r="A3656" s="1"/>
      <c r="B3656" s="1"/>
      <c r="C3656" s="1"/>
      <c r="D3656" s="1"/>
      <c r="E3656" s="1"/>
      <c r="F3656" s="1"/>
      <c r="G3656" s="1"/>
      <c r="H3656" s="1"/>
    </row>
    <row r="3657" spans="1:8" ht="13.2" x14ac:dyDescent="0.25">
      <c r="A3657" s="1"/>
      <c r="B3657" s="1"/>
      <c r="C3657" s="1"/>
      <c r="D3657" s="1"/>
      <c r="E3657" s="1"/>
      <c r="F3657" s="1"/>
      <c r="G3657" s="1"/>
      <c r="H3657" s="1"/>
    </row>
    <row r="3658" spans="1:8" ht="13.2" x14ac:dyDescent="0.25">
      <c r="A3658" s="1"/>
      <c r="B3658" s="1"/>
      <c r="C3658" s="1"/>
      <c r="D3658" s="1"/>
      <c r="E3658" s="1"/>
      <c r="F3658" s="1"/>
      <c r="G3658" s="1"/>
      <c r="H3658" s="1"/>
    </row>
    <row r="3659" spans="1:8" ht="13.2" x14ac:dyDescent="0.25">
      <c r="A3659" s="1"/>
      <c r="B3659" s="1"/>
      <c r="C3659" s="1"/>
      <c r="D3659" s="1"/>
      <c r="E3659" s="1"/>
      <c r="F3659" s="1"/>
      <c r="G3659" s="1"/>
      <c r="H3659" s="1"/>
    </row>
    <row r="3660" spans="1:8" ht="13.2" x14ac:dyDescent="0.25">
      <c r="A3660" s="1"/>
      <c r="B3660" s="1"/>
      <c r="C3660" s="1"/>
      <c r="D3660" s="1"/>
      <c r="E3660" s="1"/>
      <c r="F3660" s="1"/>
      <c r="G3660" s="1"/>
      <c r="H3660" s="1"/>
    </row>
    <row r="3661" spans="1:8" ht="13.2" x14ac:dyDescent="0.25">
      <c r="A3661" s="1"/>
      <c r="B3661" s="1"/>
      <c r="C3661" s="1"/>
      <c r="D3661" s="1"/>
      <c r="E3661" s="1"/>
      <c r="F3661" s="1"/>
      <c r="G3661" s="1"/>
      <c r="H3661" s="1"/>
    </row>
    <row r="3662" spans="1:8" ht="13.2" x14ac:dyDescent="0.25">
      <c r="A3662" s="1"/>
      <c r="B3662" s="1"/>
      <c r="C3662" s="1"/>
      <c r="D3662" s="1"/>
      <c r="E3662" s="1"/>
      <c r="F3662" s="1"/>
      <c r="G3662" s="1"/>
      <c r="H3662" s="1"/>
    </row>
    <row r="3663" spans="1:8" ht="13.2" x14ac:dyDescent="0.25">
      <c r="A3663" s="1"/>
      <c r="B3663" s="1"/>
      <c r="C3663" s="1"/>
      <c r="D3663" s="1"/>
      <c r="E3663" s="1"/>
      <c r="F3663" s="1"/>
      <c r="G3663" s="3"/>
      <c r="H3663" s="1"/>
    </row>
    <row r="3664" spans="1:8" ht="13.2" x14ac:dyDescent="0.25">
      <c r="A3664" s="1"/>
      <c r="B3664" s="1"/>
      <c r="C3664" s="1"/>
      <c r="D3664" s="1"/>
      <c r="E3664" s="1"/>
      <c r="F3664" s="1"/>
      <c r="G3664" s="1"/>
      <c r="H3664" s="1"/>
    </row>
    <row r="3665" spans="1:8" ht="13.2" x14ac:dyDescent="0.25">
      <c r="A3665" s="1"/>
      <c r="B3665" s="1"/>
      <c r="C3665" s="1"/>
      <c r="D3665" s="1"/>
      <c r="E3665" s="1"/>
      <c r="F3665" s="1"/>
      <c r="G3665" s="1"/>
      <c r="H3665" s="1"/>
    </row>
    <row r="3666" spans="1:8" ht="13.2" x14ac:dyDescent="0.25">
      <c r="A3666" s="1"/>
      <c r="B3666" s="1"/>
      <c r="C3666" s="1"/>
      <c r="D3666" s="1"/>
      <c r="E3666" s="1"/>
      <c r="F3666" s="1"/>
      <c r="G3666" s="1"/>
      <c r="H3666" s="1"/>
    </row>
    <row r="3667" spans="1:8" ht="13.2" x14ac:dyDescent="0.25">
      <c r="A3667" s="1"/>
      <c r="B3667" s="1"/>
      <c r="C3667" s="1"/>
      <c r="D3667" s="1"/>
      <c r="E3667" s="1"/>
      <c r="F3667" s="1"/>
      <c r="G3667" s="1"/>
      <c r="H3667" s="1"/>
    </row>
    <row r="3668" spans="1:8" ht="13.2" x14ac:dyDescent="0.25">
      <c r="A3668" s="1"/>
      <c r="B3668" s="1"/>
      <c r="C3668" s="1"/>
      <c r="D3668" s="1"/>
      <c r="E3668" s="1"/>
      <c r="F3668" s="1"/>
      <c r="G3668" s="1"/>
      <c r="H3668" s="1"/>
    </row>
    <row r="3669" spans="1:8" ht="13.2" x14ac:dyDescent="0.25">
      <c r="A3669" s="1"/>
      <c r="B3669" s="1"/>
      <c r="C3669" s="1"/>
      <c r="D3669" s="1"/>
      <c r="E3669" s="1"/>
      <c r="F3669" s="1"/>
      <c r="G3669" s="1"/>
      <c r="H3669" s="1"/>
    </row>
    <row r="3670" spans="1:8" ht="13.2" x14ac:dyDescent="0.25">
      <c r="A3670" s="1"/>
      <c r="B3670" s="1"/>
      <c r="C3670" s="1"/>
      <c r="D3670" s="1"/>
      <c r="E3670" s="1"/>
      <c r="F3670" s="1"/>
      <c r="G3670" s="1"/>
      <c r="H3670" s="1"/>
    </row>
    <row r="3671" spans="1:8" ht="13.2" x14ac:dyDescent="0.25">
      <c r="A3671" s="1"/>
      <c r="B3671" s="1"/>
      <c r="C3671" s="1"/>
      <c r="D3671" s="1"/>
      <c r="E3671" s="1"/>
      <c r="F3671" s="1"/>
      <c r="G3671" s="1"/>
      <c r="H3671" s="1"/>
    </row>
    <row r="3672" spans="1:8" ht="13.2" x14ac:dyDescent="0.25">
      <c r="A3672" s="1"/>
      <c r="B3672" s="1"/>
      <c r="C3672" s="1"/>
      <c r="D3672" s="1"/>
      <c r="E3672" s="1"/>
      <c r="F3672" s="1"/>
      <c r="G3672" s="1"/>
      <c r="H3672" s="1"/>
    </row>
    <row r="3673" spans="1:8" ht="13.2" x14ac:dyDescent="0.25">
      <c r="A3673" s="1"/>
      <c r="B3673" s="1"/>
      <c r="C3673" s="1"/>
      <c r="D3673" s="1"/>
      <c r="E3673" s="1"/>
      <c r="F3673" s="1"/>
      <c r="G3673" s="1"/>
      <c r="H3673" s="1"/>
    </row>
    <row r="3674" spans="1:8" ht="13.2" x14ac:dyDescent="0.25">
      <c r="A3674" s="1"/>
      <c r="B3674" s="1"/>
      <c r="C3674" s="1"/>
      <c r="D3674" s="1"/>
      <c r="E3674" s="1"/>
      <c r="F3674" s="1"/>
      <c r="G3674" s="1"/>
      <c r="H3674" s="1"/>
    </row>
    <row r="3675" spans="1:8" ht="13.2" x14ac:dyDescent="0.25">
      <c r="A3675" s="1"/>
      <c r="B3675" s="1"/>
      <c r="C3675" s="1"/>
      <c r="D3675" s="1"/>
      <c r="E3675" s="1"/>
      <c r="F3675" s="1"/>
      <c r="G3675" s="1"/>
      <c r="H3675" s="1"/>
    </row>
    <row r="3676" spans="1:8" ht="13.2" x14ac:dyDescent="0.25">
      <c r="A3676" s="1"/>
      <c r="B3676" s="1"/>
      <c r="C3676" s="1"/>
      <c r="D3676" s="1"/>
      <c r="E3676" s="1"/>
      <c r="F3676" s="1"/>
      <c r="G3676" s="1"/>
      <c r="H3676" s="1"/>
    </row>
    <row r="3677" spans="1:8" ht="13.2" x14ac:dyDescent="0.25">
      <c r="A3677" s="1"/>
      <c r="B3677" s="1"/>
      <c r="C3677" s="1"/>
      <c r="D3677" s="1"/>
      <c r="E3677" s="1"/>
      <c r="F3677" s="1"/>
      <c r="G3677" s="1"/>
      <c r="H3677" s="1"/>
    </row>
    <row r="3678" spans="1:8" ht="13.2" x14ac:dyDescent="0.25">
      <c r="A3678" s="1"/>
      <c r="B3678" s="1"/>
      <c r="C3678" s="1"/>
      <c r="D3678" s="1"/>
      <c r="E3678" s="1"/>
      <c r="F3678" s="1"/>
      <c r="G3678" s="3"/>
      <c r="H3678" s="1"/>
    </row>
    <row r="3679" spans="1:8" ht="13.2" x14ac:dyDescent="0.25">
      <c r="A3679" s="1"/>
      <c r="B3679" s="1"/>
      <c r="C3679" s="1"/>
      <c r="D3679" s="1"/>
      <c r="E3679" s="1"/>
      <c r="F3679" s="1"/>
      <c r="G3679" s="1"/>
      <c r="H3679" s="1"/>
    </row>
    <row r="3680" spans="1:8" ht="13.2" x14ac:dyDescent="0.25">
      <c r="A3680" s="1"/>
      <c r="B3680" s="1"/>
      <c r="C3680" s="1"/>
      <c r="D3680" s="1"/>
      <c r="E3680" s="1"/>
      <c r="F3680" s="1"/>
      <c r="G3680" s="1"/>
      <c r="H3680" s="1"/>
    </row>
    <row r="3681" spans="1:8" ht="13.2" x14ac:dyDescent="0.25">
      <c r="A3681" s="1"/>
      <c r="B3681" s="1"/>
      <c r="C3681" s="1"/>
      <c r="D3681" s="1"/>
      <c r="E3681" s="1"/>
      <c r="F3681" s="1"/>
      <c r="G3681" s="1"/>
      <c r="H3681" s="1"/>
    </row>
    <row r="3682" spans="1:8" ht="13.2" x14ac:dyDescent="0.25">
      <c r="A3682" s="1"/>
      <c r="B3682" s="1"/>
      <c r="C3682" s="1"/>
      <c r="D3682" s="1"/>
      <c r="E3682" s="1"/>
      <c r="F3682" s="1"/>
      <c r="G3682" s="1"/>
      <c r="H3682" s="1"/>
    </row>
    <row r="3683" spans="1:8" ht="13.2" x14ac:dyDescent="0.25">
      <c r="A3683" s="1"/>
      <c r="B3683" s="1"/>
      <c r="C3683" s="1"/>
      <c r="D3683" s="1"/>
      <c r="E3683" s="1"/>
      <c r="F3683" s="1"/>
      <c r="G3683" s="1"/>
      <c r="H3683" s="1"/>
    </row>
    <row r="3684" spans="1:8" ht="13.2" x14ac:dyDescent="0.25">
      <c r="A3684" s="1"/>
      <c r="B3684" s="1"/>
      <c r="C3684" s="1"/>
      <c r="D3684" s="1"/>
      <c r="E3684" s="1"/>
      <c r="F3684" s="1"/>
      <c r="G3684" s="1"/>
      <c r="H3684" s="1"/>
    </row>
    <row r="3685" spans="1:8" ht="13.2" x14ac:dyDescent="0.25">
      <c r="A3685" s="1"/>
      <c r="B3685" s="1"/>
      <c r="C3685" s="1"/>
      <c r="D3685" s="1"/>
      <c r="E3685" s="1"/>
      <c r="F3685" s="1"/>
      <c r="G3685" s="1"/>
      <c r="H3685" s="1"/>
    </row>
    <row r="3686" spans="1:8" ht="13.2" x14ac:dyDescent="0.25">
      <c r="A3686" s="1"/>
      <c r="B3686" s="1"/>
      <c r="C3686" s="1"/>
      <c r="D3686" s="1"/>
      <c r="E3686" s="1"/>
      <c r="F3686" s="1"/>
      <c r="G3686" s="1"/>
      <c r="H3686" s="1"/>
    </row>
    <row r="3687" spans="1:8" ht="13.2" x14ac:dyDescent="0.25">
      <c r="A3687" s="1"/>
      <c r="B3687" s="1"/>
      <c r="C3687" s="1"/>
      <c r="D3687" s="1"/>
      <c r="E3687" s="1"/>
      <c r="F3687" s="1"/>
      <c r="G3687" s="3"/>
      <c r="H3687" s="1"/>
    </row>
    <row r="3688" spans="1:8" ht="13.2" x14ac:dyDescent="0.25">
      <c r="A3688" s="1"/>
      <c r="B3688" s="1"/>
      <c r="C3688" s="1"/>
      <c r="D3688" s="1"/>
      <c r="E3688" s="1"/>
      <c r="F3688" s="1"/>
      <c r="G3688" s="1"/>
      <c r="H3688" s="1"/>
    </row>
    <row r="3689" spans="1:8" ht="13.2" x14ac:dyDescent="0.25">
      <c r="A3689" s="1"/>
      <c r="B3689" s="1"/>
      <c r="C3689" s="1"/>
      <c r="D3689" s="1"/>
      <c r="E3689" s="1"/>
      <c r="F3689" s="1"/>
      <c r="G3689" s="1"/>
      <c r="H3689" s="1"/>
    </row>
    <row r="3690" spans="1:8" ht="13.2" x14ac:dyDescent="0.25">
      <c r="A3690" s="1"/>
      <c r="B3690" s="1"/>
      <c r="C3690" s="1"/>
      <c r="D3690" s="1"/>
      <c r="E3690" s="1"/>
      <c r="F3690" s="1"/>
      <c r="G3690" s="1"/>
      <c r="H3690" s="1"/>
    </row>
    <row r="3691" spans="1:8" ht="13.2" x14ac:dyDescent="0.25">
      <c r="A3691" s="1"/>
      <c r="B3691" s="1"/>
      <c r="C3691" s="1"/>
      <c r="D3691" s="1"/>
      <c r="E3691" s="1"/>
      <c r="F3691" s="1"/>
      <c r="G3691" s="1"/>
      <c r="H3691" s="1"/>
    </row>
    <row r="3692" spans="1:8" ht="13.2" x14ac:dyDescent="0.25">
      <c r="A3692" s="1"/>
      <c r="B3692" s="1"/>
      <c r="C3692" s="1"/>
      <c r="D3692" s="1"/>
      <c r="E3692" s="1"/>
      <c r="F3692" s="1"/>
      <c r="G3692" s="1"/>
      <c r="H3692" s="1"/>
    </row>
    <row r="3693" spans="1:8" ht="13.2" x14ac:dyDescent="0.25">
      <c r="A3693" s="1"/>
      <c r="B3693" s="1"/>
      <c r="C3693" s="1"/>
      <c r="D3693" s="1"/>
      <c r="E3693" s="1"/>
      <c r="F3693" s="1"/>
      <c r="G3693" s="1"/>
      <c r="H3693" s="1"/>
    </row>
    <row r="3694" spans="1:8" ht="13.2" x14ac:dyDescent="0.25">
      <c r="A3694" s="1"/>
      <c r="B3694" s="1"/>
      <c r="C3694" s="1"/>
      <c r="D3694" s="1"/>
      <c r="E3694" s="1"/>
      <c r="F3694" s="1"/>
      <c r="G3694" s="1"/>
      <c r="H3694" s="1"/>
    </row>
    <row r="3695" spans="1:8" ht="13.2" x14ac:dyDescent="0.25">
      <c r="A3695" s="1"/>
      <c r="B3695" s="1"/>
      <c r="C3695" s="1"/>
      <c r="D3695" s="1"/>
      <c r="E3695" s="1"/>
      <c r="F3695" s="1"/>
      <c r="G3695" s="1"/>
      <c r="H3695" s="1"/>
    </row>
    <row r="3696" spans="1:8" ht="13.2" x14ac:dyDescent="0.25">
      <c r="A3696" s="1"/>
      <c r="B3696" s="1"/>
      <c r="C3696" s="1"/>
      <c r="D3696" s="1"/>
      <c r="E3696" s="1"/>
      <c r="F3696" s="1"/>
      <c r="G3696" s="1"/>
      <c r="H3696" s="1"/>
    </row>
    <row r="3697" spans="1:8" ht="13.2" x14ac:dyDescent="0.25">
      <c r="A3697" s="1"/>
      <c r="B3697" s="1"/>
      <c r="C3697" s="1"/>
      <c r="D3697" s="1"/>
      <c r="E3697" s="1"/>
      <c r="F3697" s="1"/>
      <c r="G3697" s="3"/>
      <c r="H3697" s="1"/>
    </row>
    <row r="3698" spans="1:8" ht="13.2" x14ac:dyDescent="0.25">
      <c r="A3698" s="1"/>
      <c r="B3698" s="1"/>
      <c r="C3698" s="1"/>
      <c r="D3698" s="1"/>
      <c r="E3698" s="1"/>
      <c r="F3698" s="1"/>
      <c r="G3698" s="1"/>
      <c r="H3698" s="1"/>
    </row>
    <row r="3699" spans="1:8" ht="13.2" x14ac:dyDescent="0.25">
      <c r="A3699" s="1"/>
      <c r="B3699" s="1"/>
      <c r="C3699" s="1"/>
      <c r="D3699" s="1"/>
      <c r="E3699" s="1"/>
      <c r="F3699" s="1"/>
      <c r="G3699" s="1"/>
      <c r="H3699" s="1"/>
    </row>
    <row r="3700" spans="1:8" ht="13.2" x14ac:dyDescent="0.25">
      <c r="A3700" s="1"/>
      <c r="B3700" s="1"/>
      <c r="C3700" s="1"/>
      <c r="D3700" s="1"/>
      <c r="E3700" s="1"/>
      <c r="F3700" s="1"/>
      <c r="G3700" s="1"/>
      <c r="H3700" s="1"/>
    </row>
    <row r="3701" spans="1:8" ht="13.2" x14ac:dyDescent="0.25">
      <c r="A3701" s="1"/>
      <c r="B3701" s="1"/>
      <c r="C3701" s="1"/>
      <c r="D3701" s="1"/>
      <c r="E3701" s="1"/>
      <c r="F3701" s="1"/>
      <c r="G3701" s="3"/>
      <c r="H3701" s="1"/>
    </row>
    <row r="3702" spans="1:8" ht="13.2" x14ac:dyDescent="0.25">
      <c r="A3702" s="1"/>
      <c r="B3702" s="1"/>
      <c r="C3702" s="1"/>
      <c r="D3702" s="1"/>
      <c r="E3702" s="1"/>
      <c r="F3702" s="1"/>
      <c r="G3702" s="1"/>
      <c r="H3702" s="1"/>
    </row>
    <row r="3703" spans="1:8" ht="13.2" x14ac:dyDescent="0.25">
      <c r="A3703" s="1"/>
      <c r="B3703" s="1"/>
      <c r="C3703" s="1"/>
      <c r="D3703" s="1"/>
      <c r="E3703" s="1"/>
      <c r="F3703" s="1"/>
      <c r="G3703" s="1"/>
      <c r="H3703" s="1"/>
    </row>
    <row r="3704" spans="1:8" ht="13.2" x14ac:dyDescent="0.25">
      <c r="A3704" s="1"/>
      <c r="B3704" s="1"/>
      <c r="C3704" s="1"/>
      <c r="D3704" s="1"/>
      <c r="E3704" s="1"/>
      <c r="F3704" s="1"/>
      <c r="G3704" s="1"/>
      <c r="H3704" s="1"/>
    </row>
    <row r="3705" spans="1:8" ht="13.2" x14ac:dyDescent="0.25">
      <c r="A3705" s="1"/>
      <c r="B3705" s="1"/>
      <c r="C3705" s="1"/>
      <c r="D3705" s="1"/>
      <c r="E3705" s="1"/>
      <c r="F3705" s="1"/>
      <c r="G3705" s="1"/>
      <c r="H3705" s="1"/>
    </row>
    <row r="3706" spans="1:8" ht="13.2" x14ac:dyDescent="0.25">
      <c r="A3706" s="1"/>
      <c r="B3706" s="1"/>
      <c r="C3706" s="1"/>
      <c r="D3706" s="1"/>
      <c r="E3706" s="1"/>
      <c r="F3706" s="1"/>
      <c r="G3706" s="1"/>
      <c r="H3706" s="1"/>
    </row>
    <row r="3707" spans="1:8" ht="13.2" x14ac:dyDescent="0.25">
      <c r="A3707" s="1"/>
      <c r="B3707" s="1"/>
      <c r="C3707" s="1"/>
      <c r="D3707" s="1"/>
      <c r="E3707" s="1"/>
      <c r="F3707" s="1"/>
      <c r="G3707" s="3"/>
      <c r="H3707" s="1"/>
    </row>
    <row r="3708" spans="1:8" ht="13.2" x14ac:dyDescent="0.25">
      <c r="A3708" s="1"/>
      <c r="B3708" s="1"/>
      <c r="C3708" s="1"/>
      <c r="D3708" s="1"/>
      <c r="E3708" s="1"/>
      <c r="F3708" s="1"/>
      <c r="G3708" s="1"/>
      <c r="H3708" s="1"/>
    </row>
    <row r="3709" spans="1:8" ht="13.2" x14ac:dyDescent="0.25">
      <c r="A3709" s="1"/>
      <c r="B3709" s="1"/>
      <c r="C3709" s="1"/>
      <c r="D3709" s="1"/>
      <c r="E3709" s="1"/>
      <c r="F3709" s="1"/>
      <c r="G3709" s="1"/>
      <c r="H3709" s="1"/>
    </row>
    <row r="3710" spans="1:8" ht="13.2" x14ac:dyDescent="0.25">
      <c r="A3710" s="1"/>
      <c r="B3710" s="1"/>
      <c r="C3710" s="1"/>
      <c r="D3710" s="1"/>
      <c r="E3710" s="1"/>
      <c r="F3710" s="1"/>
      <c r="G3710" s="1"/>
      <c r="H3710" s="1"/>
    </row>
    <row r="3711" spans="1:8" ht="13.2" x14ac:dyDescent="0.25">
      <c r="A3711" s="1"/>
      <c r="B3711" s="1"/>
      <c r="C3711" s="1"/>
      <c r="D3711" s="1"/>
      <c r="E3711" s="1"/>
      <c r="F3711" s="1"/>
      <c r="G3711" s="3"/>
      <c r="H3711" s="1"/>
    </row>
    <row r="3712" spans="1:8" ht="13.2" x14ac:dyDescent="0.25">
      <c r="A3712" s="1"/>
      <c r="B3712" s="1"/>
      <c r="C3712" s="1"/>
      <c r="D3712" s="1"/>
      <c r="E3712" s="1"/>
      <c r="F3712" s="1"/>
      <c r="G3712" s="1"/>
      <c r="H3712" s="1"/>
    </row>
    <row r="3713" spans="1:8" ht="13.2" x14ac:dyDescent="0.25">
      <c r="A3713" s="1"/>
      <c r="B3713" s="1"/>
      <c r="C3713" s="1"/>
      <c r="D3713" s="1"/>
      <c r="E3713" s="1"/>
      <c r="F3713" s="1"/>
      <c r="G3713" s="1"/>
      <c r="H3713" s="1"/>
    </row>
    <row r="3714" spans="1:8" ht="13.2" x14ac:dyDescent="0.25">
      <c r="A3714" s="1"/>
      <c r="B3714" s="1"/>
      <c r="C3714" s="1"/>
      <c r="D3714" s="1"/>
      <c r="E3714" s="1"/>
      <c r="F3714" s="1"/>
      <c r="G3714" s="1"/>
      <c r="H3714" s="1"/>
    </row>
    <row r="3715" spans="1:8" ht="13.2" x14ac:dyDescent="0.25">
      <c r="A3715" s="1"/>
      <c r="B3715" s="1"/>
      <c r="C3715" s="1"/>
      <c r="D3715" s="1"/>
      <c r="E3715" s="1"/>
      <c r="F3715" s="1"/>
      <c r="G3715" s="1"/>
      <c r="H3715" s="1"/>
    </row>
    <row r="3716" spans="1:8" ht="13.2" x14ac:dyDescent="0.25">
      <c r="A3716" s="1"/>
      <c r="B3716" s="1"/>
      <c r="C3716" s="1"/>
      <c r="D3716" s="1"/>
      <c r="E3716" s="1"/>
      <c r="F3716" s="1"/>
      <c r="G3716" s="1"/>
      <c r="H3716" s="1"/>
    </row>
    <row r="3717" spans="1:8" ht="13.2" x14ac:dyDescent="0.25">
      <c r="A3717" s="1"/>
      <c r="B3717" s="1"/>
      <c r="C3717" s="1"/>
      <c r="D3717" s="1"/>
      <c r="E3717" s="1"/>
      <c r="F3717" s="1"/>
      <c r="G3717" s="1"/>
      <c r="H3717" s="1"/>
    </row>
    <row r="3718" spans="1:8" ht="13.2" x14ac:dyDescent="0.25">
      <c r="A3718" s="1"/>
      <c r="B3718" s="1"/>
      <c r="C3718" s="1"/>
      <c r="D3718" s="1"/>
      <c r="E3718" s="1"/>
      <c r="F3718" s="1"/>
      <c r="G3718" s="1"/>
      <c r="H3718" s="1"/>
    </row>
    <row r="3719" spans="1:8" ht="13.2" x14ac:dyDescent="0.25">
      <c r="A3719" s="1"/>
      <c r="B3719" s="1"/>
      <c r="C3719" s="1"/>
      <c r="D3719" s="1"/>
      <c r="E3719" s="1"/>
      <c r="F3719" s="1"/>
      <c r="G3719" s="1"/>
      <c r="H3719" s="1"/>
    </row>
    <row r="3720" spans="1:8" ht="13.2" x14ac:dyDescent="0.25">
      <c r="A3720" s="1"/>
      <c r="B3720" s="1"/>
      <c r="C3720" s="1"/>
      <c r="D3720" s="1"/>
      <c r="E3720" s="1"/>
      <c r="F3720" s="1"/>
      <c r="G3720" s="1"/>
      <c r="H3720" s="1"/>
    </row>
    <row r="3721" spans="1:8" ht="13.2" x14ac:dyDescent="0.25">
      <c r="A3721" s="1"/>
      <c r="B3721" s="1"/>
      <c r="C3721" s="1"/>
      <c r="D3721" s="1"/>
      <c r="E3721" s="1"/>
      <c r="F3721" s="1"/>
      <c r="G3721" s="1"/>
      <c r="H3721" s="1"/>
    </row>
    <row r="3722" spans="1:8" ht="13.2" x14ac:dyDescent="0.25">
      <c r="A3722" s="1"/>
      <c r="B3722" s="1"/>
      <c r="C3722" s="1"/>
      <c r="D3722" s="1"/>
      <c r="E3722" s="1"/>
      <c r="F3722" s="1"/>
      <c r="G3722" s="1"/>
      <c r="H3722" s="1"/>
    </row>
    <row r="3723" spans="1:8" ht="13.2" x14ac:dyDescent="0.25">
      <c r="A3723" s="1"/>
      <c r="B3723" s="1"/>
      <c r="C3723" s="1"/>
      <c r="D3723" s="1"/>
      <c r="E3723" s="1"/>
      <c r="F3723" s="1"/>
      <c r="G3723" s="1"/>
      <c r="H3723" s="1"/>
    </row>
    <row r="3724" spans="1:8" ht="13.2" x14ac:dyDescent="0.25">
      <c r="A3724" s="1"/>
      <c r="B3724" s="1"/>
      <c r="C3724" s="1"/>
      <c r="D3724" s="1"/>
      <c r="E3724" s="1"/>
      <c r="F3724" s="1"/>
      <c r="G3724" s="1"/>
      <c r="H3724" s="1"/>
    </row>
    <row r="3725" spans="1:8" ht="13.2" x14ac:dyDescent="0.25">
      <c r="A3725" s="1"/>
      <c r="B3725" s="1"/>
      <c r="C3725" s="1"/>
      <c r="D3725" s="1"/>
      <c r="E3725" s="1"/>
      <c r="F3725" s="1"/>
      <c r="G3725" s="1"/>
      <c r="H3725" s="1"/>
    </row>
    <row r="3726" spans="1:8" ht="13.2" x14ac:dyDescent="0.25">
      <c r="A3726" s="1"/>
      <c r="B3726" s="1"/>
      <c r="C3726" s="1"/>
      <c r="D3726" s="1"/>
      <c r="E3726" s="1"/>
      <c r="F3726" s="1"/>
      <c r="G3726" s="1"/>
      <c r="H3726" s="1"/>
    </row>
    <row r="3727" spans="1:8" ht="13.2" x14ac:dyDescent="0.25">
      <c r="A3727" s="1"/>
      <c r="B3727" s="1"/>
      <c r="C3727" s="1"/>
      <c r="D3727" s="1"/>
      <c r="E3727" s="1"/>
      <c r="F3727" s="1"/>
      <c r="G3727" s="1"/>
      <c r="H3727" s="1"/>
    </row>
    <row r="3728" spans="1:8" ht="13.2" x14ac:dyDescent="0.25">
      <c r="A3728" s="1"/>
      <c r="B3728" s="1"/>
      <c r="C3728" s="1"/>
      <c r="D3728" s="1"/>
      <c r="E3728" s="1"/>
      <c r="F3728" s="1"/>
      <c r="G3728" s="1"/>
      <c r="H3728" s="1"/>
    </row>
    <row r="3729" spans="1:8" ht="13.2" x14ac:dyDescent="0.25">
      <c r="A3729" s="1"/>
      <c r="B3729" s="1"/>
      <c r="C3729" s="1"/>
      <c r="D3729" s="1"/>
      <c r="E3729" s="1"/>
      <c r="F3729" s="1"/>
      <c r="G3729" s="1"/>
      <c r="H3729" s="1"/>
    </row>
    <row r="3730" spans="1:8" ht="13.2" x14ac:dyDescent="0.25">
      <c r="A3730" s="1"/>
      <c r="B3730" s="1"/>
      <c r="C3730" s="1"/>
      <c r="D3730" s="1"/>
      <c r="E3730" s="1"/>
      <c r="F3730" s="1"/>
      <c r="G3730" s="3"/>
      <c r="H3730" s="1"/>
    </row>
    <row r="3731" spans="1:8" ht="13.2" x14ac:dyDescent="0.25">
      <c r="A3731" s="1"/>
      <c r="B3731" s="1"/>
      <c r="C3731" s="1"/>
      <c r="D3731" s="1"/>
      <c r="E3731" s="1"/>
      <c r="F3731" s="1"/>
      <c r="G3731" s="1"/>
      <c r="H3731" s="1"/>
    </row>
    <row r="3732" spans="1:8" ht="13.2" x14ac:dyDescent="0.25">
      <c r="A3732" s="1"/>
      <c r="B3732" s="1"/>
      <c r="C3732" s="1"/>
      <c r="D3732" s="1"/>
      <c r="E3732" s="1"/>
      <c r="F3732" s="1"/>
      <c r="G3732" s="1"/>
      <c r="H3732" s="1"/>
    </row>
    <row r="3733" spans="1:8" ht="13.2" x14ac:dyDescent="0.25">
      <c r="A3733" s="1"/>
      <c r="B3733" s="1"/>
      <c r="C3733" s="1"/>
      <c r="D3733" s="1"/>
      <c r="E3733" s="1"/>
      <c r="F3733" s="1"/>
      <c r="G3733" s="1"/>
      <c r="H3733" s="1"/>
    </row>
    <row r="3734" spans="1:8" ht="13.2" x14ac:dyDescent="0.25">
      <c r="A3734" s="1"/>
      <c r="B3734" s="1"/>
      <c r="C3734" s="1"/>
      <c r="D3734" s="1"/>
      <c r="E3734" s="1"/>
      <c r="F3734" s="1"/>
      <c r="G3734" s="1"/>
      <c r="H3734" s="1"/>
    </row>
    <row r="3735" spans="1:8" ht="13.2" x14ac:dyDescent="0.25">
      <c r="A3735" s="1"/>
      <c r="B3735" s="1"/>
      <c r="C3735" s="1"/>
      <c r="D3735" s="1"/>
      <c r="E3735" s="1"/>
      <c r="F3735" s="1"/>
      <c r="G3735" s="1"/>
      <c r="H3735" s="1"/>
    </row>
    <row r="3736" spans="1:8" ht="13.2" x14ac:dyDescent="0.25">
      <c r="A3736" s="1"/>
      <c r="B3736" s="1"/>
      <c r="C3736" s="1"/>
      <c r="D3736" s="1"/>
      <c r="E3736" s="1"/>
      <c r="F3736" s="1"/>
      <c r="G3736" s="1"/>
      <c r="H3736" s="1"/>
    </row>
    <row r="3737" spans="1:8" ht="13.2" x14ac:dyDescent="0.25">
      <c r="A3737" s="1"/>
      <c r="B3737" s="1"/>
      <c r="C3737" s="1"/>
      <c r="D3737" s="1"/>
      <c r="E3737" s="1"/>
      <c r="F3737" s="1"/>
      <c r="G3737" s="1"/>
      <c r="H3737" s="1"/>
    </row>
    <row r="3738" spans="1:8" ht="13.2" x14ac:dyDescent="0.25">
      <c r="A3738" s="1"/>
      <c r="B3738" s="1"/>
      <c r="C3738" s="1"/>
      <c r="D3738" s="1"/>
      <c r="E3738" s="1"/>
      <c r="F3738" s="1"/>
      <c r="G3738" s="1"/>
      <c r="H3738" s="1"/>
    </row>
    <row r="3739" spans="1:8" ht="13.2" x14ac:dyDescent="0.25">
      <c r="A3739" s="1"/>
      <c r="B3739" s="1"/>
      <c r="C3739" s="1"/>
      <c r="D3739" s="1"/>
      <c r="E3739" s="1"/>
      <c r="F3739" s="1"/>
      <c r="G3739" s="3"/>
      <c r="H3739" s="1"/>
    </row>
    <row r="3740" spans="1:8" ht="13.2" x14ac:dyDescent="0.25">
      <c r="A3740" s="1"/>
      <c r="B3740" s="1"/>
      <c r="C3740" s="1"/>
      <c r="D3740" s="1"/>
      <c r="E3740" s="1"/>
      <c r="F3740" s="1"/>
      <c r="G3740" s="1"/>
      <c r="H3740" s="1"/>
    </row>
    <row r="3741" spans="1:8" ht="13.2" x14ac:dyDescent="0.25">
      <c r="A3741" s="1"/>
      <c r="B3741" s="1"/>
      <c r="C3741" s="1"/>
      <c r="D3741" s="1"/>
      <c r="E3741" s="1"/>
      <c r="F3741" s="1"/>
      <c r="G3741" s="1"/>
      <c r="H3741" s="1"/>
    </row>
    <row r="3742" spans="1:8" ht="13.2" x14ac:dyDescent="0.25">
      <c r="A3742" s="1"/>
      <c r="B3742" s="1"/>
      <c r="C3742" s="1"/>
      <c r="D3742" s="1"/>
      <c r="E3742" s="1"/>
      <c r="F3742" s="1"/>
      <c r="G3742" s="1"/>
      <c r="H3742" s="1"/>
    </row>
    <row r="3743" spans="1:8" ht="13.2" x14ac:dyDescent="0.25">
      <c r="A3743" s="1"/>
      <c r="B3743" s="1"/>
      <c r="C3743" s="1"/>
      <c r="D3743" s="1"/>
      <c r="E3743" s="1"/>
      <c r="F3743" s="1"/>
      <c r="G3743" s="1"/>
      <c r="H3743" s="1"/>
    </row>
    <row r="3744" spans="1:8" ht="13.2" x14ac:dyDescent="0.25">
      <c r="A3744" s="1"/>
      <c r="B3744" s="1"/>
      <c r="C3744" s="1"/>
      <c r="D3744" s="1"/>
      <c r="E3744" s="1"/>
      <c r="F3744" s="1"/>
      <c r="G3744" s="1"/>
      <c r="H3744" s="1"/>
    </row>
    <row r="3745" spans="1:8" ht="13.2" x14ac:dyDescent="0.25">
      <c r="A3745" s="1"/>
      <c r="B3745" s="1"/>
      <c r="C3745" s="1"/>
      <c r="D3745" s="1"/>
      <c r="E3745" s="1"/>
      <c r="F3745" s="1"/>
      <c r="G3745" s="3"/>
      <c r="H3745" s="1"/>
    </row>
    <row r="3746" spans="1:8" ht="13.2" x14ac:dyDescent="0.25">
      <c r="A3746" s="1"/>
      <c r="B3746" s="1"/>
      <c r="C3746" s="1"/>
      <c r="D3746" s="1"/>
      <c r="E3746" s="1"/>
      <c r="F3746" s="1"/>
      <c r="G3746" s="3"/>
      <c r="H3746" s="1"/>
    </row>
    <row r="3747" spans="1:8" ht="13.2" x14ac:dyDescent="0.25">
      <c r="A3747" s="1"/>
      <c r="B3747" s="1"/>
      <c r="C3747" s="1"/>
      <c r="D3747" s="1"/>
      <c r="E3747" s="1"/>
      <c r="F3747" s="1"/>
      <c r="G3747" s="1"/>
      <c r="H3747" s="1"/>
    </row>
    <row r="3748" spans="1:8" ht="13.2" x14ac:dyDescent="0.25">
      <c r="A3748" s="1"/>
      <c r="B3748" s="1"/>
      <c r="C3748" s="1"/>
      <c r="D3748" s="1"/>
      <c r="E3748" s="1"/>
      <c r="F3748" s="1"/>
      <c r="G3748" s="1"/>
      <c r="H3748" s="1"/>
    </row>
    <row r="3749" spans="1:8" ht="13.2" x14ac:dyDescent="0.25">
      <c r="A3749" s="1"/>
      <c r="B3749" s="1"/>
      <c r="C3749" s="1"/>
      <c r="D3749" s="1"/>
      <c r="E3749" s="1"/>
      <c r="F3749" s="1"/>
      <c r="G3749" s="1"/>
      <c r="H3749" s="1"/>
    </row>
    <row r="3750" spans="1:8" ht="13.2" x14ac:dyDescent="0.25">
      <c r="A3750" s="1"/>
      <c r="B3750" s="1"/>
      <c r="C3750" s="1"/>
      <c r="D3750" s="1"/>
      <c r="E3750" s="1"/>
      <c r="F3750" s="1"/>
      <c r="G3750" s="1"/>
      <c r="H3750" s="1"/>
    </row>
    <row r="3751" spans="1:8" ht="13.2" x14ac:dyDescent="0.25">
      <c r="A3751" s="1"/>
      <c r="B3751" s="1"/>
      <c r="C3751" s="1"/>
      <c r="D3751" s="1"/>
      <c r="E3751" s="1"/>
      <c r="F3751" s="1"/>
      <c r="G3751" s="1"/>
      <c r="H3751" s="1"/>
    </row>
    <row r="3752" spans="1:8" ht="13.2" x14ac:dyDescent="0.25">
      <c r="A3752" s="1"/>
      <c r="B3752" s="1"/>
      <c r="C3752" s="1"/>
      <c r="D3752" s="1"/>
      <c r="E3752" s="1"/>
      <c r="F3752" s="1"/>
      <c r="G3752" s="1"/>
      <c r="H3752" s="1"/>
    </row>
    <row r="3753" spans="1:8" ht="13.2" x14ac:dyDescent="0.25">
      <c r="A3753" s="1"/>
      <c r="B3753" s="1"/>
      <c r="C3753" s="1"/>
      <c r="D3753" s="1"/>
      <c r="E3753" s="1"/>
      <c r="F3753" s="1"/>
      <c r="G3753" s="1"/>
      <c r="H3753" s="1"/>
    </row>
    <row r="3754" spans="1:8" ht="13.2" x14ac:dyDescent="0.25">
      <c r="A3754" s="1"/>
      <c r="B3754" s="1"/>
      <c r="C3754" s="1"/>
      <c r="D3754" s="1"/>
      <c r="E3754" s="1"/>
      <c r="F3754" s="1"/>
      <c r="G3754" s="1"/>
      <c r="H3754" s="1"/>
    </row>
    <row r="3755" spans="1:8" ht="13.2" x14ac:dyDescent="0.25">
      <c r="A3755" s="1"/>
      <c r="B3755" s="1"/>
      <c r="C3755" s="1"/>
      <c r="D3755" s="1"/>
      <c r="E3755" s="1"/>
      <c r="F3755" s="1"/>
      <c r="G3755" s="1"/>
      <c r="H3755" s="1"/>
    </row>
    <row r="3756" spans="1:8" ht="13.2" x14ac:dyDescent="0.25">
      <c r="A3756" s="1"/>
      <c r="B3756" s="1"/>
      <c r="C3756" s="1"/>
      <c r="D3756" s="1"/>
      <c r="E3756" s="1"/>
      <c r="F3756" s="1"/>
      <c r="G3756" s="1"/>
      <c r="H3756" s="1"/>
    </row>
    <row r="3757" spans="1:8" ht="13.2" x14ac:dyDescent="0.25">
      <c r="A3757" s="1"/>
      <c r="B3757" s="1"/>
      <c r="C3757" s="1"/>
      <c r="D3757" s="1"/>
      <c r="E3757" s="1"/>
      <c r="F3757" s="1"/>
      <c r="G3757" s="1"/>
      <c r="H3757" s="1"/>
    </row>
    <row r="3758" spans="1:8" ht="13.2" x14ac:dyDescent="0.25">
      <c r="A3758" s="1"/>
      <c r="B3758" s="1"/>
      <c r="C3758" s="1"/>
      <c r="D3758" s="1"/>
      <c r="E3758" s="1"/>
      <c r="F3758" s="1"/>
      <c r="G3758" s="3"/>
      <c r="H3758" s="1"/>
    </row>
    <row r="3759" spans="1:8" ht="13.2" x14ac:dyDescent="0.25">
      <c r="A3759" s="1"/>
      <c r="B3759" s="1"/>
      <c r="C3759" s="1"/>
      <c r="D3759" s="1"/>
      <c r="E3759" s="1"/>
      <c r="F3759" s="1"/>
      <c r="G3759" s="1"/>
      <c r="H3759" s="1"/>
    </row>
    <row r="3760" spans="1:8" ht="13.2" x14ac:dyDescent="0.25">
      <c r="A3760" s="1"/>
      <c r="B3760" s="1"/>
      <c r="C3760" s="1"/>
      <c r="D3760" s="1"/>
      <c r="E3760" s="1"/>
      <c r="F3760" s="1"/>
      <c r="G3760" s="1"/>
      <c r="H3760" s="1"/>
    </row>
    <row r="3761" spans="1:8" ht="13.2" x14ac:dyDescent="0.25">
      <c r="A3761" s="1"/>
      <c r="B3761" s="1"/>
      <c r="C3761" s="1"/>
      <c r="D3761" s="1"/>
      <c r="E3761" s="1"/>
      <c r="F3761" s="1"/>
      <c r="G3761" s="1"/>
      <c r="H3761" s="1"/>
    </row>
    <row r="3762" spans="1:8" ht="13.2" x14ac:dyDescent="0.25">
      <c r="A3762" s="1"/>
      <c r="B3762" s="1"/>
      <c r="C3762" s="1"/>
      <c r="D3762" s="1"/>
      <c r="E3762" s="1"/>
      <c r="F3762" s="1"/>
      <c r="G3762" s="1"/>
      <c r="H3762" s="1"/>
    </row>
    <row r="3763" spans="1:8" ht="13.2" x14ac:dyDescent="0.25">
      <c r="A3763" s="1"/>
      <c r="B3763" s="1"/>
      <c r="C3763" s="1"/>
      <c r="D3763" s="1"/>
      <c r="E3763" s="1"/>
      <c r="F3763" s="1"/>
      <c r="G3763" s="1"/>
      <c r="H3763" s="1"/>
    </row>
    <row r="3764" spans="1:8" ht="13.2" x14ac:dyDescent="0.25">
      <c r="A3764" s="1"/>
      <c r="B3764" s="1"/>
      <c r="C3764" s="1"/>
      <c r="D3764" s="1"/>
      <c r="E3764" s="1"/>
      <c r="F3764" s="1"/>
      <c r="G3764" s="1"/>
      <c r="H3764" s="1"/>
    </row>
    <row r="3765" spans="1:8" ht="13.2" x14ac:dyDescent="0.25">
      <c r="A3765" s="1"/>
      <c r="B3765" s="1"/>
      <c r="C3765" s="1"/>
      <c r="D3765" s="1"/>
      <c r="E3765" s="1"/>
      <c r="F3765" s="1"/>
      <c r="G3765" s="1"/>
      <c r="H3765" s="1"/>
    </row>
    <row r="3766" spans="1:8" ht="13.2" x14ac:dyDescent="0.25">
      <c r="A3766" s="1"/>
      <c r="B3766" s="1"/>
      <c r="C3766" s="1"/>
      <c r="D3766" s="1"/>
      <c r="E3766" s="1"/>
      <c r="F3766" s="1"/>
      <c r="G3766" s="1"/>
      <c r="H3766" s="1"/>
    </row>
    <row r="3767" spans="1:8" ht="13.2" x14ac:dyDescent="0.25">
      <c r="A3767" s="1"/>
      <c r="B3767" s="1"/>
      <c r="C3767" s="1"/>
      <c r="D3767" s="1"/>
      <c r="E3767" s="1"/>
      <c r="F3767" s="1"/>
      <c r="G3767" s="1"/>
      <c r="H3767" s="1"/>
    </row>
    <row r="3768" spans="1:8" ht="13.2" x14ac:dyDescent="0.25">
      <c r="A3768" s="1"/>
      <c r="B3768" s="1"/>
      <c r="C3768" s="1"/>
      <c r="D3768" s="1"/>
      <c r="E3768" s="1"/>
      <c r="F3768" s="1"/>
      <c r="G3768" s="1"/>
      <c r="H3768" s="1"/>
    </row>
    <row r="3769" spans="1:8" ht="13.2" x14ac:dyDescent="0.25">
      <c r="A3769" s="1"/>
      <c r="B3769" s="1"/>
      <c r="C3769" s="1"/>
      <c r="D3769" s="1"/>
      <c r="E3769" s="1"/>
      <c r="F3769" s="1"/>
      <c r="G3769" s="1"/>
      <c r="H3769" s="1"/>
    </row>
    <row r="3770" spans="1:8" ht="13.2" x14ac:dyDescent="0.25">
      <c r="A3770" s="1"/>
      <c r="B3770" s="1"/>
      <c r="C3770" s="1"/>
      <c r="D3770" s="1"/>
      <c r="E3770" s="1"/>
      <c r="F3770" s="1"/>
      <c r="G3770" s="1"/>
      <c r="H3770" s="1"/>
    </row>
    <row r="3771" spans="1:8" ht="13.2" x14ac:dyDescent="0.25">
      <c r="A3771" s="1"/>
      <c r="B3771" s="1"/>
      <c r="C3771" s="1"/>
      <c r="D3771" s="1"/>
      <c r="E3771" s="1"/>
      <c r="F3771" s="1"/>
      <c r="G3771" s="1"/>
      <c r="H3771" s="1"/>
    </row>
    <row r="3772" spans="1:8" ht="13.2" x14ac:dyDescent="0.25">
      <c r="A3772" s="1"/>
      <c r="B3772" s="1"/>
      <c r="C3772" s="1"/>
      <c r="D3772" s="1"/>
      <c r="E3772" s="1"/>
      <c r="F3772" s="1"/>
      <c r="G3772" s="1"/>
      <c r="H3772" s="1"/>
    </row>
    <row r="3773" spans="1:8" ht="13.2" x14ac:dyDescent="0.25">
      <c r="A3773" s="1"/>
      <c r="B3773" s="1"/>
      <c r="C3773" s="1"/>
      <c r="D3773" s="1"/>
      <c r="E3773" s="1"/>
      <c r="F3773" s="1"/>
      <c r="G3773" s="1"/>
      <c r="H3773" s="1"/>
    </row>
    <row r="3774" spans="1:8" ht="13.2" x14ac:dyDescent="0.25">
      <c r="A3774" s="1"/>
      <c r="B3774" s="1"/>
      <c r="C3774" s="1"/>
      <c r="D3774" s="1"/>
      <c r="E3774" s="1"/>
      <c r="F3774" s="1"/>
      <c r="G3774" s="1"/>
      <c r="H3774" s="1"/>
    </row>
    <row r="3775" spans="1:8" ht="13.2" x14ac:dyDescent="0.25">
      <c r="A3775" s="1"/>
      <c r="B3775" s="1"/>
      <c r="C3775" s="1"/>
      <c r="D3775" s="1"/>
      <c r="E3775" s="1"/>
      <c r="F3775" s="1"/>
      <c r="G3775" s="1"/>
      <c r="H3775" s="1"/>
    </row>
    <row r="3776" spans="1:8" ht="13.2" x14ac:dyDescent="0.25">
      <c r="A3776" s="1"/>
      <c r="B3776" s="1"/>
      <c r="C3776" s="1"/>
      <c r="D3776" s="1"/>
      <c r="E3776" s="1"/>
      <c r="F3776" s="1"/>
      <c r="G3776" s="1"/>
      <c r="H3776" s="1"/>
    </row>
    <row r="3777" spans="1:8" ht="13.2" x14ac:dyDescent="0.25">
      <c r="A3777" s="1"/>
      <c r="B3777" s="1"/>
      <c r="C3777" s="1"/>
      <c r="D3777" s="1"/>
      <c r="E3777" s="1"/>
      <c r="F3777" s="1"/>
      <c r="G3777" s="3"/>
      <c r="H3777" s="1"/>
    </row>
    <row r="3778" spans="1:8" ht="13.2" x14ac:dyDescent="0.25">
      <c r="A3778" s="1"/>
      <c r="B3778" s="1"/>
      <c r="C3778" s="1"/>
      <c r="D3778" s="1"/>
      <c r="E3778" s="1"/>
      <c r="F3778" s="1"/>
      <c r="G3778" s="1"/>
      <c r="H3778" s="1"/>
    </row>
    <row r="3779" spans="1:8" ht="13.2" x14ac:dyDescent="0.25">
      <c r="A3779" s="1"/>
      <c r="B3779" s="1"/>
      <c r="C3779" s="1"/>
      <c r="D3779" s="1"/>
      <c r="E3779" s="1"/>
      <c r="F3779" s="1"/>
      <c r="G3779" s="1"/>
      <c r="H3779" s="1"/>
    </row>
    <row r="3780" spans="1:8" ht="13.2" x14ac:dyDescent="0.25">
      <c r="A3780" s="1"/>
      <c r="B3780" s="1"/>
      <c r="C3780" s="1"/>
      <c r="D3780" s="1"/>
      <c r="E3780" s="1"/>
      <c r="F3780" s="1"/>
      <c r="G3780" s="1"/>
      <c r="H3780" s="1"/>
    </row>
    <row r="3781" spans="1:8" ht="13.2" x14ac:dyDescent="0.25">
      <c r="A3781" s="1"/>
      <c r="B3781" s="1"/>
      <c r="C3781" s="1"/>
      <c r="D3781" s="1"/>
      <c r="E3781" s="1"/>
      <c r="F3781" s="1"/>
      <c r="G3781" s="1"/>
      <c r="H3781" s="1"/>
    </row>
    <row r="3782" spans="1:8" ht="13.2" x14ac:dyDescent="0.25">
      <c r="A3782" s="1"/>
      <c r="B3782" s="1"/>
      <c r="C3782" s="1"/>
      <c r="D3782" s="1"/>
      <c r="E3782" s="1"/>
      <c r="F3782" s="1"/>
      <c r="G3782" s="1"/>
      <c r="H3782" s="1"/>
    </row>
    <row r="3783" spans="1:8" ht="13.2" x14ac:dyDescent="0.25">
      <c r="A3783" s="1"/>
      <c r="B3783" s="1"/>
      <c r="C3783" s="1"/>
      <c r="D3783" s="1"/>
      <c r="E3783" s="1"/>
      <c r="F3783" s="1"/>
      <c r="G3783" s="1"/>
      <c r="H3783" s="1"/>
    </row>
    <row r="3784" spans="1:8" ht="13.2" x14ac:dyDescent="0.25">
      <c r="A3784" s="1"/>
      <c r="B3784" s="1"/>
      <c r="C3784" s="1"/>
      <c r="D3784" s="1"/>
      <c r="E3784" s="1"/>
      <c r="F3784" s="1"/>
      <c r="G3784" s="1"/>
      <c r="H3784" s="1"/>
    </row>
    <row r="3785" spans="1:8" ht="13.2" x14ac:dyDescent="0.25">
      <c r="A3785" s="1"/>
      <c r="B3785" s="1"/>
      <c r="C3785" s="1"/>
      <c r="D3785" s="1"/>
      <c r="E3785" s="1"/>
      <c r="F3785" s="1"/>
      <c r="G3785" s="1"/>
      <c r="H3785" s="1"/>
    </row>
    <row r="3786" spans="1:8" ht="13.2" x14ac:dyDescent="0.25">
      <c r="A3786" s="1"/>
      <c r="B3786" s="1"/>
      <c r="C3786" s="1"/>
      <c r="D3786" s="1"/>
      <c r="E3786" s="1"/>
      <c r="F3786" s="1"/>
      <c r="G3786" s="1"/>
      <c r="H3786" s="1"/>
    </row>
    <row r="3787" spans="1:8" ht="13.2" x14ac:dyDescent="0.25">
      <c r="A3787" s="1"/>
      <c r="B3787" s="1"/>
      <c r="C3787" s="1"/>
      <c r="D3787" s="1"/>
      <c r="E3787" s="1"/>
      <c r="F3787" s="1"/>
      <c r="G3787" s="1"/>
      <c r="H3787" s="1"/>
    </row>
    <row r="3788" spans="1:8" ht="13.2" x14ac:dyDescent="0.25">
      <c r="A3788" s="1"/>
      <c r="B3788" s="1"/>
      <c r="C3788" s="1"/>
      <c r="D3788" s="1"/>
      <c r="E3788" s="1"/>
      <c r="F3788" s="1"/>
      <c r="G3788" s="1"/>
      <c r="H3788" s="1"/>
    </row>
    <row r="3789" spans="1:8" ht="13.2" x14ac:dyDescent="0.25">
      <c r="A3789" s="1"/>
      <c r="B3789" s="1"/>
      <c r="C3789" s="1"/>
      <c r="D3789" s="1"/>
      <c r="E3789" s="1"/>
      <c r="F3789" s="1"/>
      <c r="G3789" s="1"/>
      <c r="H3789" s="1"/>
    </row>
    <row r="3790" spans="1:8" ht="13.2" x14ac:dyDescent="0.25">
      <c r="A3790" s="1"/>
      <c r="B3790" s="1"/>
      <c r="C3790" s="1"/>
      <c r="D3790" s="1"/>
      <c r="E3790" s="1"/>
      <c r="F3790" s="1"/>
      <c r="G3790" s="3"/>
      <c r="H3790" s="1"/>
    </row>
    <row r="3791" spans="1:8" ht="13.2" x14ac:dyDescent="0.25">
      <c r="A3791" s="1"/>
      <c r="B3791" s="1"/>
      <c r="C3791" s="1"/>
      <c r="D3791" s="1"/>
      <c r="E3791" s="1"/>
      <c r="F3791" s="1"/>
      <c r="G3791" s="3"/>
      <c r="H3791" s="1"/>
    </row>
    <row r="3792" spans="1:8" ht="13.2" x14ac:dyDescent="0.25">
      <c r="A3792" s="1"/>
      <c r="B3792" s="1"/>
      <c r="C3792" s="1"/>
      <c r="D3792" s="1"/>
      <c r="E3792" s="1"/>
      <c r="F3792" s="1"/>
      <c r="G3792" s="3"/>
      <c r="H3792" s="1"/>
    </row>
    <row r="3793" spans="1:8" ht="13.2" x14ac:dyDescent="0.25">
      <c r="A3793" s="1"/>
      <c r="B3793" s="1"/>
      <c r="C3793" s="1"/>
      <c r="D3793" s="1"/>
      <c r="E3793" s="1"/>
      <c r="F3793" s="1"/>
      <c r="G3793" s="1"/>
      <c r="H3793" s="1"/>
    </row>
    <row r="3794" spans="1:8" ht="13.2" x14ac:dyDescent="0.25">
      <c r="A3794" s="1"/>
      <c r="B3794" s="1"/>
      <c r="C3794" s="1"/>
      <c r="D3794" s="1"/>
      <c r="E3794" s="1"/>
      <c r="F3794" s="1"/>
      <c r="G3794" s="1"/>
      <c r="H3794" s="1"/>
    </row>
    <row r="3795" spans="1:8" ht="13.2" x14ac:dyDescent="0.25">
      <c r="A3795" s="1"/>
      <c r="B3795" s="1"/>
      <c r="C3795" s="1"/>
      <c r="D3795" s="1"/>
      <c r="E3795" s="1"/>
      <c r="F3795" s="1"/>
      <c r="G3795" s="1"/>
      <c r="H3795" s="1"/>
    </row>
    <row r="3796" spans="1:8" ht="13.2" x14ac:dyDescent="0.25">
      <c r="A3796" s="1"/>
      <c r="B3796" s="1"/>
      <c r="C3796" s="1"/>
      <c r="D3796" s="1"/>
      <c r="E3796" s="1"/>
      <c r="F3796" s="1"/>
      <c r="G3796" s="1"/>
      <c r="H3796" s="1"/>
    </row>
    <row r="3797" spans="1:8" ht="13.2" x14ac:dyDescent="0.25">
      <c r="A3797" s="1"/>
      <c r="B3797" s="1"/>
      <c r="C3797" s="1"/>
      <c r="D3797" s="1"/>
      <c r="E3797" s="1"/>
      <c r="F3797" s="1"/>
      <c r="G3797" s="1"/>
      <c r="H3797" s="1"/>
    </row>
    <row r="3798" spans="1:8" ht="13.2" x14ac:dyDescent="0.25">
      <c r="A3798" s="1"/>
      <c r="B3798" s="1"/>
      <c r="C3798" s="1"/>
      <c r="D3798" s="1"/>
      <c r="E3798" s="1"/>
      <c r="F3798" s="1"/>
      <c r="G3798" s="1"/>
      <c r="H3798" s="1"/>
    </row>
    <row r="3799" spans="1:8" ht="13.2" x14ac:dyDescent="0.25">
      <c r="A3799" s="1"/>
      <c r="B3799" s="1"/>
      <c r="C3799" s="1"/>
      <c r="D3799" s="1"/>
      <c r="E3799" s="1"/>
      <c r="F3799" s="1"/>
      <c r="G3799" s="1"/>
      <c r="H3799" s="1"/>
    </row>
    <row r="3800" spans="1:8" ht="13.2" x14ac:dyDescent="0.25">
      <c r="A3800" s="1"/>
      <c r="B3800" s="1"/>
      <c r="C3800" s="1"/>
      <c r="D3800" s="1"/>
      <c r="E3800" s="1"/>
      <c r="F3800" s="1"/>
      <c r="G3800" s="1"/>
      <c r="H3800" s="1"/>
    </row>
    <row r="3801" spans="1:8" ht="13.2" x14ac:dyDescent="0.25">
      <c r="A3801" s="1"/>
      <c r="B3801" s="1"/>
      <c r="C3801" s="1"/>
      <c r="D3801" s="1"/>
      <c r="E3801" s="1"/>
      <c r="F3801" s="1"/>
      <c r="G3801" s="1"/>
      <c r="H3801" s="1"/>
    </row>
    <row r="3802" spans="1:8" ht="13.2" x14ac:dyDescent="0.25">
      <c r="A3802" s="1"/>
      <c r="B3802" s="1"/>
      <c r="C3802" s="1"/>
      <c r="D3802" s="1"/>
      <c r="E3802" s="1"/>
      <c r="F3802" s="1"/>
      <c r="G3802" s="1"/>
      <c r="H3802" s="1"/>
    </row>
    <row r="3803" spans="1:8" ht="13.2" x14ac:dyDescent="0.25">
      <c r="A3803" s="1"/>
      <c r="B3803" s="1"/>
      <c r="C3803" s="1"/>
      <c r="D3803" s="1"/>
      <c r="E3803" s="1"/>
      <c r="F3803" s="1"/>
      <c r="G3803" s="1"/>
      <c r="H3803" s="1"/>
    </row>
    <row r="3804" spans="1:8" ht="13.2" x14ac:dyDescent="0.25">
      <c r="A3804" s="1"/>
      <c r="B3804" s="1"/>
      <c r="C3804" s="1"/>
      <c r="D3804" s="1"/>
      <c r="E3804" s="1"/>
      <c r="F3804" s="1"/>
      <c r="G3804" s="1"/>
      <c r="H3804" s="1"/>
    </row>
    <row r="3805" spans="1:8" ht="13.2" x14ac:dyDescent="0.25">
      <c r="A3805" s="1"/>
      <c r="B3805" s="1"/>
      <c r="C3805" s="1"/>
      <c r="D3805" s="1"/>
      <c r="E3805" s="1"/>
      <c r="F3805" s="1"/>
      <c r="G3805" s="1"/>
      <c r="H3805" s="1"/>
    </row>
    <row r="3806" spans="1:8" ht="13.2" x14ac:dyDescent="0.25">
      <c r="A3806" s="1"/>
      <c r="B3806" s="1"/>
      <c r="C3806" s="1"/>
      <c r="D3806" s="1"/>
      <c r="E3806" s="1"/>
      <c r="F3806" s="1"/>
      <c r="G3806" s="1"/>
      <c r="H3806" s="1"/>
    </row>
    <row r="3807" spans="1:8" ht="13.2" x14ac:dyDescent="0.25">
      <c r="A3807" s="1"/>
      <c r="B3807" s="1"/>
      <c r="C3807" s="1"/>
      <c r="D3807" s="1"/>
      <c r="E3807" s="1"/>
      <c r="F3807" s="1"/>
      <c r="G3807" s="1"/>
      <c r="H3807" s="1"/>
    </row>
    <row r="3808" spans="1:8" ht="13.2" x14ac:dyDescent="0.25">
      <c r="A3808" s="1"/>
      <c r="B3808" s="1"/>
      <c r="C3808" s="1"/>
      <c r="D3808" s="1"/>
      <c r="E3808" s="1"/>
      <c r="F3808" s="1"/>
      <c r="G3808" s="1"/>
      <c r="H3808" s="1"/>
    </row>
    <row r="3809" spans="1:8" ht="13.2" x14ac:dyDescent="0.25">
      <c r="A3809" s="1"/>
      <c r="B3809" s="1"/>
      <c r="C3809" s="1"/>
      <c r="D3809" s="1"/>
      <c r="E3809" s="1"/>
      <c r="F3809" s="1"/>
      <c r="G3809" s="1"/>
      <c r="H3809" s="1"/>
    </row>
    <row r="3810" spans="1:8" ht="13.2" x14ac:dyDescent="0.25">
      <c r="A3810" s="1"/>
      <c r="B3810" s="1"/>
      <c r="C3810" s="1"/>
      <c r="D3810" s="1"/>
      <c r="E3810" s="1"/>
      <c r="F3810" s="1"/>
      <c r="G3810" s="1"/>
      <c r="H3810" s="1"/>
    </row>
    <row r="3811" spans="1:8" ht="13.2" x14ac:dyDescent="0.25">
      <c r="A3811" s="1"/>
      <c r="B3811" s="1"/>
      <c r="C3811" s="1"/>
      <c r="D3811" s="1"/>
      <c r="E3811" s="1"/>
      <c r="F3811" s="1"/>
      <c r="G3811" s="1"/>
      <c r="H3811" s="1"/>
    </row>
    <row r="3812" spans="1:8" ht="13.2" x14ac:dyDescent="0.25">
      <c r="A3812" s="1"/>
      <c r="B3812" s="1"/>
      <c r="C3812" s="1"/>
      <c r="D3812" s="1"/>
      <c r="E3812" s="1"/>
      <c r="F3812" s="1"/>
      <c r="G3812" s="1"/>
      <c r="H3812" s="1"/>
    </row>
    <row r="3813" spans="1:8" ht="13.2" x14ac:dyDescent="0.25">
      <c r="A3813" s="1"/>
      <c r="B3813" s="1"/>
      <c r="C3813" s="1"/>
      <c r="D3813" s="1"/>
      <c r="E3813" s="1"/>
      <c r="F3813" s="1"/>
      <c r="G3813" s="1"/>
      <c r="H3813" s="1"/>
    </row>
    <row r="3814" spans="1:8" ht="13.2" x14ac:dyDescent="0.25">
      <c r="A3814" s="1"/>
      <c r="B3814" s="1"/>
      <c r="C3814" s="1"/>
      <c r="D3814" s="1"/>
      <c r="E3814" s="1"/>
      <c r="F3814" s="1"/>
      <c r="G3814" s="1"/>
      <c r="H3814" s="1"/>
    </row>
    <row r="3815" spans="1:8" ht="13.2" x14ac:dyDescent="0.25">
      <c r="A3815" s="1"/>
      <c r="B3815" s="1"/>
      <c r="C3815" s="1"/>
      <c r="D3815" s="1"/>
      <c r="E3815" s="1"/>
      <c r="F3815" s="1"/>
      <c r="G3815" s="1"/>
      <c r="H3815" s="1"/>
    </row>
    <row r="3816" spans="1:8" ht="13.2" x14ac:dyDescent="0.25">
      <c r="A3816" s="1"/>
      <c r="B3816" s="1"/>
      <c r="C3816" s="1"/>
      <c r="D3816" s="1"/>
      <c r="E3816" s="1"/>
      <c r="F3816" s="1"/>
      <c r="G3816" s="1"/>
      <c r="H3816" s="1"/>
    </row>
    <row r="3817" spans="1:8" ht="13.2" x14ac:dyDescent="0.25">
      <c r="A3817" s="1"/>
      <c r="B3817" s="1"/>
      <c r="C3817" s="1"/>
      <c r="D3817" s="1"/>
      <c r="E3817" s="1"/>
      <c r="F3817" s="1"/>
      <c r="G3817" s="1"/>
      <c r="H3817" s="1"/>
    </row>
    <row r="3818" spans="1:8" ht="13.2" x14ac:dyDescent="0.25">
      <c r="A3818" s="1"/>
      <c r="B3818" s="1"/>
      <c r="C3818" s="1"/>
      <c r="D3818" s="1"/>
      <c r="E3818" s="1"/>
      <c r="F3818" s="1"/>
      <c r="G3818" s="1"/>
      <c r="H3818" s="1"/>
    </row>
    <row r="3819" spans="1:8" ht="13.2" x14ac:dyDescent="0.25">
      <c r="A3819" s="1"/>
      <c r="B3819" s="1"/>
      <c r="C3819" s="1"/>
      <c r="D3819" s="1"/>
      <c r="E3819" s="1"/>
      <c r="F3819" s="1"/>
      <c r="G3819" s="1"/>
      <c r="H3819" s="1"/>
    </row>
    <row r="3820" spans="1:8" ht="13.2" x14ac:dyDescent="0.25">
      <c r="A3820" s="1"/>
      <c r="B3820" s="1"/>
      <c r="C3820" s="1"/>
      <c r="D3820" s="1"/>
      <c r="E3820" s="1"/>
      <c r="F3820" s="1"/>
      <c r="G3820" s="1"/>
      <c r="H3820" s="1"/>
    </row>
    <row r="3821" spans="1:8" ht="13.2" x14ac:dyDescent="0.25">
      <c r="A3821" s="1"/>
      <c r="B3821" s="1"/>
      <c r="C3821" s="1"/>
      <c r="D3821" s="1"/>
      <c r="E3821" s="1"/>
      <c r="F3821" s="1"/>
      <c r="G3821" s="1"/>
      <c r="H3821" s="1"/>
    </row>
    <row r="3822" spans="1:8" ht="13.2" x14ac:dyDescent="0.25">
      <c r="A3822" s="1"/>
      <c r="B3822" s="1"/>
      <c r="C3822" s="1"/>
      <c r="D3822" s="1"/>
      <c r="E3822" s="1"/>
      <c r="F3822" s="1"/>
      <c r="G3822" s="1"/>
      <c r="H3822" s="1"/>
    </row>
    <row r="3823" spans="1:8" ht="13.2" x14ac:dyDescent="0.25">
      <c r="A3823" s="1"/>
      <c r="B3823" s="1"/>
      <c r="C3823" s="1"/>
      <c r="D3823" s="1"/>
      <c r="E3823" s="1"/>
      <c r="F3823" s="1"/>
      <c r="G3823" s="1"/>
      <c r="H3823" s="1"/>
    </row>
    <row r="3824" spans="1:8" ht="13.2" x14ac:dyDescent="0.25">
      <c r="A3824" s="1"/>
      <c r="B3824" s="1"/>
      <c r="C3824" s="1"/>
      <c r="D3824" s="1"/>
      <c r="E3824" s="1"/>
      <c r="F3824" s="1"/>
      <c r="G3824" s="1"/>
      <c r="H3824" s="1"/>
    </row>
    <row r="3825" spans="1:8" ht="13.2" x14ac:dyDescent="0.25">
      <c r="A3825" s="1"/>
      <c r="B3825" s="1"/>
      <c r="C3825" s="1"/>
      <c r="D3825" s="1"/>
      <c r="E3825" s="1"/>
      <c r="F3825" s="1"/>
      <c r="G3825" s="1"/>
      <c r="H3825" s="1"/>
    </row>
    <row r="3826" spans="1:8" ht="13.2" x14ac:dyDescent="0.25">
      <c r="A3826" s="1"/>
      <c r="B3826" s="1"/>
      <c r="C3826" s="1"/>
      <c r="D3826" s="1"/>
      <c r="E3826" s="1"/>
      <c r="F3826" s="1"/>
      <c r="G3826" s="3"/>
      <c r="H3826" s="1"/>
    </row>
    <row r="3827" spans="1:8" ht="13.2" x14ac:dyDescent="0.25">
      <c r="A3827" s="1"/>
      <c r="B3827" s="1"/>
      <c r="C3827" s="1"/>
      <c r="D3827" s="1"/>
      <c r="E3827" s="1"/>
      <c r="F3827" s="1"/>
      <c r="G3827" s="1"/>
      <c r="H3827" s="1"/>
    </row>
    <row r="3828" spans="1:8" ht="13.2" x14ac:dyDescent="0.25">
      <c r="A3828" s="1"/>
      <c r="B3828" s="1"/>
      <c r="C3828" s="1"/>
      <c r="D3828" s="1"/>
      <c r="E3828" s="1"/>
      <c r="F3828" s="1"/>
      <c r="G3828" s="1"/>
      <c r="H3828" s="1"/>
    </row>
    <row r="3829" spans="1:8" ht="13.2" x14ac:dyDescent="0.25">
      <c r="A3829" s="1"/>
      <c r="B3829" s="1"/>
      <c r="C3829" s="1"/>
      <c r="D3829" s="1"/>
      <c r="E3829" s="1"/>
      <c r="F3829" s="1"/>
      <c r="G3829" s="1"/>
      <c r="H3829" s="1"/>
    </row>
    <row r="3830" spans="1:8" ht="13.2" x14ac:dyDescent="0.25">
      <c r="A3830" s="1"/>
      <c r="B3830" s="1"/>
      <c r="C3830" s="1"/>
      <c r="D3830" s="1"/>
      <c r="E3830" s="1"/>
      <c r="F3830" s="1"/>
      <c r="G3830" s="1"/>
      <c r="H3830" s="1"/>
    </row>
    <row r="3831" spans="1:8" ht="13.2" x14ac:dyDescent="0.25">
      <c r="A3831" s="1"/>
      <c r="B3831" s="1"/>
      <c r="C3831" s="1"/>
      <c r="D3831" s="1"/>
      <c r="E3831" s="1"/>
      <c r="F3831" s="1"/>
      <c r="G3831" s="1"/>
      <c r="H3831" s="1"/>
    </row>
    <row r="3832" spans="1:8" ht="13.2" x14ac:dyDescent="0.25">
      <c r="A3832" s="1"/>
      <c r="B3832" s="1"/>
      <c r="C3832" s="1"/>
      <c r="D3832" s="1"/>
      <c r="E3832" s="1"/>
      <c r="F3832" s="1"/>
      <c r="G3832" s="1"/>
      <c r="H3832" s="1"/>
    </row>
    <row r="3833" spans="1:8" ht="13.2" x14ac:dyDescent="0.25">
      <c r="A3833" s="1"/>
      <c r="B3833" s="1"/>
      <c r="C3833" s="1"/>
      <c r="D3833" s="1"/>
      <c r="E3833" s="1"/>
      <c r="F3833" s="1"/>
      <c r="G3833" s="1"/>
      <c r="H3833" s="1"/>
    </row>
    <row r="3834" spans="1:8" ht="13.2" x14ac:dyDescent="0.25">
      <c r="A3834" s="1"/>
      <c r="B3834" s="1"/>
      <c r="C3834" s="1"/>
      <c r="D3834" s="1"/>
      <c r="E3834" s="1"/>
      <c r="F3834" s="1"/>
      <c r="G3834" s="1"/>
      <c r="H3834" s="1"/>
    </row>
    <row r="3835" spans="1:8" ht="13.2" x14ac:dyDescent="0.25">
      <c r="A3835" s="1"/>
      <c r="B3835" s="1"/>
      <c r="C3835" s="1"/>
      <c r="D3835" s="1"/>
      <c r="E3835" s="1"/>
      <c r="F3835" s="1"/>
      <c r="G3835" s="1"/>
      <c r="H3835" s="1"/>
    </row>
    <row r="3836" spans="1:8" ht="13.2" x14ac:dyDescent="0.25">
      <c r="A3836" s="1"/>
      <c r="B3836" s="1"/>
      <c r="C3836" s="1"/>
      <c r="D3836" s="1"/>
      <c r="E3836" s="1"/>
      <c r="F3836" s="1"/>
      <c r="G3836" s="1"/>
      <c r="H3836" s="1"/>
    </row>
    <row r="3837" spans="1:8" ht="13.2" x14ac:dyDescent="0.25">
      <c r="A3837" s="1"/>
      <c r="B3837" s="1"/>
      <c r="C3837" s="1"/>
      <c r="D3837" s="1"/>
      <c r="E3837" s="1"/>
      <c r="F3837" s="1"/>
      <c r="G3837" s="1"/>
      <c r="H3837" s="1"/>
    </row>
    <row r="3838" spans="1:8" ht="13.2" x14ac:dyDescent="0.25">
      <c r="A3838" s="1"/>
      <c r="B3838" s="1"/>
      <c r="C3838" s="1"/>
      <c r="D3838" s="1"/>
      <c r="E3838" s="1"/>
      <c r="F3838" s="1"/>
      <c r="G3838" s="1"/>
      <c r="H3838" s="1"/>
    </row>
    <row r="3839" spans="1:8" ht="13.2" x14ac:dyDescent="0.25">
      <c r="A3839" s="1"/>
      <c r="B3839" s="1"/>
      <c r="C3839" s="1"/>
      <c r="D3839" s="1"/>
      <c r="E3839" s="1"/>
      <c r="F3839" s="1"/>
      <c r="G3839" s="1"/>
      <c r="H3839" s="1"/>
    </row>
    <row r="3840" spans="1:8" ht="13.2" x14ac:dyDescent="0.25">
      <c r="A3840" s="1"/>
      <c r="B3840" s="1"/>
      <c r="C3840" s="1"/>
      <c r="D3840" s="1"/>
      <c r="E3840" s="1"/>
      <c r="F3840" s="1"/>
      <c r="G3840" s="1"/>
      <c r="H3840" s="1"/>
    </row>
    <row r="3841" spans="1:8" ht="13.2" x14ac:dyDescent="0.25">
      <c r="A3841" s="1"/>
      <c r="B3841" s="1"/>
      <c r="C3841" s="1"/>
      <c r="D3841" s="1"/>
      <c r="E3841" s="1"/>
      <c r="F3841" s="1"/>
      <c r="G3841" s="1"/>
      <c r="H3841" s="1"/>
    </row>
    <row r="3842" spans="1:8" ht="13.2" x14ac:dyDescent="0.25">
      <c r="A3842" s="1"/>
      <c r="B3842" s="1"/>
      <c r="C3842" s="1"/>
      <c r="D3842" s="1"/>
      <c r="E3842" s="1"/>
      <c r="F3842" s="1"/>
      <c r="G3842" s="1"/>
      <c r="H3842" s="1"/>
    </row>
    <row r="3843" spans="1:8" ht="13.2" x14ac:dyDescent="0.25">
      <c r="A3843" s="1"/>
      <c r="B3843" s="1"/>
      <c r="C3843" s="1"/>
      <c r="D3843" s="1"/>
      <c r="E3843" s="1"/>
      <c r="F3843" s="1"/>
      <c r="G3843" s="1"/>
      <c r="H3843" s="1"/>
    </row>
    <row r="3844" spans="1:8" ht="13.2" x14ac:dyDescent="0.25">
      <c r="A3844" s="1"/>
      <c r="B3844" s="1"/>
      <c r="C3844" s="1"/>
      <c r="D3844" s="1"/>
      <c r="E3844" s="1"/>
      <c r="F3844" s="1"/>
      <c r="G3844" s="3"/>
      <c r="H3844" s="1"/>
    </row>
    <row r="3845" spans="1:8" ht="13.2" x14ac:dyDescent="0.25">
      <c r="A3845" s="1"/>
      <c r="B3845" s="1"/>
      <c r="C3845" s="1"/>
      <c r="D3845" s="1"/>
      <c r="E3845" s="1"/>
      <c r="F3845" s="1"/>
      <c r="G3845" s="1"/>
      <c r="H3845" s="1"/>
    </row>
    <row r="3846" spans="1:8" ht="13.2" x14ac:dyDescent="0.25">
      <c r="A3846" s="1"/>
      <c r="B3846" s="1"/>
      <c r="C3846" s="1"/>
      <c r="D3846" s="1"/>
      <c r="E3846" s="1"/>
      <c r="F3846" s="1"/>
      <c r="G3846" s="1"/>
      <c r="H3846" s="1"/>
    </row>
    <row r="3847" spans="1:8" ht="13.2" x14ac:dyDescent="0.25">
      <c r="A3847" s="1"/>
      <c r="B3847" s="1"/>
      <c r="C3847" s="1"/>
      <c r="D3847" s="1"/>
      <c r="E3847" s="1"/>
      <c r="F3847" s="1"/>
      <c r="G3847" s="1"/>
      <c r="H3847" s="1"/>
    </row>
    <row r="3848" spans="1:8" ht="13.2" x14ac:dyDescent="0.25">
      <c r="A3848" s="1"/>
      <c r="B3848" s="1"/>
      <c r="C3848" s="1"/>
      <c r="D3848" s="1"/>
      <c r="E3848" s="1"/>
      <c r="F3848" s="1"/>
      <c r="G3848" s="1"/>
      <c r="H3848" s="1"/>
    </row>
    <row r="3849" spans="1:8" ht="13.2" x14ac:dyDescent="0.25">
      <c r="A3849" s="1"/>
      <c r="B3849" s="1"/>
      <c r="C3849" s="1"/>
      <c r="D3849" s="1"/>
      <c r="E3849" s="1"/>
      <c r="F3849" s="1"/>
      <c r="G3849" s="1"/>
      <c r="H3849" s="1"/>
    </row>
    <row r="3850" spans="1:8" ht="13.2" x14ac:dyDescent="0.25">
      <c r="A3850" s="1"/>
      <c r="B3850" s="1"/>
      <c r="C3850" s="1"/>
      <c r="D3850" s="1"/>
      <c r="E3850" s="1"/>
      <c r="F3850" s="1"/>
      <c r="G3850" s="1"/>
      <c r="H3850" s="1"/>
    </row>
    <row r="3851" spans="1:8" ht="13.2" x14ac:dyDescent="0.25">
      <c r="A3851" s="1"/>
      <c r="B3851" s="1"/>
      <c r="C3851" s="1"/>
      <c r="D3851" s="1"/>
      <c r="E3851" s="1"/>
      <c r="F3851" s="1"/>
      <c r="G3851" s="1"/>
      <c r="H3851" s="1"/>
    </row>
    <row r="3852" spans="1:8" ht="13.2" x14ac:dyDescent="0.25">
      <c r="A3852" s="1"/>
      <c r="B3852" s="1"/>
      <c r="C3852" s="1"/>
      <c r="D3852" s="1"/>
      <c r="E3852" s="1"/>
      <c r="F3852" s="1"/>
      <c r="G3852" s="1"/>
      <c r="H3852" s="1"/>
    </row>
    <row r="3853" spans="1:8" ht="13.2" x14ac:dyDescent="0.25">
      <c r="A3853" s="1"/>
      <c r="B3853" s="1"/>
      <c r="C3853" s="1"/>
      <c r="D3853" s="1"/>
      <c r="E3853" s="1"/>
      <c r="F3853" s="1"/>
      <c r="G3853" s="1"/>
      <c r="H3853" s="1"/>
    </row>
    <row r="3854" spans="1:8" ht="13.2" x14ac:dyDescent="0.25">
      <c r="A3854" s="1"/>
      <c r="B3854" s="1"/>
      <c r="C3854" s="1"/>
      <c r="D3854" s="1"/>
      <c r="E3854" s="1"/>
      <c r="F3854" s="1"/>
      <c r="G3854" s="1"/>
      <c r="H3854" s="1"/>
    </row>
    <row r="3855" spans="1:8" ht="13.2" x14ac:dyDescent="0.25">
      <c r="A3855" s="1"/>
      <c r="B3855" s="1"/>
      <c r="C3855" s="1"/>
      <c r="D3855" s="1"/>
      <c r="E3855" s="1"/>
      <c r="F3855" s="1"/>
      <c r="G3855" s="1"/>
      <c r="H3855" s="1"/>
    </row>
    <row r="3856" spans="1:8" ht="13.2" x14ac:dyDescent="0.25">
      <c r="A3856" s="1"/>
      <c r="B3856" s="1"/>
      <c r="C3856" s="1"/>
      <c r="D3856" s="1"/>
      <c r="E3856" s="1"/>
      <c r="F3856" s="1"/>
      <c r="G3856" s="1"/>
      <c r="H3856" s="1"/>
    </row>
    <row r="3857" spans="1:8" ht="13.2" x14ac:dyDescent="0.25">
      <c r="A3857" s="1"/>
      <c r="B3857" s="1"/>
      <c r="C3857" s="1"/>
      <c r="D3857" s="1"/>
      <c r="E3857" s="1"/>
      <c r="F3857" s="1"/>
      <c r="G3857" s="1"/>
      <c r="H3857" s="1"/>
    </row>
    <row r="3858" spans="1:8" ht="13.2" x14ac:dyDescent="0.25">
      <c r="A3858" s="1"/>
      <c r="B3858" s="1"/>
      <c r="C3858" s="1"/>
      <c r="D3858" s="1"/>
      <c r="E3858" s="1"/>
      <c r="F3858" s="1"/>
      <c r="G3858" s="1"/>
      <c r="H3858" s="1"/>
    </row>
    <row r="3859" spans="1:8" ht="13.2" x14ac:dyDescent="0.25">
      <c r="A3859" s="1"/>
      <c r="B3859" s="1"/>
      <c r="C3859" s="1"/>
      <c r="D3859" s="1"/>
      <c r="E3859" s="1"/>
      <c r="F3859" s="1"/>
      <c r="G3859" s="1"/>
      <c r="H3859" s="1"/>
    </row>
    <row r="3860" spans="1:8" ht="13.2" x14ac:dyDescent="0.25">
      <c r="A3860" s="1"/>
      <c r="B3860" s="1"/>
      <c r="C3860" s="1"/>
      <c r="D3860" s="1"/>
      <c r="E3860" s="1"/>
      <c r="F3860" s="1"/>
      <c r="G3860" s="1"/>
      <c r="H3860" s="1"/>
    </row>
    <row r="3861" spans="1:8" ht="13.2" x14ac:dyDescent="0.25">
      <c r="A3861" s="1"/>
      <c r="B3861" s="1"/>
      <c r="C3861" s="1"/>
      <c r="D3861" s="1"/>
      <c r="E3861" s="1"/>
      <c r="F3861" s="1"/>
      <c r="G3861" s="1"/>
      <c r="H3861" s="1"/>
    </row>
    <row r="3862" spans="1:8" ht="13.2" x14ac:dyDescent="0.25">
      <c r="A3862" s="1"/>
      <c r="B3862" s="1"/>
      <c r="C3862" s="1"/>
      <c r="D3862" s="1"/>
      <c r="E3862" s="1"/>
      <c r="F3862" s="1"/>
      <c r="G3862" s="1"/>
      <c r="H3862" s="1"/>
    </row>
    <row r="3863" spans="1:8" ht="13.2" x14ac:dyDescent="0.25">
      <c r="A3863" s="1"/>
      <c r="B3863" s="1"/>
      <c r="C3863" s="1"/>
      <c r="D3863" s="1"/>
      <c r="E3863" s="1"/>
      <c r="F3863" s="1"/>
      <c r="G3863" s="1"/>
      <c r="H3863" s="1"/>
    </row>
    <row r="3864" spans="1:8" ht="13.2" x14ac:dyDescent="0.25">
      <c r="A3864" s="1"/>
      <c r="B3864" s="1"/>
      <c r="C3864" s="1"/>
      <c r="D3864" s="1"/>
      <c r="E3864" s="1"/>
      <c r="F3864" s="1"/>
      <c r="G3864" s="1"/>
      <c r="H3864" s="1"/>
    </row>
    <row r="3865" spans="1:8" ht="13.2" x14ac:dyDescent="0.25">
      <c r="A3865" s="1"/>
      <c r="B3865" s="1"/>
      <c r="C3865" s="1"/>
      <c r="D3865" s="1"/>
      <c r="E3865" s="1"/>
      <c r="F3865" s="1"/>
      <c r="G3865" s="1"/>
      <c r="H3865" s="1"/>
    </row>
    <row r="3866" spans="1:8" ht="13.2" x14ac:dyDescent="0.25">
      <c r="A3866" s="1"/>
      <c r="B3866" s="1"/>
      <c r="C3866" s="1"/>
      <c r="D3866" s="1"/>
      <c r="E3866" s="1"/>
      <c r="F3866" s="1"/>
      <c r="G3866" s="1"/>
      <c r="H3866" s="1"/>
    </row>
    <row r="3867" spans="1:8" ht="13.2" x14ac:dyDescent="0.25">
      <c r="A3867" s="1"/>
      <c r="B3867" s="1"/>
      <c r="C3867" s="1"/>
      <c r="D3867" s="1"/>
      <c r="E3867" s="1"/>
      <c r="F3867" s="1"/>
      <c r="G3867" s="1"/>
      <c r="H3867" s="1"/>
    </row>
    <row r="3868" spans="1:8" ht="13.2" x14ac:dyDescent="0.25">
      <c r="A3868" s="1"/>
      <c r="B3868" s="1"/>
      <c r="C3868" s="1"/>
      <c r="D3868" s="1"/>
      <c r="E3868" s="1"/>
      <c r="F3868" s="1"/>
      <c r="G3868" s="1"/>
      <c r="H3868" s="1"/>
    </row>
    <row r="3869" spans="1:8" ht="13.2" x14ac:dyDescent="0.25">
      <c r="A3869" s="1"/>
      <c r="B3869" s="1"/>
      <c r="C3869" s="1"/>
      <c r="D3869" s="1"/>
      <c r="E3869" s="1"/>
      <c r="F3869" s="1"/>
      <c r="G3869" s="1"/>
      <c r="H3869" s="1"/>
    </row>
    <row r="3870" spans="1:8" ht="13.2" x14ac:dyDescent="0.25">
      <c r="A3870" s="1"/>
      <c r="B3870" s="1"/>
      <c r="C3870" s="1"/>
      <c r="D3870" s="1"/>
      <c r="E3870" s="1"/>
      <c r="F3870" s="1"/>
      <c r="G3870" s="1"/>
      <c r="H3870" s="1"/>
    </row>
    <row r="3871" spans="1:8" ht="13.2" x14ac:dyDescent="0.25">
      <c r="A3871" s="1"/>
      <c r="B3871" s="1"/>
      <c r="C3871" s="1"/>
      <c r="D3871" s="1"/>
      <c r="E3871" s="1"/>
      <c r="F3871" s="1"/>
      <c r="G3871" s="1"/>
      <c r="H3871" s="1"/>
    </row>
    <row r="3872" spans="1:8" ht="13.2" x14ac:dyDescent="0.25">
      <c r="A3872" s="1"/>
      <c r="B3872" s="1"/>
      <c r="C3872" s="1"/>
      <c r="D3872" s="1"/>
      <c r="E3872" s="1"/>
      <c r="F3872" s="1"/>
      <c r="G3872" s="1"/>
      <c r="H3872" s="1"/>
    </row>
    <row r="3873" spans="1:8" ht="13.2" x14ac:dyDescent="0.25">
      <c r="A3873" s="1"/>
      <c r="B3873" s="1"/>
      <c r="C3873" s="1"/>
      <c r="D3873" s="1"/>
      <c r="E3873" s="1"/>
      <c r="F3873" s="1"/>
      <c r="G3873" s="1"/>
      <c r="H3873" s="1"/>
    </row>
    <row r="3874" spans="1:8" ht="13.2" x14ac:dyDescent="0.25">
      <c r="A3874" s="1"/>
      <c r="B3874" s="1"/>
      <c r="C3874" s="1"/>
      <c r="D3874" s="1"/>
      <c r="E3874" s="1"/>
      <c r="F3874" s="1"/>
      <c r="G3874" s="1"/>
      <c r="H3874" s="1"/>
    </row>
    <row r="3875" spans="1:8" ht="13.2" x14ac:dyDescent="0.25">
      <c r="A3875" s="1"/>
      <c r="B3875" s="1"/>
      <c r="C3875" s="1"/>
      <c r="D3875" s="1"/>
      <c r="E3875" s="1"/>
      <c r="F3875" s="1"/>
      <c r="G3875" s="1"/>
      <c r="H3875" s="1"/>
    </row>
    <row r="3876" spans="1:8" ht="13.2" x14ac:dyDescent="0.25">
      <c r="A3876" s="1"/>
      <c r="B3876" s="1"/>
      <c r="C3876" s="1"/>
      <c r="D3876" s="1"/>
      <c r="E3876" s="1"/>
      <c r="F3876" s="1"/>
      <c r="G3876" s="1"/>
      <c r="H3876" s="1"/>
    </row>
    <row r="3877" spans="1:8" ht="13.2" x14ac:dyDescent="0.25">
      <c r="A3877" s="1"/>
      <c r="B3877" s="1"/>
      <c r="C3877" s="1"/>
      <c r="D3877" s="1"/>
      <c r="E3877" s="1"/>
      <c r="F3877" s="1"/>
      <c r="G3877" s="1"/>
      <c r="H3877" s="1"/>
    </row>
    <row r="3878" spans="1:8" ht="13.2" x14ac:dyDescent="0.25">
      <c r="A3878" s="1"/>
      <c r="B3878" s="1"/>
      <c r="C3878" s="1"/>
      <c r="D3878" s="1"/>
      <c r="E3878" s="1"/>
      <c r="F3878" s="1"/>
      <c r="G3878" s="1"/>
      <c r="H3878" s="1"/>
    </row>
    <row r="3879" spans="1:8" ht="13.2" x14ac:dyDescent="0.25">
      <c r="A3879" s="1"/>
      <c r="B3879" s="1"/>
      <c r="C3879" s="1"/>
      <c r="D3879" s="1"/>
      <c r="E3879" s="1"/>
      <c r="F3879" s="1"/>
      <c r="G3879" s="1"/>
      <c r="H3879" s="1"/>
    </row>
    <row r="3880" spans="1:8" ht="13.2" x14ac:dyDescent="0.25">
      <c r="A3880" s="1"/>
      <c r="B3880" s="1"/>
      <c r="C3880" s="1"/>
      <c r="D3880" s="1"/>
      <c r="E3880" s="1"/>
      <c r="F3880" s="1"/>
      <c r="G3880" s="1"/>
      <c r="H3880" s="1"/>
    </row>
    <row r="3881" spans="1:8" ht="13.2" x14ac:dyDescent="0.25">
      <c r="A3881" s="1"/>
      <c r="B3881" s="1"/>
      <c r="C3881" s="1"/>
      <c r="D3881" s="1"/>
      <c r="E3881" s="1"/>
      <c r="F3881" s="1"/>
      <c r="G3881" s="1"/>
      <c r="H3881" s="1"/>
    </row>
    <row r="3882" spans="1:8" ht="13.2" x14ac:dyDescent="0.25">
      <c r="A3882" s="1"/>
      <c r="B3882" s="1"/>
      <c r="C3882" s="1"/>
      <c r="D3882" s="1"/>
      <c r="E3882" s="1"/>
      <c r="F3882" s="1"/>
      <c r="G3882" s="1"/>
      <c r="H3882" s="1"/>
    </row>
    <row r="3883" spans="1:8" ht="13.2" x14ac:dyDescent="0.25">
      <c r="A3883" s="1"/>
      <c r="B3883" s="1"/>
      <c r="C3883" s="1"/>
      <c r="D3883" s="1"/>
      <c r="E3883" s="1"/>
      <c r="F3883" s="1"/>
      <c r="G3883" s="1"/>
      <c r="H3883" s="1"/>
    </row>
    <row r="3884" spans="1:8" ht="13.2" x14ac:dyDescent="0.25">
      <c r="A3884" s="1"/>
      <c r="B3884" s="1"/>
      <c r="C3884" s="1"/>
      <c r="D3884" s="1"/>
      <c r="E3884" s="1"/>
      <c r="F3884" s="1"/>
      <c r="G3884" s="1"/>
      <c r="H3884" s="1"/>
    </row>
    <row r="3885" spans="1:8" ht="13.2" x14ac:dyDescent="0.25">
      <c r="A3885" s="1"/>
      <c r="B3885" s="1"/>
      <c r="C3885" s="1"/>
      <c r="D3885" s="1"/>
      <c r="E3885" s="1"/>
      <c r="F3885" s="1"/>
      <c r="G3885" s="1"/>
      <c r="H3885" s="1"/>
    </row>
    <row r="3886" spans="1:8" ht="13.2" x14ac:dyDescent="0.25">
      <c r="A3886" s="1"/>
      <c r="B3886" s="1"/>
      <c r="C3886" s="1"/>
      <c r="D3886" s="1"/>
      <c r="E3886" s="1"/>
      <c r="F3886" s="1"/>
      <c r="G3886" s="1"/>
      <c r="H3886" s="1"/>
    </row>
    <row r="3887" spans="1:8" ht="13.2" x14ac:dyDescent="0.25">
      <c r="A3887" s="1"/>
      <c r="B3887" s="1"/>
      <c r="C3887" s="1"/>
      <c r="D3887" s="1"/>
      <c r="E3887" s="1"/>
      <c r="F3887" s="1"/>
      <c r="G3887" s="1"/>
      <c r="H3887" s="1"/>
    </row>
    <row r="3888" spans="1:8" ht="13.2" x14ac:dyDescent="0.25">
      <c r="A3888" s="1"/>
      <c r="B3888" s="1"/>
      <c r="C3888" s="1"/>
      <c r="D3888" s="1"/>
      <c r="E3888" s="1"/>
      <c r="F3888" s="1"/>
      <c r="G3888" s="3"/>
      <c r="H3888" s="1"/>
    </row>
    <row r="3889" spans="1:8" ht="13.2" x14ac:dyDescent="0.25">
      <c r="A3889" s="1"/>
      <c r="B3889" s="1"/>
      <c r="C3889" s="1"/>
      <c r="D3889" s="1"/>
      <c r="E3889" s="1"/>
      <c r="F3889" s="1"/>
      <c r="G3889" s="1"/>
      <c r="H3889" s="1"/>
    </row>
    <row r="3890" spans="1:8" ht="13.2" x14ac:dyDescent="0.25">
      <c r="A3890" s="1"/>
      <c r="B3890" s="1"/>
      <c r="C3890" s="1"/>
      <c r="D3890" s="1"/>
      <c r="E3890" s="1"/>
      <c r="F3890" s="1"/>
      <c r="G3890" s="1"/>
      <c r="H3890" s="1"/>
    </row>
    <row r="3891" spans="1:8" ht="13.2" x14ac:dyDescent="0.25">
      <c r="A3891" s="1"/>
      <c r="B3891" s="1"/>
      <c r="C3891" s="1"/>
      <c r="D3891" s="1"/>
      <c r="E3891" s="1"/>
      <c r="F3891" s="1"/>
      <c r="G3891" s="1"/>
      <c r="H3891" s="1"/>
    </row>
    <row r="3892" spans="1:8" ht="13.2" x14ac:dyDescent="0.25">
      <c r="A3892" s="1"/>
      <c r="B3892" s="1"/>
      <c r="C3892" s="1"/>
      <c r="D3892" s="1"/>
      <c r="E3892" s="1"/>
      <c r="F3892" s="1"/>
      <c r="G3892" s="1"/>
      <c r="H3892" s="1"/>
    </row>
    <row r="3893" spans="1:8" ht="13.2" x14ac:dyDescent="0.25">
      <c r="A3893" s="1"/>
      <c r="B3893" s="1"/>
      <c r="C3893" s="1"/>
      <c r="D3893" s="1"/>
      <c r="E3893" s="1"/>
      <c r="F3893" s="1"/>
      <c r="G3893" s="1"/>
      <c r="H3893" s="1"/>
    </row>
    <row r="3894" spans="1:8" ht="13.2" x14ac:dyDescent="0.25">
      <c r="A3894" s="1"/>
      <c r="B3894" s="1"/>
      <c r="C3894" s="1"/>
      <c r="D3894" s="1"/>
      <c r="E3894" s="1"/>
      <c r="F3894" s="1"/>
      <c r="G3894" s="1"/>
      <c r="H3894" s="1"/>
    </row>
    <row r="3895" spans="1:8" ht="13.2" x14ac:dyDescent="0.25">
      <c r="A3895" s="1"/>
      <c r="B3895" s="1"/>
      <c r="C3895" s="1"/>
      <c r="D3895" s="1"/>
      <c r="E3895" s="1"/>
      <c r="F3895" s="1"/>
      <c r="G3895" s="3"/>
      <c r="H3895" s="1"/>
    </row>
    <row r="3896" spans="1:8" ht="13.2" x14ac:dyDescent="0.25">
      <c r="A3896" s="1"/>
      <c r="B3896" s="1"/>
      <c r="C3896" s="1"/>
      <c r="D3896" s="1"/>
      <c r="E3896" s="1"/>
      <c r="F3896" s="1"/>
      <c r="G3896" s="1"/>
      <c r="H3896" s="1"/>
    </row>
    <row r="3897" spans="1:8" ht="13.2" x14ac:dyDescent="0.25">
      <c r="A3897" s="1"/>
      <c r="B3897" s="1"/>
      <c r="C3897" s="1"/>
      <c r="D3897" s="1"/>
      <c r="E3897" s="1"/>
      <c r="F3897" s="1"/>
      <c r="G3897" s="1"/>
      <c r="H3897" s="1"/>
    </row>
    <row r="3898" spans="1:8" ht="13.2" x14ac:dyDescent="0.25">
      <c r="A3898" s="1"/>
      <c r="B3898" s="1"/>
      <c r="C3898" s="1"/>
      <c r="D3898" s="1"/>
      <c r="E3898" s="1"/>
      <c r="F3898" s="1"/>
      <c r="G3898" s="1"/>
      <c r="H3898" s="1"/>
    </row>
    <row r="3899" spans="1:8" ht="13.2" x14ac:dyDescent="0.25">
      <c r="A3899" s="1"/>
      <c r="B3899" s="1"/>
      <c r="C3899" s="1"/>
      <c r="D3899" s="1"/>
      <c r="E3899" s="1"/>
      <c r="F3899" s="1"/>
      <c r="G3899" s="1"/>
      <c r="H3899" s="1"/>
    </row>
    <row r="3900" spans="1:8" ht="13.2" x14ac:dyDescent="0.25">
      <c r="A3900" s="1"/>
      <c r="B3900" s="1"/>
      <c r="C3900" s="1"/>
      <c r="D3900" s="1"/>
      <c r="E3900" s="1"/>
      <c r="F3900" s="1"/>
      <c r="G3900" s="1"/>
      <c r="H3900" s="1"/>
    </row>
    <row r="3901" spans="1:8" ht="13.2" x14ac:dyDescent="0.25">
      <c r="A3901" s="1"/>
      <c r="B3901" s="1"/>
      <c r="C3901" s="1"/>
      <c r="D3901" s="1"/>
      <c r="E3901" s="1"/>
      <c r="F3901" s="1"/>
      <c r="G3901" s="1"/>
      <c r="H3901" s="1"/>
    </row>
    <row r="3902" spans="1:8" ht="13.2" x14ac:dyDescent="0.25">
      <c r="A3902" s="1"/>
      <c r="B3902" s="1"/>
      <c r="C3902" s="1"/>
      <c r="D3902" s="1"/>
      <c r="E3902" s="1"/>
      <c r="F3902" s="1"/>
      <c r="G3902" s="1"/>
      <c r="H3902" s="1"/>
    </row>
    <row r="3903" spans="1:8" ht="13.2" x14ac:dyDescent="0.25">
      <c r="A3903" s="1"/>
      <c r="B3903" s="1"/>
      <c r="C3903" s="1"/>
      <c r="D3903" s="1"/>
      <c r="E3903" s="1"/>
      <c r="F3903" s="1"/>
      <c r="G3903" s="1"/>
      <c r="H3903" s="1"/>
    </row>
    <row r="3904" spans="1:8" ht="13.2" x14ac:dyDescent="0.25">
      <c r="A3904" s="1"/>
      <c r="B3904" s="1"/>
      <c r="C3904" s="1"/>
      <c r="D3904" s="1"/>
      <c r="E3904" s="1"/>
      <c r="F3904" s="1"/>
      <c r="G3904" s="1"/>
      <c r="H3904" s="1"/>
    </row>
    <row r="3905" spans="1:8" ht="13.2" x14ac:dyDescent="0.25">
      <c r="A3905" s="1"/>
      <c r="B3905" s="1"/>
      <c r="C3905" s="1"/>
      <c r="D3905" s="1"/>
      <c r="E3905" s="1"/>
      <c r="F3905" s="1"/>
      <c r="G3905" s="1"/>
      <c r="H3905" s="1"/>
    </row>
    <row r="3906" spans="1:8" ht="13.2" x14ac:dyDescent="0.25">
      <c r="A3906" s="1"/>
      <c r="B3906" s="1"/>
      <c r="C3906" s="1"/>
      <c r="D3906" s="1"/>
      <c r="E3906" s="1"/>
      <c r="F3906" s="1"/>
      <c r="G3906" s="3"/>
      <c r="H3906" s="1"/>
    </row>
    <row r="3907" spans="1:8" ht="13.2" x14ac:dyDescent="0.25">
      <c r="A3907" s="1"/>
      <c r="B3907" s="1"/>
      <c r="C3907" s="1"/>
      <c r="D3907" s="1"/>
      <c r="E3907" s="1"/>
      <c r="F3907" s="1"/>
      <c r="G3907" s="1"/>
      <c r="H3907" s="1"/>
    </row>
    <row r="3908" spans="1:8" ht="13.2" x14ac:dyDescent="0.25">
      <c r="A3908" s="1"/>
      <c r="B3908" s="1"/>
      <c r="C3908" s="1"/>
      <c r="D3908" s="1"/>
      <c r="E3908" s="1"/>
      <c r="F3908" s="1"/>
      <c r="G3908" s="1"/>
      <c r="H3908" s="1"/>
    </row>
    <row r="3909" spans="1:8" ht="13.2" x14ac:dyDescent="0.25">
      <c r="A3909" s="1"/>
      <c r="B3909" s="1"/>
      <c r="C3909" s="1"/>
      <c r="D3909" s="1"/>
      <c r="E3909" s="1"/>
      <c r="F3909" s="1"/>
      <c r="G3909" s="1"/>
      <c r="H3909" s="1"/>
    </row>
    <row r="3910" spans="1:8" ht="13.2" x14ac:dyDescent="0.25">
      <c r="A3910" s="1"/>
      <c r="B3910" s="1"/>
      <c r="C3910" s="1"/>
      <c r="D3910" s="1"/>
      <c r="E3910" s="1"/>
      <c r="F3910" s="1"/>
      <c r="G3910" s="1"/>
      <c r="H3910" s="1"/>
    </row>
    <row r="3911" spans="1:8" ht="13.2" x14ac:dyDescent="0.25">
      <c r="A3911" s="1"/>
      <c r="B3911" s="1"/>
      <c r="C3911" s="1"/>
      <c r="D3911" s="1"/>
      <c r="E3911" s="1"/>
      <c r="F3911" s="1"/>
      <c r="G3911" s="1"/>
      <c r="H3911" s="1"/>
    </row>
    <row r="3912" spans="1:8" ht="13.2" x14ac:dyDescent="0.25">
      <c r="A3912" s="1"/>
      <c r="B3912" s="1"/>
      <c r="C3912" s="1"/>
      <c r="D3912" s="1"/>
      <c r="E3912" s="1"/>
      <c r="F3912" s="1"/>
      <c r="G3912" s="1"/>
      <c r="H3912" s="1"/>
    </row>
    <row r="3913" spans="1:8" ht="13.2" x14ac:dyDescent="0.25">
      <c r="A3913" s="1"/>
      <c r="B3913" s="1"/>
      <c r="C3913" s="1"/>
      <c r="D3913" s="1"/>
      <c r="E3913" s="1"/>
      <c r="F3913" s="1"/>
      <c r="G3913" s="1"/>
      <c r="H3913" s="1"/>
    </row>
    <row r="3914" spans="1:8" ht="13.2" x14ac:dyDescent="0.25">
      <c r="A3914" s="1"/>
      <c r="B3914" s="1"/>
      <c r="C3914" s="1"/>
      <c r="D3914" s="1"/>
      <c r="E3914" s="1"/>
      <c r="F3914" s="1"/>
      <c r="G3914" s="1"/>
      <c r="H3914" s="1"/>
    </row>
    <row r="3915" spans="1:8" ht="13.2" x14ac:dyDescent="0.25">
      <c r="A3915" s="1"/>
      <c r="B3915" s="1"/>
      <c r="C3915" s="1"/>
      <c r="D3915" s="1"/>
      <c r="E3915" s="1"/>
      <c r="F3915" s="1"/>
      <c r="G3915" s="3"/>
      <c r="H3915" s="1"/>
    </row>
    <row r="3916" spans="1:8" ht="13.2" x14ac:dyDescent="0.25">
      <c r="A3916" s="1"/>
      <c r="B3916" s="1"/>
      <c r="C3916" s="1"/>
      <c r="D3916" s="1"/>
      <c r="E3916" s="1"/>
      <c r="F3916" s="1"/>
      <c r="G3916" s="1"/>
      <c r="H3916" s="1"/>
    </row>
    <row r="3917" spans="1:8" ht="13.2" x14ac:dyDescent="0.25">
      <c r="A3917" s="1"/>
      <c r="B3917" s="1"/>
      <c r="C3917" s="1"/>
      <c r="D3917" s="1"/>
      <c r="E3917" s="1"/>
      <c r="F3917" s="1"/>
      <c r="G3917" s="1"/>
      <c r="H3917" s="1"/>
    </row>
    <row r="3918" spans="1:8" ht="13.2" x14ac:dyDescent="0.25">
      <c r="A3918" s="1"/>
      <c r="B3918" s="1"/>
      <c r="C3918" s="1"/>
      <c r="D3918" s="1"/>
      <c r="E3918" s="1"/>
      <c r="F3918" s="1"/>
      <c r="G3918" s="1"/>
      <c r="H3918" s="1"/>
    </row>
    <row r="3919" spans="1:8" ht="13.2" x14ac:dyDescent="0.25">
      <c r="A3919" s="1"/>
      <c r="B3919" s="1"/>
      <c r="C3919" s="1"/>
      <c r="D3919" s="1"/>
      <c r="E3919" s="1"/>
      <c r="F3919" s="1"/>
      <c r="G3919" s="1"/>
      <c r="H3919" s="1"/>
    </row>
    <row r="3920" spans="1:8" ht="13.2" x14ac:dyDescent="0.25">
      <c r="A3920" s="1"/>
      <c r="B3920" s="1"/>
      <c r="C3920" s="1"/>
      <c r="D3920" s="1"/>
      <c r="E3920" s="1"/>
      <c r="F3920" s="1"/>
      <c r="G3920" s="1"/>
      <c r="H3920" s="1"/>
    </row>
    <row r="3921" spans="1:8" ht="13.2" x14ac:dyDescent="0.25">
      <c r="A3921" s="1"/>
      <c r="B3921" s="1"/>
      <c r="C3921" s="1"/>
      <c r="D3921" s="1"/>
      <c r="E3921" s="1"/>
      <c r="F3921" s="1"/>
      <c r="G3921" s="1"/>
      <c r="H3921" s="1"/>
    </row>
    <row r="3922" spans="1:8" ht="13.2" x14ac:dyDescent="0.25">
      <c r="A3922" s="1"/>
      <c r="B3922" s="1"/>
      <c r="C3922" s="1"/>
      <c r="D3922" s="1"/>
      <c r="E3922" s="1"/>
      <c r="F3922" s="1"/>
      <c r="G3922" s="1"/>
      <c r="H3922" s="1"/>
    </row>
    <row r="3923" spans="1:8" ht="13.2" x14ac:dyDescent="0.25">
      <c r="A3923" s="1"/>
      <c r="B3923" s="1"/>
      <c r="C3923" s="1"/>
      <c r="D3923" s="1"/>
      <c r="E3923" s="1"/>
      <c r="F3923" s="1"/>
      <c r="G3923" s="1"/>
      <c r="H3923" s="1"/>
    </row>
    <row r="3924" spans="1:8" ht="13.2" x14ac:dyDescent="0.25">
      <c r="A3924" s="1"/>
      <c r="B3924" s="1"/>
      <c r="C3924" s="1"/>
      <c r="D3924" s="1"/>
      <c r="E3924" s="1"/>
      <c r="F3924" s="1"/>
      <c r="G3924" s="1"/>
      <c r="H3924" s="1"/>
    </row>
    <row r="3925" spans="1:8" ht="13.2" x14ac:dyDescent="0.25">
      <c r="A3925" s="1"/>
      <c r="B3925" s="1"/>
      <c r="C3925" s="1"/>
      <c r="D3925" s="1"/>
      <c r="E3925" s="1"/>
      <c r="F3925" s="1"/>
      <c r="G3925" s="1"/>
      <c r="H3925" s="1"/>
    </row>
    <row r="3926" spans="1:8" ht="13.2" x14ac:dyDescent="0.25">
      <c r="A3926" s="1"/>
      <c r="B3926" s="1"/>
      <c r="C3926" s="1"/>
      <c r="D3926" s="1"/>
      <c r="E3926" s="1"/>
      <c r="F3926" s="1"/>
      <c r="G3926" s="1"/>
      <c r="H3926" s="1"/>
    </row>
    <row r="3927" spans="1:8" ht="13.2" x14ac:dyDescent="0.25">
      <c r="A3927" s="1"/>
      <c r="B3927" s="1"/>
      <c r="C3927" s="1"/>
      <c r="D3927" s="1"/>
      <c r="E3927" s="1"/>
      <c r="F3927" s="1"/>
      <c r="G3927" s="1"/>
      <c r="H3927" s="1"/>
    </row>
    <row r="3928" spans="1:8" ht="13.2" x14ac:dyDescent="0.25">
      <c r="A3928" s="1"/>
      <c r="B3928" s="1"/>
      <c r="C3928" s="1"/>
      <c r="D3928" s="1"/>
      <c r="E3928" s="1"/>
      <c r="F3928" s="1"/>
      <c r="G3928" s="1"/>
      <c r="H3928" s="1"/>
    </row>
    <row r="3929" spans="1:8" ht="13.2" x14ac:dyDescent="0.25">
      <c r="A3929" s="1"/>
      <c r="B3929" s="1"/>
      <c r="C3929" s="1"/>
      <c r="D3929" s="1"/>
      <c r="E3929" s="1"/>
      <c r="F3929" s="1"/>
      <c r="G3929" s="1"/>
      <c r="H3929" s="1"/>
    </row>
    <row r="3930" spans="1:8" ht="13.2" x14ac:dyDescent="0.25">
      <c r="A3930" s="1"/>
      <c r="B3930" s="1"/>
      <c r="C3930" s="1"/>
      <c r="D3930" s="1"/>
      <c r="E3930" s="1"/>
      <c r="F3930" s="1"/>
      <c r="G3930" s="1"/>
      <c r="H3930" s="1"/>
    </row>
    <row r="3931" spans="1:8" ht="13.2" x14ac:dyDescent="0.25">
      <c r="A3931" s="1"/>
      <c r="B3931" s="1"/>
      <c r="C3931" s="1"/>
      <c r="D3931" s="1"/>
      <c r="E3931" s="1"/>
      <c r="F3931" s="1"/>
      <c r="G3931" s="1"/>
      <c r="H3931" s="1"/>
    </row>
    <row r="3932" spans="1:8" ht="13.2" x14ac:dyDescent="0.25">
      <c r="A3932" s="1"/>
      <c r="B3932" s="1"/>
      <c r="C3932" s="1"/>
      <c r="D3932" s="1"/>
      <c r="E3932" s="1"/>
      <c r="F3932" s="1"/>
      <c r="G3932" s="1"/>
      <c r="H3932" s="1"/>
    </row>
    <row r="3933" spans="1:8" ht="13.2" x14ac:dyDescent="0.25">
      <c r="A3933" s="1"/>
      <c r="B3933" s="1"/>
      <c r="C3933" s="1"/>
      <c r="D3933" s="1"/>
      <c r="E3933" s="1"/>
      <c r="F3933" s="1"/>
      <c r="G3933" s="3"/>
      <c r="H3933" s="1"/>
    </row>
    <row r="3934" spans="1:8" ht="13.2" x14ac:dyDescent="0.25">
      <c r="A3934" s="1"/>
      <c r="B3934" s="1"/>
      <c r="C3934" s="1"/>
      <c r="D3934" s="1"/>
      <c r="E3934" s="1"/>
      <c r="F3934" s="1"/>
      <c r="G3934" s="1"/>
      <c r="H3934" s="1"/>
    </row>
    <row r="3935" spans="1:8" ht="13.2" x14ac:dyDescent="0.25">
      <c r="A3935" s="1"/>
      <c r="B3935" s="1"/>
      <c r="C3935" s="1"/>
      <c r="D3935" s="1"/>
      <c r="E3935" s="1"/>
      <c r="F3935" s="1"/>
      <c r="G3935" s="1"/>
      <c r="H3935" s="1"/>
    </row>
    <row r="3936" spans="1:8" ht="13.2" x14ac:dyDescent="0.25">
      <c r="A3936" s="1"/>
      <c r="B3936" s="1"/>
      <c r="C3936" s="1"/>
      <c r="D3936" s="1"/>
      <c r="E3936" s="1"/>
      <c r="F3936" s="1"/>
      <c r="G3936" s="1"/>
      <c r="H3936" s="1"/>
    </row>
    <row r="3937" spans="1:8" ht="13.2" x14ac:dyDescent="0.25">
      <c r="A3937" s="1"/>
      <c r="B3937" s="1"/>
      <c r="C3937" s="1"/>
      <c r="D3937" s="1"/>
      <c r="E3937" s="1"/>
      <c r="F3937" s="1"/>
      <c r="G3937" s="1"/>
      <c r="H3937" s="1"/>
    </row>
    <row r="3938" spans="1:8" ht="13.2" x14ac:dyDescent="0.25">
      <c r="A3938" s="1"/>
      <c r="B3938" s="1"/>
      <c r="C3938" s="1"/>
      <c r="D3938" s="1"/>
      <c r="E3938" s="1"/>
      <c r="F3938" s="1"/>
      <c r="G3938" s="1"/>
      <c r="H3938" s="1"/>
    </row>
    <row r="3939" spans="1:8" ht="13.2" x14ac:dyDescent="0.25">
      <c r="A3939" s="1"/>
      <c r="B3939" s="1"/>
      <c r="C3939" s="1"/>
      <c r="D3939" s="1"/>
      <c r="E3939" s="1"/>
      <c r="F3939" s="1"/>
      <c r="G3939" s="1"/>
      <c r="H3939" s="1"/>
    </row>
    <row r="3940" spans="1:8" ht="13.2" x14ac:dyDescent="0.25">
      <c r="A3940" s="1"/>
      <c r="B3940" s="1"/>
      <c r="C3940" s="1"/>
      <c r="D3940" s="1"/>
      <c r="E3940" s="1"/>
      <c r="F3940" s="1"/>
      <c r="G3940" s="1"/>
      <c r="H3940" s="1"/>
    </row>
    <row r="3941" spans="1:8" ht="13.2" x14ac:dyDescent="0.25">
      <c r="A3941" s="1"/>
      <c r="B3941" s="1"/>
      <c r="C3941" s="1"/>
      <c r="D3941" s="1"/>
      <c r="E3941" s="1"/>
      <c r="F3941" s="1"/>
      <c r="G3941" s="1"/>
      <c r="H3941" s="1"/>
    </row>
    <row r="3942" spans="1:8" ht="13.2" x14ac:dyDescent="0.25">
      <c r="A3942" s="1"/>
      <c r="B3942" s="1"/>
      <c r="C3942" s="1"/>
      <c r="D3942" s="1"/>
      <c r="E3942" s="1"/>
      <c r="F3942" s="1"/>
      <c r="G3942" s="1"/>
      <c r="H3942" s="1"/>
    </row>
    <row r="3943" spans="1:8" ht="13.2" x14ac:dyDescent="0.25">
      <c r="A3943" s="1"/>
      <c r="B3943" s="1"/>
      <c r="C3943" s="1"/>
      <c r="D3943" s="1"/>
      <c r="E3943" s="1"/>
      <c r="F3943" s="1"/>
      <c r="G3943" s="1"/>
      <c r="H3943" s="1"/>
    </row>
    <row r="3944" spans="1:8" ht="13.2" x14ac:dyDescent="0.25">
      <c r="A3944" s="1"/>
      <c r="B3944" s="1"/>
      <c r="C3944" s="1"/>
      <c r="D3944" s="1"/>
      <c r="E3944" s="1"/>
      <c r="F3944" s="1"/>
      <c r="G3944" s="1"/>
      <c r="H3944" s="1"/>
    </row>
    <row r="3945" spans="1:8" ht="13.2" x14ac:dyDescent="0.25">
      <c r="A3945" s="1"/>
      <c r="B3945" s="1"/>
      <c r="C3945" s="1"/>
      <c r="D3945" s="1"/>
      <c r="E3945" s="1"/>
      <c r="F3945" s="1"/>
      <c r="G3945" s="1"/>
      <c r="H3945" s="1"/>
    </row>
    <row r="3946" spans="1:8" ht="13.2" x14ac:dyDescent="0.25">
      <c r="A3946" s="1"/>
      <c r="B3946" s="1"/>
      <c r="C3946" s="1"/>
      <c r="D3946" s="1"/>
      <c r="E3946" s="1"/>
      <c r="F3946" s="1"/>
      <c r="G3946" s="1"/>
      <c r="H3946" s="1"/>
    </row>
    <row r="3947" spans="1:8" ht="13.2" x14ac:dyDescent="0.25">
      <c r="A3947" s="1"/>
      <c r="B3947" s="1"/>
      <c r="C3947" s="1"/>
      <c r="D3947" s="1"/>
      <c r="E3947" s="1"/>
      <c r="F3947" s="1"/>
      <c r="G3947" s="1"/>
      <c r="H3947" s="1"/>
    </row>
    <row r="3948" spans="1:8" ht="13.2" x14ac:dyDescent="0.25">
      <c r="A3948" s="1"/>
      <c r="B3948" s="1"/>
      <c r="C3948" s="1"/>
      <c r="D3948" s="1"/>
      <c r="E3948" s="1"/>
      <c r="F3948" s="1"/>
      <c r="G3948" s="1"/>
      <c r="H3948" s="1"/>
    </row>
    <row r="3949" spans="1:8" ht="13.2" x14ac:dyDescent="0.25">
      <c r="A3949" s="1"/>
      <c r="B3949" s="1"/>
      <c r="C3949" s="1"/>
      <c r="D3949" s="1"/>
      <c r="E3949" s="1"/>
      <c r="F3949" s="1"/>
      <c r="G3949" s="1"/>
      <c r="H3949" s="1"/>
    </row>
    <row r="3950" spans="1:8" ht="13.2" x14ac:dyDescent="0.25">
      <c r="A3950" s="1"/>
      <c r="B3950" s="1"/>
      <c r="C3950" s="1"/>
      <c r="D3950" s="1"/>
      <c r="E3950" s="1"/>
      <c r="F3950" s="1"/>
      <c r="G3950" s="1"/>
      <c r="H3950" s="1"/>
    </row>
    <row r="3951" spans="1:8" ht="13.2" x14ac:dyDescent="0.25">
      <c r="A3951" s="1"/>
      <c r="B3951" s="1"/>
      <c r="C3951" s="1"/>
      <c r="D3951" s="1"/>
      <c r="E3951" s="1"/>
      <c r="F3951" s="1"/>
      <c r="G3951" s="1"/>
      <c r="H3951" s="1"/>
    </row>
    <row r="3952" spans="1:8" ht="13.2" x14ac:dyDescent="0.25">
      <c r="A3952" s="1"/>
      <c r="B3952" s="1"/>
      <c r="C3952" s="1"/>
      <c r="D3952" s="1"/>
      <c r="E3952" s="1"/>
      <c r="F3952" s="1"/>
      <c r="G3952" s="1"/>
      <c r="H3952" s="1"/>
    </row>
    <row r="3953" spans="1:8" ht="13.2" x14ac:dyDescent="0.25">
      <c r="A3953" s="1"/>
      <c r="B3953" s="1"/>
      <c r="C3953" s="1"/>
      <c r="D3953" s="1"/>
      <c r="E3953" s="1"/>
      <c r="F3953" s="1"/>
      <c r="G3953" s="1"/>
      <c r="H3953" s="1"/>
    </row>
    <row r="3954" spans="1:8" ht="13.2" x14ac:dyDescent="0.25">
      <c r="A3954" s="1"/>
      <c r="B3954" s="1"/>
      <c r="C3954" s="1"/>
      <c r="D3954" s="1"/>
      <c r="E3954" s="1"/>
      <c r="F3954" s="1"/>
      <c r="G3954" s="3"/>
      <c r="H3954" s="1"/>
    </row>
    <row r="3955" spans="1:8" ht="13.2" x14ac:dyDescent="0.25">
      <c r="A3955" s="1"/>
      <c r="B3955" s="1"/>
      <c r="C3955" s="1"/>
      <c r="D3955" s="1"/>
      <c r="E3955" s="1"/>
      <c r="F3955" s="1"/>
      <c r="G3955" s="1"/>
      <c r="H3955" s="1"/>
    </row>
    <row r="3956" spans="1:8" ht="13.2" x14ac:dyDescent="0.25">
      <c r="A3956" s="1"/>
      <c r="B3956" s="1"/>
      <c r="C3956" s="1"/>
      <c r="D3956" s="1"/>
      <c r="E3956" s="1"/>
      <c r="F3956" s="1"/>
      <c r="G3956" s="1"/>
      <c r="H3956" s="1"/>
    </row>
    <row r="3957" spans="1:8" ht="13.2" x14ac:dyDescent="0.25">
      <c r="A3957" s="1"/>
      <c r="B3957" s="1"/>
      <c r="C3957" s="1"/>
      <c r="D3957" s="1"/>
      <c r="E3957" s="1"/>
      <c r="F3957" s="1"/>
      <c r="G3957" s="1"/>
      <c r="H3957" s="1"/>
    </row>
    <row r="3958" spans="1:8" ht="13.2" x14ac:dyDescent="0.25">
      <c r="A3958" s="1"/>
      <c r="B3958" s="1"/>
      <c r="C3958" s="1"/>
      <c r="D3958" s="1"/>
      <c r="E3958" s="1"/>
      <c r="F3958" s="1"/>
      <c r="G3958" s="1"/>
      <c r="H3958" s="1"/>
    </row>
    <row r="3959" spans="1:8" ht="13.2" x14ac:dyDescent="0.25">
      <c r="A3959" s="1"/>
      <c r="B3959" s="1"/>
      <c r="C3959" s="1"/>
      <c r="D3959" s="1"/>
      <c r="E3959" s="1"/>
      <c r="F3959" s="1"/>
      <c r="G3959" s="3"/>
      <c r="H3959" s="1"/>
    </row>
    <row r="3960" spans="1:8" ht="13.2" x14ac:dyDescent="0.25">
      <c r="A3960" s="1"/>
      <c r="B3960" s="1"/>
      <c r="C3960" s="1"/>
      <c r="D3960" s="1"/>
      <c r="E3960" s="1"/>
      <c r="F3960" s="1"/>
      <c r="G3960" s="1"/>
      <c r="H3960" s="1"/>
    </row>
    <row r="3961" spans="1:8" ht="13.2" x14ac:dyDescent="0.25">
      <c r="A3961" s="1"/>
      <c r="B3961" s="1"/>
      <c r="C3961" s="1"/>
      <c r="D3961" s="1"/>
      <c r="E3961" s="1"/>
      <c r="F3961" s="1"/>
      <c r="G3961" s="1"/>
      <c r="H3961" s="1"/>
    </row>
    <row r="3962" spans="1:8" ht="13.2" x14ac:dyDescent="0.25">
      <c r="A3962" s="1"/>
      <c r="B3962" s="1"/>
      <c r="C3962" s="1"/>
      <c r="D3962" s="1"/>
      <c r="E3962" s="1"/>
      <c r="F3962" s="1"/>
      <c r="G3962" s="1"/>
      <c r="H3962" s="1"/>
    </row>
    <row r="3963" spans="1:8" ht="13.2" x14ac:dyDescent="0.25">
      <c r="A3963" s="1"/>
      <c r="B3963" s="1"/>
      <c r="C3963" s="1"/>
      <c r="D3963" s="1"/>
      <c r="E3963" s="1"/>
      <c r="F3963" s="1"/>
      <c r="G3963" s="1"/>
      <c r="H3963" s="1"/>
    </row>
    <row r="3964" spans="1:8" ht="13.2" x14ac:dyDescent="0.25">
      <c r="A3964" s="1"/>
      <c r="B3964" s="1"/>
      <c r="C3964" s="1"/>
      <c r="D3964" s="1"/>
      <c r="E3964" s="1"/>
      <c r="F3964" s="1"/>
      <c r="G3964" s="1"/>
      <c r="H3964" s="1"/>
    </row>
    <row r="3965" spans="1:8" ht="13.2" x14ac:dyDescent="0.25">
      <c r="A3965" s="1"/>
      <c r="B3965" s="1"/>
      <c r="C3965" s="1"/>
      <c r="D3965" s="1"/>
      <c r="E3965" s="1"/>
      <c r="F3965" s="1"/>
      <c r="G3965" s="1"/>
      <c r="H3965" s="1"/>
    </row>
    <row r="3966" spans="1:8" ht="13.2" x14ac:dyDescent="0.25">
      <c r="A3966" s="1"/>
      <c r="B3966" s="1"/>
      <c r="C3966" s="1"/>
      <c r="D3966" s="1"/>
      <c r="E3966" s="1"/>
      <c r="F3966" s="1"/>
      <c r="G3966" s="3"/>
      <c r="H3966" s="1"/>
    </row>
    <row r="3967" spans="1:8" ht="13.2" x14ac:dyDescent="0.25">
      <c r="A3967" s="1"/>
      <c r="B3967" s="1"/>
      <c r="C3967" s="1"/>
      <c r="D3967" s="1"/>
      <c r="E3967" s="1"/>
      <c r="F3967" s="1"/>
      <c r="G3967" s="1"/>
      <c r="H3967" s="1"/>
    </row>
    <row r="3968" spans="1:8" ht="13.2" x14ac:dyDescent="0.25">
      <c r="A3968" s="1"/>
      <c r="B3968" s="1"/>
      <c r="C3968" s="1"/>
      <c r="D3968" s="1"/>
      <c r="E3968" s="1"/>
      <c r="F3968" s="1"/>
      <c r="G3968" s="1"/>
      <c r="H3968" s="1"/>
    </row>
    <row r="3969" spans="1:8" ht="13.2" x14ac:dyDescent="0.25">
      <c r="A3969" s="1"/>
      <c r="B3969" s="1"/>
      <c r="C3969" s="1"/>
      <c r="D3969" s="1"/>
      <c r="E3969" s="1"/>
      <c r="F3969" s="1"/>
      <c r="G3969" s="1"/>
      <c r="H3969" s="1"/>
    </row>
    <row r="3970" spans="1:8" ht="13.2" x14ac:dyDescent="0.25">
      <c r="A3970" s="1"/>
      <c r="B3970" s="1"/>
      <c r="C3970" s="1"/>
      <c r="D3970" s="1"/>
      <c r="E3970" s="1"/>
      <c r="F3970" s="1"/>
      <c r="G3970" s="1"/>
      <c r="H3970" s="1"/>
    </row>
    <row r="3971" spans="1:8" ht="13.2" x14ac:dyDescent="0.25">
      <c r="A3971" s="1"/>
      <c r="B3971" s="1"/>
      <c r="C3971" s="1"/>
      <c r="D3971" s="1"/>
      <c r="E3971" s="1"/>
      <c r="F3971" s="1"/>
      <c r="G3971" s="1"/>
      <c r="H3971" s="1"/>
    </row>
    <row r="3972" spans="1:8" ht="13.2" x14ac:dyDescent="0.25">
      <c r="A3972" s="1"/>
      <c r="B3972" s="1"/>
      <c r="C3972" s="1"/>
      <c r="D3972" s="1"/>
      <c r="E3972" s="1"/>
      <c r="F3972" s="1"/>
      <c r="G3972" s="1"/>
      <c r="H3972" s="1"/>
    </row>
    <row r="3973" spans="1:8" ht="13.2" x14ac:dyDescent="0.25">
      <c r="A3973" s="1"/>
      <c r="B3973" s="1"/>
      <c r="C3973" s="1"/>
      <c r="D3973" s="1"/>
      <c r="E3973" s="1"/>
      <c r="F3973" s="1"/>
      <c r="G3973" s="1"/>
      <c r="H3973" s="1"/>
    </row>
    <row r="3974" spans="1:8" ht="13.2" x14ac:dyDescent="0.25">
      <c r="A3974" s="1"/>
      <c r="B3974" s="1"/>
      <c r="C3974" s="1"/>
      <c r="D3974" s="1"/>
      <c r="E3974" s="1"/>
      <c r="F3974" s="1"/>
      <c r="G3974" s="1"/>
      <c r="H3974" s="1"/>
    </row>
    <row r="3975" spans="1:8" ht="13.2" x14ac:dyDescent="0.25">
      <c r="A3975" s="1"/>
      <c r="B3975" s="1"/>
      <c r="C3975" s="1"/>
      <c r="D3975" s="1"/>
      <c r="E3975" s="1"/>
      <c r="F3975" s="1"/>
      <c r="G3975" s="1"/>
      <c r="H3975" s="1"/>
    </row>
    <row r="3976" spans="1:8" ht="13.2" x14ac:dyDescent="0.25">
      <c r="A3976" s="1"/>
      <c r="B3976" s="1"/>
      <c r="C3976" s="1"/>
      <c r="D3976" s="1"/>
      <c r="E3976" s="1"/>
      <c r="F3976" s="1"/>
      <c r="G3976" s="1"/>
      <c r="H3976" s="1"/>
    </row>
    <row r="3977" spans="1:8" ht="13.2" x14ac:dyDescent="0.25">
      <c r="A3977" s="1"/>
      <c r="B3977" s="1"/>
      <c r="C3977" s="1"/>
      <c r="D3977" s="1"/>
      <c r="E3977" s="1"/>
      <c r="F3977" s="1"/>
      <c r="G3977" s="1"/>
      <c r="H3977" s="1"/>
    </row>
    <row r="3978" spans="1:8" ht="13.2" x14ac:dyDescent="0.25">
      <c r="A3978" s="1"/>
      <c r="B3978" s="1"/>
      <c r="C3978" s="1"/>
      <c r="D3978" s="1"/>
      <c r="E3978" s="1"/>
      <c r="F3978" s="1"/>
      <c r="G3978" s="1"/>
      <c r="H3978" s="1"/>
    </row>
    <row r="3979" spans="1:8" ht="13.2" x14ac:dyDescent="0.25">
      <c r="A3979" s="1"/>
      <c r="B3979" s="1"/>
      <c r="C3979" s="1"/>
      <c r="D3979" s="1"/>
      <c r="E3979" s="1"/>
      <c r="F3979" s="1"/>
      <c r="G3979" s="1"/>
      <c r="H3979" s="1"/>
    </row>
    <row r="3980" spans="1:8" ht="13.2" x14ac:dyDescent="0.25">
      <c r="A3980" s="1"/>
      <c r="B3980" s="1"/>
      <c r="C3980" s="1"/>
      <c r="D3980" s="1"/>
      <c r="E3980" s="1"/>
      <c r="F3980" s="1"/>
      <c r="G3980" s="1"/>
      <c r="H3980" s="1"/>
    </row>
    <row r="3981" spans="1:8" ht="13.2" x14ac:dyDescent="0.25">
      <c r="A3981" s="1"/>
      <c r="B3981" s="1"/>
      <c r="C3981" s="1"/>
      <c r="D3981" s="1"/>
      <c r="E3981" s="1"/>
      <c r="F3981" s="1"/>
      <c r="G3981" s="3"/>
      <c r="H3981" s="1"/>
    </row>
    <row r="3982" spans="1:8" ht="13.2" x14ac:dyDescent="0.25">
      <c r="A3982" s="1"/>
      <c r="B3982" s="1"/>
      <c r="C3982" s="1"/>
      <c r="D3982" s="1"/>
      <c r="E3982" s="1"/>
      <c r="F3982" s="1"/>
      <c r="G3982" s="1"/>
      <c r="H3982" s="1"/>
    </row>
    <row r="3983" spans="1:8" ht="13.2" x14ac:dyDescent="0.25">
      <c r="A3983" s="1"/>
      <c r="B3983" s="1"/>
      <c r="C3983" s="1"/>
      <c r="D3983" s="1"/>
      <c r="E3983" s="1"/>
      <c r="F3983" s="1"/>
      <c r="G3983" s="1"/>
      <c r="H3983" s="1"/>
    </row>
    <row r="3984" spans="1:8" ht="13.2" x14ac:dyDescent="0.25">
      <c r="A3984" s="1"/>
      <c r="B3984" s="1"/>
      <c r="C3984" s="1"/>
      <c r="D3984" s="1"/>
      <c r="E3984" s="1"/>
      <c r="F3984" s="1"/>
      <c r="G3984" s="1"/>
      <c r="H3984" s="1"/>
    </row>
    <row r="3985" spans="1:8" ht="13.2" x14ac:dyDescent="0.25">
      <c r="A3985" s="1"/>
      <c r="B3985" s="1"/>
      <c r="C3985" s="1"/>
      <c r="D3985" s="1"/>
      <c r="E3985" s="1"/>
      <c r="F3985" s="1"/>
      <c r="G3985" s="1"/>
      <c r="H3985" s="1"/>
    </row>
    <row r="3986" spans="1:8" ht="13.2" x14ac:dyDescent="0.25">
      <c r="A3986" s="1"/>
      <c r="B3986" s="1"/>
      <c r="C3986" s="1"/>
      <c r="D3986" s="1"/>
      <c r="E3986" s="1"/>
      <c r="F3986" s="1"/>
      <c r="G3986" s="1"/>
      <c r="H3986" s="1"/>
    </row>
    <row r="3987" spans="1:8" ht="13.2" x14ac:dyDescent="0.25">
      <c r="A3987" s="1"/>
      <c r="B3987" s="1"/>
      <c r="C3987" s="1"/>
      <c r="D3987" s="1"/>
      <c r="E3987" s="1"/>
      <c r="F3987" s="1"/>
      <c r="G3987" s="3"/>
      <c r="H3987" s="1"/>
    </row>
    <row r="3988" spans="1:8" ht="13.2" x14ac:dyDescent="0.25">
      <c r="A3988" s="1"/>
      <c r="B3988" s="1"/>
      <c r="C3988" s="1"/>
      <c r="D3988" s="1"/>
      <c r="E3988" s="1"/>
      <c r="F3988" s="1"/>
      <c r="G3988" s="1"/>
      <c r="H3988" s="1"/>
    </row>
    <row r="3989" spans="1:8" ht="13.2" x14ac:dyDescent="0.25">
      <c r="A3989" s="1"/>
      <c r="B3989" s="1"/>
      <c r="C3989" s="1"/>
      <c r="D3989" s="1"/>
      <c r="E3989" s="1"/>
      <c r="F3989" s="1"/>
      <c r="G3989" s="3"/>
      <c r="H3989" s="1"/>
    </row>
    <row r="3990" spans="1:8" ht="13.2" x14ac:dyDescent="0.25">
      <c r="A3990" s="1"/>
      <c r="B3990" s="1"/>
      <c r="C3990" s="1"/>
      <c r="D3990" s="1"/>
      <c r="E3990" s="1"/>
      <c r="F3990" s="1"/>
      <c r="G3990" s="1"/>
      <c r="H3990" s="1"/>
    </row>
    <row r="3991" spans="1:8" ht="13.2" x14ac:dyDescent="0.25">
      <c r="A3991" s="1"/>
      <c r="B3991" s="1"/>
      <c r="C3991" s="1"/>
      <c r="D3991" s="1"/>
      <c r="E3991" s="1"/>
      <c r="F3991" s="1"/>
      <c r="G3991" s="3"/>
      <c r="H3991" s="1"/>
    </row>
    <row r="3992" spans="1:8" ht="13.2" x14ac:dyDescent="0.25">
      <c r="A3992" s="1"/>
      <c r="B3992" s="1"/>
      <c r="C3992" s="1"/>
      <c r="D3992" s="1"/>
      <c r="E3992" s="1"/>
      <c r="F3992" s="1"/>
      <c r="G3992" s="1"/>
      <c r="H3992" s="1"/>
    </row>
    <row r="3993" spans="1:8" ht="13.2" x14ac:dyDescent="0.25">
      <c r="A3993" s="1"/>
      <c r="B3993" s="1"/>
      <c r="C3993" s="1"/>
      <c r="D3993" s="1"/>
      <c r="E3993" s="1"/>
      <c r="F3993" s="1"/>
      <c r="G3993" s="1"/>
      <c r="H3993" s="1"/>
    </row>
    <row r="3994" spans="1:8" ht="13.2" x14ac:dyDescent="0.25">
      <c r="A3994" s="1"/>
      <c r="B3994" s="1"/>
      <c r="C3994" s="1"/>
      <c r="D3994" s="1"/>
      <c r="E3994" s="1"/>
      <c r="F3994" s="1"/>
      <c r="G3994" s="1"/>
      <c r="H3994" s="1"/>
    </row>
    <row r="3995" spans="1:8" ht="13.2" x14ac:dyDescent="0.25">
      <c r="A3995" s="1"/>
      <c r="B3995" s="1"/>
      <c r="C3995" s="1"/>
      <c r="D3995" s="1"/>
      <c r="E3995" s="1"/>
      <c r="F3995" s="1"/>
      <c r="G3995" s="1"/>
      <c r="H3995" s="1"/>
    </row>
    <row r="3996" spans="1:8" ht="13.2" x14ac:dyDescent="0.25">
      <c r="A3996" s="1"/>
      <c r="B3996" s="1"/>
      <c r="C3996" s="1"/>
      <c r="D3996" s="1"/>
      <c r="E3996" s="1"/>
      <c r="F3996" s="1"/>
      <c r="G3996" s="1"/>
      <c r="H3996" s="1"/>
    </row>
    <row r="3997" spans="1:8" ht="13.2" x14ac:dyDescent="0.25">
      <c r="A3997" s="1"/>
      <c r="B3997" s="1"/>
      <c r="C3997" s="1"/>
      <c r="D3997" s="1"/>
      <c r="E3997" s="1"/>
      <c r="F3997" s="1"/>
      <c r="G3997" s="1"/>
      <c r="H3997" s="1"/>
    </row>
    <row r="3998" spans="1:8" ht="13.2" x14ac:dyDescent="0.25">
      <c r="A3998" s="1"/>
      <c r="B3998" s="1"/>
      <c r="C3998" s="1"/>
      <c r="D3998" s="1"/>
      <c r="E3998" s="1"/>
      <c r="F3998" s="1"/>
      <c r="G3998" s="3"/>
      <c r="H3998" s="1"/>
    </row>
    <row r="3999" spans="1:8" ht="13.2" x14ac:dyDescent="0.25">
      <c r="A3999" s="1"/>
      <c r="B3999" s="1"/>
      <c r="C3999" s="1"/>
      <c r="D3999" s="1"/>
      <c r="E3999" s="1"/>
      <c r="F3999" s="1"/>
      <c r="G3999" s="1"/>
      <c r="H3999" s="1"/>
    </row>
    <row r="4000" spans="1:8" ht="13.2" x14ac:dyDescent="0.25">
      <c r="A4000" s="1"/>
      <c r="B4000" s="1"/>
      <c r="C4000" s="1"/>
      <c r="D4000" s="1"/>
      <c r="E4000" s="1"/>
      <c r="F4000" s="1"/>
      <c r="G4000" s="1"/>
      <c r="H4000" s="1"/>
    </row>
    <row r="4001" spans="1:8" ht="13.2" x14ac:dyDescent="0.25">
      <c r="A4001" s="1"/>
      <c r="B4001" s="1"/>
      <c r="C4001" s="1"/>
      <c r="D4001" s="1"/>
      <c r="E4001" s="1"/>
      <c r="F4001" s="1"/>
      <c r="G4001" s="1"/>
      <c r="H4001" s="1"/>
    </row>
    <row r="4002" spans="1:8" ht="13.2" x14ac:dyDescent="0.25">
      <c r="A4002" s="1"/>
      <c r="B4002" s="1"/>
      <c r="C4002" s="1"/>
      <c r="D4002" s="1"/>
      <c r="E4002" s="1"/>
      <c r="F4002" s="1"/>
      <c r="G4002" s="1"/>
      <c r="H4002" s="1"/>
    </row>
    <row r="4003" spans="1:8" ht="13.2" x14ac:dyDescent="0.25">
      <c r="A4003" s="1"/>
      <c r="B4003" s="1"/>
      <c r="C4003" s="1"/>
      <c r="D4003" s="1"/>
      <c r="E4003" s="1"/>
      <c r="F4003" s="1"/>
      <c r="G4003" s="1"/>
      <c r="H4003" s="1"/>
    </row>
    <row r="4004" spans="1:8" ht="13.2" x14ac:dyDescent="0.25">
      <c r="A4004" s="1"/>
      <c r="B4004" s="1"/>
      <c r="C4004" s="1"/>
      <c r="D4004" s="1"/>
      <c r="E4004" s="1"/>
      <c r="F4004" s="1"/>
      <c r="G4004" s="1"/>
      <c r="H4004" s="1"/>
    </row>
    <row r="4005" spans="1:8" ht="13.2" x14ac:dyDescent="0.25">
      <c r="A4005" s="1"/>
      <c r="B4005" s="1"/>
      <c r="C4005" s="1"/>
      <c r="D4005" s="1"/>
      <c r="E4005" s="1"/>
      <c r="F4005" s="1"/>
      <c r="G4005" s="1"/>
      <c r="H4005" s="1"/>
    </row>
    <row r="4006" spans="1:8" ht="13.2" x14ac:dyDescent="0.25">
      <c r="A4006" s="1"/>
      <c r="B4006" s="1"/>
      <c r="C4006" s="1"/>
      <c r="D4006" s="1"/>
      <c r="E4006" s="1"/>
      <c r="F4006" s="1"/>
      <c r="G4006" s="1"/>
      <c r="H4006" s="1"/>
    </row>
    <row r="4007" spans="1:8" ht="13.2" x14ac:dyDescent="0.25">
      <c r="A4007" s="1"/>
      <c r="B4007" s="1"/>
      <c r="C4007" s="1"/>
      <c r="D4007" s="1"/>
      <c r="E4007" s="1"/>
      <c r="F4007" s="1"/>
      <c r="G4007" s="1"/>
      <c r="H4007" s="1"/>
    </row>
    <row r="4008" spans="1:8" ht="13.2" x14ac:dyDescent="0.25">
      <c r="A4008" s="1"/>
      <c r="B4008" s="1"/>
      <c r="C4008" s="1"/>
      <c r="D4008" s="1"/>
      <c r="E4008" s="1"/>
      <c r="F4008" s="1"/>
      <c r="G4008" s="1"/>
      <c r="H4008" s="1"/>
    </row>
    <row r="4009" spans="1:8" ht="13.2" x14ac:dyDescent="0.25">
      <c r="A4009" s="1"/>
      <c r="B4009" s="1"/>
      <c r="C4009" s="1"/>
      <c r="D4009" s="1"/>
      <c r="E4009" s="1"/>
      <c r="F4009" s="1"/>
      <c r="G4009" s="1"/>
      <c r="H4009" s="1"/>
    </row>
    <row r="4010" spans="1:8" ht="13.2" x14ac:dyDescent="0.25">
      <c r="A4010" s="1"/>
      <c r="B4010" s="1"/>
      <c r="C4010" s="1"/>
      <c r="D4010" s="1"/>
      <c r="E4010" s="1"/>
      <c r="F4010" s="1"/>
      <c r="G4010" s="1"/>
      <c r="H4010" s="1"/>
    </row>
    <row r="4011" spans="1:8" ht="13.2" x14ac:dyDescent="0.25">
      <c r="A4011" s="1"/>
      <c r="B4011" s="1"/>
      <c r="C4011" s="1"/>
      <c r="D4011" s="1"/>
      <c r="E4011" s="1"/>
      <c r="F4011" s="1"/>
      <c r="G4011" s="1"/>
      <c r="H4011" s="1"/>
    </row>
    <row r="4012" spans="1:8" ht="13.2" x14ac:dyDescent="0.25">
      <c r="A4012" s="1"/>
      <c r="B4012" s="1"/>
      <c r="C4012" s="1"/>
      <c r="D4012" s="1"/>
      <c r="E4012" s="1"/>
      <c r="F4012" s="1"/>
      <c r="G4012" s="3"/>
      <c r="H4012" s="1"/>
    </row>
    <row r="4013" spans="1:8" ht="13.2" x14ac:dyDescent="0.25">
      <c r="A4013" s="1"/>
      <c r="B4013" s="1"/>
      <c r="C4013" s="1"/>
      <c r="D4013" s="1"/>
      <c r="E4013" s="1"/>
      <c r="F4013" s="1"/>
      <c r="G4013" s="1"/>
      <c r="H4013" s="1"/>
    </row>
    <row r="4014" spans="1:8" ht="13.2" x14ac:dyDescent="0.25">
      <c r="A4014" s="1"/>
      <c r="B4014" s="1"/>
      <c r="C4014" s="1"/>
      <c r="D4014" s="1"/>
      <c r="E4014" s="1"/>
      <c r="F4014" s="1"/>
      <c r="G4014" s="1"/>
      <c r="H4014" s="1"/>
    </row>
    <row r="4015" spans="1:8" ht="13.2" x14ac:dyDescent="0.25">
      <c r="A4015" s="1"/>
      <c r="B4015" s="1"/>
      <c r="C4015" s="1"/>
      <c r="D4015" s="1"/>
      <c r="E4015" s="1"/>
      <c r="F4015" s="1"/>
      <c r="G4015" s="1"/>
      <c r="H4015" s="1"/>
    </row>
    <row r="4016" spans="1:8" ht="13.2" x14ac:dyDescent="0.25">
      <c r="A4016" s="1"/>
      <c r="B4016" s="1"/>
      <c r="C4016" s="1"/>
      <c r="D4016" s="1"/>
      <c r="E4016" s="1"/>
      <c r="F4016" s="1"/>
      <c r="G4016" s="3"/>
      <c r="H4016" s="1"/>
    </row>
    <row r="4017" spans="1:8" ht="13.2" x14ac:dyDescent="0.25">
      <c r="A4017" s="1"/>
      <c r="B4017" s="1"/>
      <c r="C4017" s="1"/>
      <c r="D4017" s="1"/>
      <c r="E4017" s="1"/>
      <c r="F4017" s="1"/>
      <c r="G4017" s="1"/>
      <c r="H4017" s="1"/>
    </row>
    <row r="4018" spans="1:8" ht="13.2" x14ac:dyDescent="0.25">
      <c r="A4018" s="1"/>
      <c r="B4018" s="1"/>
      <c r="C4018" s="1"/>
      <c r="D4018" s="1"/>
      <c r="E4018" s="1"/>
      <c r="F4018" s="1"/>
      <c r="G4018" s="3"/>
      <c r="H4018" s="1"/>
    </row>
    <row r="4019" spans="1:8" ht="13.2" x14ac:dyDescent="0.25">
      <c r="A4019" s="1"/>
      <c r="B4019" s="1"/>
      <c r="C4019" s="1"/>
      <c r="D4019" s="1"/>
      <c r="E4019" s="1"/>
      <c r="F4019" s="1"/>
      <c r="G4019" s="3"/>
      <c r="H4019" s="1"/>
    </row>
    <row r="4020" spans="1:8" ht="13.2" x14ac:dyDescent="0.25">
      <c r="A4020" s="1"/>
      <c r="B4020" s="1"/>
      <c r="C4020" s="1"/>
      <c r="D4020" s="1"/>
      <c r="E4020" s="1"/>
      <c r="F4020" s="1"/>
      <c r="G4020" s="1"/>
      <c r="H4020" s="1"/>
    </row>
    <row r="4021" spans="1:8" ht="13.2" x14ac:dyDescent="0.25">
      <c r="A4021" s="1"/>
      <c r="B4021" s="1"/>
      <c r="C4021" s="1"/>
      <c r="D4021" s="1"/>
      <c r="E4021" s="1"/>
      <c r="F4021" s="1"/>
      <c r="G4021" s="1"/>
      <c r="H4021" s="1"/>
    </row>
    <row r="4022" spans="1:8" ht="13.2" x14ac:dyDescent="0.25">
      <c r="A4022" s="1"/>
      <c r="B4022" s="1"/>
      <c r="C4022" s="1"/>
      <c r="D4022" s="1"/>
      <c r="E4022" s="1"/>
      <c r="F4022" s="1"/>
      <c r="G4022" s="1"/>
      <c r="H4022" s="1"/>
    </row>
    <row r="4023" spans="1:8" ht="13.2" x14ac:dyDescent="0.25">
      <c r="A4023" s="1"/>
      <c r="B4023" s="1"/>
      <c r="C4023" s="1"/>
      <c r="D4023" s="1"/>
      <c r="E4023" s="1"/>
      <c r="F4023" s="1"/>
      <c r="G4023" s="3"/>
      <c r="H4023" s="1"/>
    </row>
    <row r="4024" spans="1:8" ht="13.2" x14ac:dyDescent="0.25">
      <c r="A4024" s="1"/>
      <c r="B4024" s="1"/>
      <c r="C4024" s="1"/>
      <c r="D4024" s="1"/>
      <c r="E4024" s="1"/>
      <c r="F4024" s="1"/>
      <c r="G4024" s="3"/>
      <c r="H4024" s="1"/>
    </row>
    <row r="4025" spans="1:8" ht="13.2" x14ac:dyDescent="0.25">
      <c r="A4025" s="1"/>
      <c r="B4025" s="1"/>
      <c r="C4025" s="1"/>
      <c r="D4025" s="1"/>
      <c r="E4025" s="1"/>
      <c r="F4025" s="1"/>
      <c r="G4025" s="3"/>
      <c r="H4025" s="1"/>
    </row>
    <row r="4026" spans="1:8" ht="13.2" x14ac:dyDescent="0.25">
      <c r="A4026" s="1"/>
      <c r="B4026" s="1"/>
      <c r="C4026" s="1"/>
      <c r="D4026" s="1"/>
      <c r="E4026" s="1"/>
      <c r="F4026" s="1"/>
      <c r="G4026" s="1"/>
      <c r="H4026" s="1"/>
    </row>
    <row r="4027" spans="1:8" ht="13.2" x14ac:dyDescent="0.25">
      <c r="A4027" s="1"/>
      <c r="B4027" s="1"/>
      <c r="C4027" s="1"/>
      <c r="D4027" s="1"/>
      <c r="E4027" s="1"/>
      <c r="F4027" s="1"/>
      <c r="G4027" s="1"/>
      <c r="H4027" s="1"/>
    </row>
    <row r="4028" spans="1:8" ht="13.2" x14ac:dyDescent="0.25">
      <c r="A4028" s="1"/>
      <c r="B4028" s="1"/>
      <c r="C4028" s="1"/>
      <c r="D4028" s="1"/>
      <c r="E4028" s="1"/>
      <c r="F4028" s="1"/>
      <c r="G4028" s="1"/>
      <c r="H4028" s="1"/>
    </row>
    <row r="4029" spans="1:8" ht="13.2" x14ac:dyDescent="0.25">
      <c r="A4029" s="1"/>
      <c r="B4029" s="1"/>
      <c r="C4029" s="1"/>
      <c r="D4029" s="1"/>
      <c r="E4029" s="1"/>
      <c r="F4029" s="1"/>
      <c r="G4029" s="3"/>
      <c r="H4029" s="1"/>
    </row>
    <row r="4030" spans="1:8" ht="13.2" x14ac:dyDescent="0.25">
      <c r="A4030" s="1"/>
      <c r="B4030" s="1"/>
      <c r="C4030" s="1"/>
      <c r="D4030" s="1"/>
      <c r="E4030" s="1"/>
      <c r="F4030" s="1"/>
      <c r="G4030" s="1"/>
      <c r="H4030" s="1"/>
    </row>
    <row r="4031" spans="1:8" ht="13.2" x14ac:dyDescent="0.25">
      <c r="A4031" s="1"/>
      <c r="B4031" s="1"/>
      <c r="C4031" s="1"/>
      <c r="D4031" s="1"/>
      <c r="E4031" s="1"/>
      <c r="F4031" s="1"/>
      <c r="G4031" s="3"/>
      <c r="H4031" s="1"/>
    </row>
    <row r="4032" spans="1:8" ht="13.2" x14ac:dyDescent="0.25">
      <c r="A4032" s="1"/>
      <c r="B4032" s="1"/>
      <c r="C4032" s="1"/>
      <c r="D4032" s="1"/>
      <c r="E4032" s="1"/>
      <c r="F4032" s="1"/>
      <c r="G4032" s="1"/>
      <c r="H4032" s="1"/>
    </row>
    <row r="4033" spans="1:8" ht="13.2" x14ac:dyDescent="0.25">
      <c r="A4033" s="1"/>
      <c r="B4033" s="1"/>
      <c r="C4033" s="1"/>
      <c r="D4033" s="1"/>
      <c r="E4033" s="1"/>
      <c r="F4033" s="1"/>
      <c r="G4033" s="1"/>
      <c r="H4033" s="1"/>
    </row>
    <row r="4034" spans="1:8" ht="13.2" x14ac:dyDescent="0.25">
      <c r="A4034" s="1"/>
      <c r="B4034" s="1"/>
      <c r="C4034" s="1"/>
      <c r="D4034" s="1"/>
      <c r="E4034" s="1"/>
      <c r="F4034" s="1"/>
      <c r="G4034" s="1"/>
      <c r="H4034" s="1"/>
    </row>
    <row r="4035" spans="1:8" ht="13.2" x14ac:dyDescent="0.25">
      <c r="A4035" s="1"/>
      <c r="B4035" s="1"/>
      <c r="C4035" s="1"/>
      <c r="D4035" s="1"/>
      <c r="E4035" s="1"/>
      <c r="F4035" s="1"/>
      <c r="G4035" s="1"/>
      <c r="H4035" s="1"/>
    </row>
    <row r="4036" spans="1:8" ht="13.2" x14ac:dyDescent="0.25">
      <c r="A4036" s="1"/>
      <c r="B4036" s="1"/>
      <c r="C4036" s="1"/>
      <c r="D4036" s="1"/>
      <c r="E4036" s="1"/>
      <c r="F4036" s="1"/>
      <c r="G4036" s="1"/>
      <c r="H4036" s="1"/>
    </row>
    <row r="4037" spans="1:8" ht="13.2" x14ac:dyDescent="0.25">
      <c r="A4037" s="1"/>
      <c r="B4037" s="1"/>
      <c r="C4037" s="1"/>
      <c r="D4037" s="1"/>
      <c r="E4037" s="1"/>
      <c r="F4037" s="1"/>
      <c r="G4037" s="1"/>
      <c r="H4037" s="1"/>
    </row>
    <row r="4038" spans="1:8" ht="13.2" x14ac:dyDescent="0.25">
      <c r="A4038" s="1"/>
      <c r="B4038" s="1"/>
      <c r="C4038" s="1"/>
      <c r="D4038" s="1"/>
      <c r="E4038" s="1"/>
      <c r="F4038" s="1"/>
      <c r="G4038" s="1"/>
      <c r="H4038" s="1"/>
    </row>
    <row r="4039" spans="1:8" ht="13.2" x14ac:dyDescent="0.25">
      <c r="A4039" s="1"/>
      <c r="B4039" s="1"/>
      <c r="C4039" s="1"/>
      <c r="D4039" s="1"/>
      <c r="E4039" s="1"/>
      <c r="F4039" s="1"/>
      <c r="G4039" s="1"/>
      <c r="H4039" s="1"/>
    </row>
    <row r="4040" spans="1:8" ht="13.2" x14ac:dyDescent="0.25">
      <c r="A4040" s="1"/>
      <c r="B4040" s="1"/>
      <c r="C4040" s="1"/>
      <c r="D4040" s="1"/>
      <c r="E4040" s="1"/>
      <c r="F4040" s="1"/>
      <c r="G4040" s="1"/>
      <c r="H4040" s="1"/>
    </row>
    <row r="4041" spans="1:8" ht="13.2" x14ac:dyDescent="0.25">
      <c r="A4041" s="1"/>
      <c r="B4041" s="1"/>
      <c r="C4041" s="1"/>
      <c r="D4041" s="1"/>
      <c r="E4041" s="1"/>
      <c r="F4041" s="1"/>
      <c r="G4041" s="1"/>
      <c r="H4041" s="1"/>
    </row>
    <row r="4042" spans="1:8" ht="13.2" x14ac:dyDescent="0.25">
      <c r="A4042" s="1"/>
      <c r="B4042" s="1"/>
      <c r="C4042" s="1"/>
      <c r="D4042" s="1"/>
      <c r="E4042" s="1"/>
      <c r="F4042" s="1"/>
      <c r="G4042" s="1"/>
      <c r="H4042" s="1"/>
    </row>
    <row r="4043" spans="1:8" ht="13.2" x14ac:dyDescent="0.25">
      <c r="A4043" s="1"/>
      <c r="B4043" s="1"/>
      <c r="C4043" s="1"/>
      <c r="D4043" s="1"/>
      <c r="E4043" s="1"/>
      <c r="F4043" s="1"/>
      <c r="G4043" s="1"/>
      <c r="H4043" s="1"/>
    </row>
    <row r="4044" spans="1:8" ht="13.2" x14ac:dyDescent="0.25">
      <c r="A4044" s="1"/>
      <c r="B4044" s="1"/>
      <c r="C4044" s="1"/>
      <c r="D4044" s="1"/>
      <c r="E4044" s="1"/>
      <c r="F4044" s="1"/>
      <c r="G4044" s="1"/>
      <c r="H4044" s="1"/>
    </row>
    <row r="4045" spans="1:8" ht="13.2" x14ac:dyDescent="0.25">
      <c r="A4045" s="1"/>
      <c r="B4045" s="1"/>
      <c r="C4045" s="1"/>
      <c r="D4045" s="1"/>
      <c r="E4045" s="1"/>
      <c r="F4045" s="1"/>
      <c r="G4045" s="1"/>
      <c r="H4045" s="1"/>
    </row>
    <row r="4046" spans="1:8" ht="13.2" x14ac:dyDescent="0.25">
      <c r="A4046" s="1"/>
      <c r="B4046" s="1"/>
      <c r="C4046" s="1"/>
      <c r="D4046" s="1"/>
      <c r="E4046" s="1"/>
      <c r="F4046" s="1"/>
      <c r="G4046" s="1"/>
      <c r="H4046" s="1"/>
    </row>
    <row r="4047" spans="1:8" ht="13.2" x14ac:dyDescent="0.25">
      <c r="A4047" s="1"/>
      <c r="B4047" s="1"/>
      <c r="C4047" s="1"/>
      <c r="D4047" s="1"/>
      <c r="E4047" s="1"/>
      <c r="F4047" s="1"/>
      <c r="G4047" s="3"/>
      <c r="H4047" s="1"/>
    </row>
    <row r="4048" spans="1:8" ht="13.2" x14ac:dyDescent="0.25">
      <c r="A4048" s="1"/>
      <c r="B4048" s="1"/>
      <c r="C4048" s="1"/>
      <c r="D4048" s="1"/>
      <c r="E4048" s="1"/>
      <c r="F4048" s="1"/>
      <c r="G4048" s="1"/>
      <c r="H4048" s="1"/>
    </row>
    <row r="4049" spans="1:8" ht="13.2" x14ac:dyDescent="0.25">
      <c r="A4049" s="1"/>
      <c r="B4049" s="1"/>
      <c r="C4049" s="1"/>
      <c r="D4049" s="1"/>
      <c r="E4049" s="1"/>
      <c r="F4049" s="1"/>
      <c r="G4049" s="1"/>
      <c r="H4049" s="1"/>
    </row>
    <row r="4050" spans="1:8" ht="13.2" x14ac:dyDescent="0.25">
      <c r="A4050" s="1"/>
      <c r="B4050" s="1"/>
      <c r="C4050" s="1"/>
      <c r="D4050" s="1"/>
      <c r="E4050" s="1"/>
      <c r="F4050" s="1"/>
      <c r="G4050" s="1"/>
      <c r="H4050" s="1"/>
    </row>
    <row r="4051" spans="1:8" ht="13.2" x14ac:dyDescent="0.25">
      <c r="A4051" s="1"/>
      <c r="B4051" s="1"/>
      <c r="C4051" s="1"/>
      <c r="D4051" s="1"/>
      <c r="E4051" s="1"/>
      <c r="F4051" s="1"/>
      <c r="G4051" s="1"/>
      <c r="H4051" s="1"/>
    </row>
    <row r="4052" spans="1:8" ht="13.2" x14ac:dyDescent="0.25">
      <c r="A4052" s="1"/>
      <c r="B4052" s="1"/>
      <c r="C4052" s="1"/>
      <c r="D4052" s="1"/>
      <c r="E4052" s="1"/>
      <c r="F4052" s="1"/>
      <c r="G4052" s="3"/>
      <c r="H4052" s="1"/>
    </row>
    <row r="4053" spans="1:8" ht="13.2" x14ac:dyDescent="0.25">
      <c r="A4053" s="1"/>
      <c r="B4053" s="1"/>
      <c r="C4053" s="1"/>
      <c r="D4053" s="1"/>
      <c r="E4053" s="1"/>
      <c r="F4053" s="1"/>
      <c r="G4053" s="3"/>
      <c r="H4053" s="1"/>
    </row>
    <row r="4054" spans="1:8" ht="13.2" x14ac:dyDescent="0.25">
      <c r="A4054" s="1"/>
      <c r="B4054" s="1"/>
      <c r="C4054" s="1"/>
      <c r="D4054" s="1"/>
      <c r="E4054" s="1"/>
      <c r="F4054" s="1"/>
      <c r="G4054" s="1"/>
      <c r="H4054" s="1"/>
    </row>
    <row r="4055" spans="1:8" ht="13.2" x14ac:dyDescent="0.25">
      <c r="A4055" s="1"/>
      <c r="B4055" s="1"/>
      <c r="C4055" s="1"/>
      <c r="D4055" s="1"/>
      <c r="E4055" s="1"/>
      <c r="F4055" s="1"/>
      <c r="G4055" s="1"/>
      <c r="H4055" s="1"/>
    </row>
    <row r="4056" spans="1:8" ht="13.2" x14ac:dyDescent="0.25">
      <c r="A4056" s="1"/>
      <c r="B4056" s="1"/>
      <c r="C4056" s="1"/>
      <c r="D4056" s="1"/>
      <c r="E4056" s="1"/>
      <c r="F4056" s="1"/>
      <c r="G4056" s="1"/>
      <c r="H4056" s="1"/>
    </row>
    <row r="4057" spans="1:8" ht="13.2" x14ac:dyDescent="0.25">
      <c r="A4057" s="1"/>
      <c r="B4057" s="1"/>
      <c r="C4057" s="1"/>
      <c r="D4057" s="1"/>
      <c r="E4057" s="1"/>
      <c r="F4057" s="1"/>
      <c r="G4057" s="1"/>
      <c r="H4057" s="1"/>
    </row>
    <row r="4058" spans="1:8" ht="13.2" x14ac:dyDescent="0.25">
      <c r="A4058" s="1"/>
      <c r="B4058" s="1"/>
      <c r="C4058" s="1"/>
      <c r="D4058" s="1"/>
      <c r="E4058" s="1"/>
      <c r="F4058" s="1"/>
      <c r="G4058" s="3"/>
      <c r="H4058" s="1"/>
    </row>
    <row r="4059" spans="1:8" ht="13.2" x14ac:dyDescent="0.25">
      <c r="A4059" s="1"/>
      <c r="B4059" s="1"/>
      <c r="C4059" s="1"/>
      <c r="D4059" s="1"/>
      <c r="E4059" s="1"/>
      <c r="F4059" s="1"/>
      <c r="G4059" s="1"/>
      <c r="H4059" s="1"/>
    </row>
    <row r="4060" spans="1:8" ht="13.2" x14ac:dyDescent="0.25">
      <c r="A4060" s="1"/>
      <c r="B4060" s="1"/>
      <c r="C4060" s="1"/>
      <c r="D4060" s="1"/>
      <c r="E4060" s="1"/>
      <c r="F4060" s="1"/>
      <c r="G4060" s="3"/>
      <c r="H4060" s="1"/>
    </row>
    <row r="4061" spans="1:8" ht="13.2" x14ac:dyDescent="0.25">
      <c r="A4061" s="1"/>
      <c r="B4061" s="1"/>
      <c r="C4061" s="1"/>
      <c r="D4061" s="1"/>
      <c r="E4061" s="1"/>
      <c r="F4061" s="1"/>
      <c r="G4061" s="1"/>
      <c r="H4061" s="1"/>
    </row>
    <row r="4062" spans="1:8" ht="13.2" x14ac:dyDescent="0.25">
      <c r="A4062" s="1"/>
      <c r="B4062" s="1"/>
      <c r="C4062" s="1"/>
      <c r="D4062" s="1"/>
      <c r="E4062" s="1"/>
      <c r="F4062" s="1"/>
      <c r="G4062" s="1"/>
      <c r="H4062" s="1"/>
    </row>
    <row r="4063" spans="1:8" ht="13.2" x14ac:dyDescent="0.25">
      <c r="A4063" s="1"/>
      <c r="B4063" s="1"/>
      <c r="C4063" s="1"/>
      <c r="D4063" s="1"/>
      <c r="E4063" s="1"/>
      <c r="F4063" s="1"/>
      <c r="G4063" s="1"/>
      <c r="H4063" s="1"/>
    </row>
    <row r="4064" spans="1:8" ht="13.2" x14ac:dyDescent="0.25">
      <c r="A4064" s="1"/>
      <c r="B4064" s="1"/>
      <c r="C4064" s="1"/>
      <c r="D4064" s="1"/>
      <c r="E4064" s="1"/>
      <c r="F4064" s="1"/>
      <c r="G4064" s="1"/>
      <c r="H4064" s="1"/>
    </row>
    <row r="4065" spans="1:8" ht="13.2" x14ac:dyDescent="0.25">
      <c r="A4065" s="1"/>
      <c r="B4065" s="1"/>
      <c r="C4065" s="1"/>
      <c r="D4065" s="1"/>
      <c r="E4065" s="1"/>
      <c r="F4065" s="1"/>
      <c r="G4065" s="1"/>
      <c r="H4065" s="1"/>
    </row>
    <row r="4066" spans="1:8" ht="13.2" x14ac:dyDescent="0.25">
      <c r="A4066" s="1"/>
      <c r="B4066" s="1"/>
      <c r="C4066" s="1"/>
      <c r="D4066" s="1"/>
      <c r="E4066" s="1"/>
      <c r="F4066" s="1"/>
      <c r="G4066" s="1"/>
      <c r="H4066" s="1"/>
    </row>
    <row r="4067" spans="1:8" ht="13.2" x14ac:dyDescent="0.25">
      <c r="A4067" s="1"/>
      <c r="B4067" s="1"/>
      <c r="C4067" s="1"/>
      <c r="D4067" s="1"/>
      <c r="E4067" s="1"/>
      <c r="F4067" s="1"/>
      <c r="G4067" s="1"/>
      <c r="H4067" s="1"/>
    </row>
    <row r="4068" spans="1:8" ht="13.2" x14ac:dyDescent="0.25">
      <c r="A4068" s="1"/>
      <c r="B4068" s="1"/>
      <c r="C4068" s="1"/>
      <c r="D4068" s="1"/>
      <c r="E4068" s="1"/>
      <c r="F4068" s="1"/>
      <c r="G4068" s="1"/>
      <c r="H4068" s="1"/>
    </row>
    <row r="4069" spans="1:8" ht="13.2" x14ac:dyDescent="0.25">
      <c r="A4069" s="1"/>
      <c r="B4069" s="1"/>
      <c r="C4069" s="1"/>
      <c r="D4069" s="1"/>
      <c r="E4069" s="1"/>
      <c r="F4069" s="1"/>
      <c r="G4069" s="1"/>
      <c r="H4069" s="1"/>
    </row>
    <row r="4070" spans="1:8" ht="13.2" x14ac:dyDescent="0.25">
      <c r="A4070" s="1"/>
      <c r="B4070" s="1"/>
      <c r="C4070" s="1"/>
      <c r="D4070" s="1"/>
      <c r="E4070" s="1"/>
      <c r="F4070" s="1"/>
      <c r="G4070" s="1"/>
      <c r="H4070" s="1"/>
    </row>
    <row r="4071" spans="1:8" ht="13.2" x14ac:dyDescent="0.25">
      <c r="A4071" s="1"/>
      <c r="B4071" s="1"/>
      <c r="C4071" s="1"/>
      <c r="D4071" s="1"/>
      <c r="E4071" s="1"/>
      <c r="F4071" s="1"/>
      <c r="G4071" s="1"/>
      <c r="H4071" s="1"/>
    </row>
    <row r="4072" spans="1:8" ht="13.2" x14ac:dyDescent="0.25">
      <c r="A4072" s="1"/>
      <c r="B4072" s="1"/>
      <c r="C4072" s="1"/>
      <c r="D4072" s="1"/>
      <c r="E4072" s="1"/>
      <c r="F4072" s="1"/>
      <c r="G4072" s="1"/>
      <c r="H4072" s="1"/>
    </row>
    <row r="4073" spans="1:8" ht="13.2" x14ac:dyDescent="0.25">
      <c r="A4073" s="1"/>
      <c r="B4073" s="1"/>
      <c r="C4073" s="1"/>
      <c r="D4073" s="1"/>
      <c r="E4073" s="1"/>
      <c r="F4073" s="1"/>
      <c r="G4073" s="3"/>
      <c r="H4073" s="1"/>
    </row>
    <row r="4074" spans="1:8" ht="13.2" x14ac:dyDescent="0.25">
      <c r="A4074" s="1"/>
      <c r="B4074" s="1"/>
      <c r="C4074" s="1"/>
      <c r="D4074" s="1"/>
      <c r="E4074" s="1"/>
      <c r="F4074" s="1"/>
      <c r="G4074" s="1"/>
      <c r="H4074" s="1"/>
    </row>
    <row r="4075" spans="1:8" ht="13.2" x14ac:dyDescent="0.25">
      <c r="A4075" s="1"/>
      <c r="B4075" s="1"/>
      <c r="C4075" s="1"/>
      <c r="D4075" s="1"/>
      <c r="E4075" s="1"/>
      <c r="F4075" s="1"/>
      <c r="G4075" s="1"/>
      <c r="H4075" s="1"/>
    </row>
    <row r="4076" spans="1:8" ht="13.2" x14ac:dyDescent="0.25">
      <c r="A4076" s="1"/>
      <c r="B4076" s="1"/>
      <c r="C4076" s="1"/>
      <c r="D4076" s="1"/>
      <c r="E4076" s="1"/>
      <c r="F4076" s="1"/>
      <c r="G4076" s="1"/>
      <c r="H4076" s="1"/>
    </row>
    <row r="4077" spans="1:8" ht="13.2" x14ac:dyDescent="0.25">
      <c r="A4077" s="1"/>
      <c r="B4077" s="1"/>
      <c r="C4077" s="1"/>
      <c r="D4077" s="1"/>
      <c r="E4077" s="1"/>
      <c r="F4077" s="1"/>
      <c r="G4077" s="3"/>
      <c r="H4077" s="1"/>
    </row>
    <row r="4078" spans="1:8" ht="13.2" x14ac:dyDescent="0.25">
      <c r="A4078" s="1"/>
      <c r="B4078" s="1"/>
      <c r="C4078" s="1"/>
      <c r="D4078" s="1"/>
      <c r="E4078" s="1"/>
      <c r="F4078" s="1"/>
      <c r="G4078" s="1"/>
      <c r="H4078" s="1"/>
    </row>
    <row r="4079" spans="1:8" ht="13.2" x14ac:dyDescent="0.25">
      <c r="A4079" s="1"/>
      <c r="B4079" s="1"/>
      <c r="C4079" s="1"/>
      <c r="D4079" s="1"/>
      <c r="E4079" s="1"/>
      <c r="F4079" s="1"/>
      <c r="G4079" s="1"/>
      <c r="H4079" s="1"/>
    </row>
    <row r="4080" spans="1:8" ht="13.2" x14ac:dyDescent="0.25">
      <c r="A4080" s="1"/>
      <c r="B4080" s="1"/>
      <c r="C4080" s="1"/>
      <c r="D4080" s="1"/>
      <c r="E4080" s="1"/>
      <c r="F4080" s="1"/>
      <c r="G4080" s="3"/>
      <c r="H4080" s="1"/>
    </row>
    <row r="4081" spans="1:8" ht="13.2" x14ac:dyDescent="0.25">
      <c r="A4081" s="1"/>
      <c r="B4081" s="1"/>
      <c r="C4081" s="1"/>
      <c r="D4081" s="1"/>
      <c r="E4081" s="1"/>
      <c r="F4081" s="1"/>
      <c r="G4081" s="3"/>
      <c r="H4081" s="1"/>
    </row>
    <row r="4082" spans="1:8" ht="13.2" x14ac:dyDescent="0.25">
      <c r="A4082" s="1"/>
      <c r="B4082" s="1"/>
      <c r="C4082" s="1"/>
      <c r="D4082" s="1"/>
      <c r="E4082" s="1"/>
      <c r="F4082" s="1"/>
      <c r="G4082" s="1"/>
      <c r="H4082" s="1"/>
    </row>
    <row r="4083" spans="1:8" ht="13.2" x14ac:dyDescent="0.25">
      <c r="A4083" s="1"/>
      <c r="B4083" s="1"/>
      <c r="C4083" s="1"/>
      <c r="D4083" s="1"/>
      <c r="E4083" s="1"/>
      <c r="F4083" s="1"/>
      <c r="G4083" s="1"/>
      <c r="H4083" s="1"/>
    </row>
    <row r="4084" spans="1:8" ht="13.2" x14ac:dyDescent="0.25">
      <c r="A4084" s="1"/>
      <c r="B4084" s="1"/>
      <c r="C4084" s="1"/>
      <c r="D4084" s="1"/>
      <c r="E4084" s="1"/>
      <c r="F4084" s="1"/>
      <c r="G4084" s="1"/>
      <c r="H4084" s="1"/>
    </row>
    <row r="4085" spans="1:8" ht="13.2" x14ac:dyDescent="0.25">
      <c r="A4085" s="1"/>
      <c r="B4085" s="1"/>
      <c r="C4085" s="1"/>
      <c r="D4085" s="1"/>
      <c r="E4085" s="1"/>
      <c r="F4085" s="1"/>
      <c r="G4085" s="3"/>
      <c r="H4085" s="1"/>
    </row>
    <row r="4086" spans="1:8" ht="13.2" x14ac:dyDescent="0.25">
      <c r="A4086" s="1"/>
      <c r="B4086" s="1"/>
      <c r="C4086" s="1"/>
      <c r="D4086" s="1"/>
      <c r="E4086" s="1"/>
      <c r="F4086" s="1"/>
      <c r="G4086" s="1"/>
      <c r="H4086" s="1"/>
    </row>
    <row r="4087" spans="1:8" ht="13.2" x14ac:dyDescent="0.25">
      <c r="A4087" s="1"/>
      <c r="B4087" s="1"/>
      <c r="C4087" s="1"/>
      <c r="D4087" s="1"/>
      <c r="E4087" s="1"/>
      <c r="F4087" s="1"/>
      <c r="G4087" s="1"/>
      <c r="H4087" s="1"/>
    </row>
    <row r="4088" spans="1:8" ht="13.2" x14ac:dyDescent="0.25">
      <c r="A4088" s="1"/>
      <c r="B4088" s="1"/>
      <c r="C4088" s="1"/>
      <c r="D4088" s="1"/>
      <c r="E4088" s="1"/>
      <c r="F4088" s="1"/>
      <c r="G4088" s="1"/>
      <c r="H4088" s="1"/>
    </row>
    <row r="4089" spans="1:8" ht="13.2" x14ac:dyDescent="0.25">
      <c r="A4089" s="1"/>
      <c r="B4089" s="1"/>
      <c r="C4089" s="1"/>
      <c r="D4089" s="1"/>
      <c r="E4089" s="1"/>
      <c r="F4089" s="1"/>
      <c r="G4089" s="3"/>
      <c r="H4089" s="1"/>
    </row>
    <row r="4090" spans="1:8" ht="13.2" x14ac:dyDescent="0.25">
      <c r="A4090" s="1"/>
      <c r="B4090" s="1"/>
      <c r="C4090" s="1"/>
      <c r="D4090" s="1"/>
      <c r="E4090" s="1"/>
      <c r="F4090" s="1"/>
      <c r="G4090" s="1"/>
      <c r="H4090" s="1"/>
    </row>
    <row r="4091" spans="1:8" ht="13.2" x14ac:dyDescent="0.25">
      <c r="A4091" s="1"/>
      <c r="B4091" s="1"/>
      <c r="C4091" s="1"/>
      <c r="D4091" s="1"/>
      <c r="E4091" s="1"/>
      <c r="F4091" s="1"/>
      <c r="G4091" s="3"/>
      <c r="H4091" s="1"/>
    </row>
    <row r="4092" spans="1:8" ht="13.2" x14ac:dyDescent="0.25">
      <c r="A4092" s="1"/>
      <c r="B4092" s="1"/>
      <c r="C4092" s="1"/>
      <c r="D4092" s="1"/>
      <c r="E4092" s="1"/>
      <c r="F4092" s="1"/>
      <c r="G4092" s="1"/>
      <c r="H4092" s="1"/>
    </row>
    <row r="4093" spans="1:8" ht="13.2" x14ac:dyDescent="0.25">
      <c r="A4093" s="1"/>
      <c r="B4093" s="1"/>
      <c r="C4093" s="1"/>
      <c r="D4093" s="1"/>
      <c r="E4093" s="1"/>
      <c r="F4093" s="1"/>
      <c r="G4093" s="1"/>
      <c r="H4093" s="1"/>
    </row>
    <row r="4094" spans="1:8" ht="13.2" x14ac:dyDescent="0.25">
      <c r="A4094" s="1"/>
      <c r="B4094" s="1"/>
      <c r="C4094" s="1"/>
      <c r="D4094" s="1"/>
      <c r="E4094" s="1"/>
      <c r="F4094" s="1"/>
      <c r="G4094" s="1"/>
      <c r="H4094" s="1"/>
    </row>
    <row r="4095" spans="1:8" ht="13.2" x14ac:dyDescent="0.25">
      <c r="A4095" s="1"/>
      <c r="B4095" s="1"/>
      <c r="C4095" s="1"/>
      <c r="D4095" s="1"/>
      <c r="E4095" s="1"/>
      <c r="F4095" s="1"/>
      <c r="G4095" s="3"/>
      <c r="H4095" s="1"/>
    </row>
    <row r="4096" spans="1:8" ht="13.2" x14ac:dyDescent="0.25">
      <c r="A4096" s="1"/>
      <c r="B4096" s="1"/>
      <c r="C4096" s="1"/>
      <c r="D4096" s="1"/>
      <c r="E4096" s="1"/>
      <c r="F4096" s="1"/>
      <c r="G4096" s="3"/>
      <c r="H4096" s="1"/>
    </row>
    <row r="4097" spans="1:8" ht="13.2" x14ac:dyDescent="0.25">
      <c r="A4097" s="1"/>
      <c r="B4097" s="1"/>
      <c r="C4097" s="1"/>
      <c r="D4097" s="1"/>
      <c r="E4097" s="1"/>
      <c r="F4097" s="1"/>
      <c r="G4097" s="1"/>
      <c r="H4097" s="1"/>
    </row>
    <row r="4098" spans="1:8" ht="13.2" x14ac:dyDescent="0.25">
      <c r="A4098" s="1"/>
      <c r="B4098" s="1"/>
      <c r="C4098" s="1"/>
      <c r="D4098" s="1"/>
      <c r="E4098" s="1"/>
      <c r="F4098" s="1"/>
      <c r="G4098" s="1"/>
      <c r="H4098" s="1"/>
    </row>
    <row r="4099" spans="1:8" ht="13.2" x14ac:dyDescent="0.25">
      <c r="A4099" s="1"/>
      <c r="B4099" s="1"/>
      <c r="C4099" s="1"/>
      <c r="D4099" s="1"/>
      <c r="E4099" s="1"/>
      <c r="F4099" s="1"/>
      <c r="G4099" s="1"/>
      <c r="H4099" s="1"/>
    </row>
    <row r="4100" spans="1:8" ht="13.2" x14ac:dyDescent="0.25">
      <c r="A4100" s="1"/>
      <c r="B4100" s="1"/>
      <c r="C4100" s="1"/>
      <c r="D4100" s="1"/>
      <c r="E4100" s="1"/>
      <c r="F4100" s="1"/>
      <c r="G4100" s="1"/>
      <c r="H4100" s="1"/>
    </row>
    <row r="4101" spans="1:8" ht="13.2" x14ac:dyDescent="0.25">
      <c r="A4101" s="1"/>
      <c r="B4101" s="1"/>
      <c r="C4101" s="1"/>
      <c r="D4101" s="1"/>
      <c r="E4101" s="1"/>
      <c r="F4101" s="1"/>
      <c r="G4101" s="1"/>
      <c r="H4101" s="1"/>
    </row>
    <row r="4102" spans="1:8" ht="13.2" x14ac:dyDescent="0.25">
      <c r="A4102" s="1"/>
      <c r="B4102" s="1"/>
      <c r="C4102" s="1"/>
      <c r="D4102" s="1"/>
      <c r="E4102" s="1"/>
      <c r="F4102" s="1"/>
      <c r="G4102" s="1"/>
      <c r="H4102" s="1"/>
    </row>
    <row r="4103" spans="1:8" ht="13.2" x14ac:dyDescent="0.25">
      <c r="A4103" s="1"/>
      <c r="B4103" s="1"/>
      <c r="C4103" s="1"/>
      <c r="D4103" s="1"/>
      <c r="E4103" s="1"/>
      <c r="F4103" s="1"/>
      <c r="G4103" s="1"/>
      <c r="H4103" s="1"/>
    </row>
    <row r="4104" spans="1:8" ht="13.2" x14ac:dyDescent="0.25">
      <c r="A4104" s="1"/>
      <c r="B4104" s="1"/>
      <c r="C4104" s="1"/>
      <c r="D4104" s="1"/>
      <c r="E4104" s="1"/>
      <c r="F4104" s="1"/>
      <c r="G4104" s="1"/>
      <c r="H4104" s="1"/>
    </row>
    <row r="4105" spans="1:8" ht="13.2" x14ac:dyDescent="0.25">
      <c r="A4105" s="1"/>
      <c r="B4105" s="1"/>
      <c r="C4105" s="1"/>
      <c r="D4105" s="1"/>
      <c r="E4105" s="1"/>
      <c r="F4105" s="1"/>
      <c r="G4105" s="3"/>
      <c r="H4105" s="1"/>
    </row>
    <row r="4106" spans="1:8" ht="13.2" x14ac:dyDescent="0.25">
      <c r="A4106" s="1"/>
      <c r="B4106" s="1"/>
      <c r="C4106" s="1"/>
      <c r="D4106" s="1"/>
      <c r="E4106" s="1"/>
      <c r="F4106" s="1"/>
      <c r="G4106" s="1"/>
      <c r="H4106" s="1"/>
    </row>
    <row r="4107" spans="1:8" ht="13.2" x14ac:dyDescent="0.25">
      <c r="A4107" s="1"/>
      <c r="B4107" s="1"/>
      <c r="C4107" s="1"/>
      <c r="D4107" s="1"/>
      <c r="E4107" s="1"/>
      <c r="F4107" s="1"/>
      <c r="G4107" s="1"/>
      <c r="H4107" s="1"/>
    </row>
    <row r="4108" spans="1:8" ht="13.2" x14ac:dyDescent="0.25">
      <c r="A4108" s="1"/>
      <c r="B4108" s="1"/>
      <c r="C4108" s="1"/>
      <c r="D4108" s="1"/>
      <c r="E4108" s="1"/>
      <c r="F4108" s="1"/>
      <c r="G4108" s="1"/>
      <c r="H4108" s="1"/>
    </row>
    <row r="4109" spans="1:8" ht="13.2" x14ac:dyDescent="0.25">
      <c r="A4109" s="1"/>
      <c r="B4109" s="1"/>
      <c r="C4109" s="1"/>
      <c r="D4109" s="1"/>
      <c r="E4109" s="1"/>
      <c r="F4109" s="1"/>
      <c r="G4109" s="1"/>
      <c r="H4109" s="1"/>
    </row>
    <row r="4110" spans="1:8" ht="13.2" x14ac:dyDescent="0.25">
      <c r="A4110" s="1"/>
      <c r="B4110" s="1"/>
      <c r="C4110" s="1"/>
      <c r="D4110" s="1"/>
      <c r="E4110" s="1"/>
      <c r="F4110" s="1"/>
      <c r="G4110" s="1"/>
      <c r="H4110" s="1"/>
    </row>
    <row r="4111" spans="1:8" ht="13.2" x14ac:dyDescent="0.25">
      <c r="A4111" s="1"/>
      <c r="B4111" s="1"/>
      <c r="C4111" s="1"/>
      <c r="D4111" s="1"/>
      <c r="E4111" s="1"/>
      <c r="F4111" s="1"/>
      <c r="G4111" s="1"/>
      <c r="H4111" s="1"/>
    </row>
    <row r="4112" spans="1:8" ht="13.2" x14ac:dyDescent="0.25">
      <c r="A4112" s="1"/>
      <c r="B4112" s="1"/>
      <c r="C4112" s="1"/>
      <c r="D4112" s="1"/>
      <c r="E4112" s="1"/>
      <c r="F4112" s="1"/>
      <c r="G4112" s="1"/>
      <c r="H4112" s="1"/>
    </row>
    <row r="4113" spans="1:8" ht="13.2" x14ac:dyDescent="0.25">
      <c r="A4113" s="1"/>
      <c r="B4113" s="1"/>
      <c r="C4113" s="1"/>
      <c r="D4113" s="1"/>
      <c r="E4113" s="1"/>
      <c r="F4113" s="1"/>
      <c r="G4113" s="1"/>
      <c r="H4113" s="1"/>
    </row>
    <row r="4114" spans="1:8" ht="13.2" x14ac:dyDescent="0.25">
      <c r="A4114" s="1"/>
      <c r="B4114" s="1"/>
      <c r="C4114" s="1"/>
      <c r="D4114" s="1"/>
      <c r="E4114" s="1"/>
      <c r="F4114" s="1"/>
      <c r="G4114" s="1"/>
      <c r="H4114" s="1"/>
    </row>
    <row r="4115" spans="1:8" ht="13.2" x14ac:dyDescent="0.25">
      <c r="A4115" s="1"/>
      <c r="B4115" s="1"/>
      <c r="C4115" s="1"/>
      <c r="D4115" s="1"/>
      <c r="E4115" s="1"/>
      <c r="F4115" s="1"/>
      <c r="G4115" s="1"/>
      <c r="H4115" s="1"/>
    </row>
    <row r="4116" spans="1:8" ht="13.2" x14ac:dyDescent="0.25">
      <c r="A4116" s="1"/>
      <c r="B4116" s="1"/>
      <c r="C4116" s="1"/>
      <c r="D4116" s="1"/>
      <c r="E4116" s="1"/>
      <c r="F4116" s="1"/>
      <c r="G4116" s="1"/>
      <c r="H4116" s="1"/>
    </row>
    <row r="4117" spans="1:8" ht="13.2" x14ac:dyDescent="0.25">
      <c r="A4117" s="1"/>
      <c r="B4117" s="1"/>
      <c r="C4117" s="1"/>
      <c r="D4117" s="1"/>
      <c r="E4117" s="1"/>
      <c r="F4117" s="1"/>
      <c r="G4117" s="1"/>
      <c r="H4117" s="1"/>
    </row>
    <row r="4118" spans="1:8" ht="13.2" x14ac:dyDescent="0.25">
      <c r="A4118" s="1"/>
      <c r="B4118" s="1"/>
      <c r="C4118" s="1"/>
      <c r="D4118" s="1"/>
      <c r="E4118" s="1"/>
      <c r="F4118" s="1"/>
      <c r="G4118" s="1"/>
      <c r="H4118" s="1"/>
    </row>
    <row r="4119" spans="1:8" ht="13.2" x14ac:dyDescent="0.25">
      <c r="A4119" s="1"/>
      <c r="B4119" s="1"/>
      <c r="C4119" s="1"/>
      <c r="D4119" s="1"/>
      <c r="E4119" s="1"/>
      <c r="F4119" s="1"/>
      <c r="G4119" s="1"/>
      <c r="H4119" s="1"/>
    </row>
    <row r="4120" spans="1:8" ht="13.2" x14ac:dyDescent="0.25">
      <c r="A4120" s="1"/>
      <c r="B4120" s="1"/>
      <c r="C4120" s="1"/>
      <c r="D4120" s="1"/>
      <c r="E4120" s="1"/>
      <c r="F4120" s="1"/>
      <c r="G4120" s="1"/>
      <c r="H4120" s="1"/>
    </row>
    <row r="4121" spans="1:8" ht="13.2" x14ac:dyDescent="0.25">
      <c r="A4121" s="1"/>
      <c r="B4121" s="1"/>
      <c r="C4121" s="1"/>
      <c r="D4121" s="1"/>
      <c r="E4121" s="1"/>
      <c r="F4121" s="1"/>
      <c r="G4121" s="1"/>
      <c r="H4121" s="1"/>
    </row>
    <row r="4122" spans="1:8" ht="13.2" x14ac:dyDescent="0.25">
      <c r="A4122" s="1"/>
      <c r="B4122" s="1"/>
      <c r="C4122" s="1"/>
      <c r="D4122" s="1"/>
      <c r="E4122" s="1"/>
      <c r="F4122" s="1"/>
      <c r="G4122" s="1"/>
      <c r="H4122" s="1"/>
    </row>
    <row r="4123" spans="1:8" ht="13.2" x14ac:dyDescent="0.25">
      <c r="A4123" s="1"/>
      <c r="B4123" s="1"/>
      <c r="C4123" s="1"/>
      <c r="D4123" s="1"/>
      <c r="E4123" s="1"/>
      <c r="F4123" s="1"/>
      <c r="G4123" s="1"/>
      <c r="H4123" s="1"/>
    </row>
    <row r="4124" spans="1:8" ht="13.2" x14ac:dyDescent="0.25">
      <c r="A4124" s="1"/>
      <c r="B4124" s="1"/>
      <c r="C4124" s="1"/>
      <c r="D4124" s="1"/>
      <c r="E4124" s="1"/>
      <c r="F4124" s="1"/>
      <c r="G4124" s="1"/>
      <c r="H4124" s="1"/>
    </row>
    <row r="4125" spans="1:8" ht="13.2" x14ac:dyDescent="0.25">
      <c r="A4125" s="1"/>
      <c r="B4125" s="1"/>
      <c r="C4125" s="1"/>
      <c r="D4125" s="1"/>
      <c r="E4125" s="1"/>
      <c r="F4125" s="1"/>
      <c r="G4125" s="1"/>
      <c r="H4125" s="1"/>
    </row>
    <row r="4126" spans="1:8" ht="13.2" x14ac:dyDescent="0.25">
      <c r="A4126" s="1"/>
      <c r="B4126" s="1"/>
      <c r="C4126" s="1"/>
      <c r="D4126" s="1"/>
      <c r="E4126" s="1"/>
      <c r="F4126" s="1"/>
      <c r="G4126" s="1"/>
      <c r="H4126" s="1"/>
    </row>
    <row r="4127" spans="1:8" ht="13.2" x14ac:dyDescent="0.25">
      <c r="A4127" s="1"/>
      <c r="B4127" s="1"/>
      <c r="C4127" s="1"/>
      <c r="D4127" s="1"/>
      <c r="E4127" s="1"/>
      <c r="F4127" s="1"/>
      <c r="G4127" s="1"/>
      <c r="H4127" s="1"/>
    </row>
    <row r="4128" spans="1:8" ht="13.2" x14ac:dyDescent="0.25">
      <c r="A4128" s="1"/>
      <c r="B4128" s="1"/>
      <c r="C4128" s="1"/>
      <c r="D4128" s="1"/>
      <c r="E4128" s="1"/>
      <c r="F4128" s="1"/>
      <c r="G4128" s="1"/>
      <c r="H4128" s="1"/>
    </row>
    <row r="4129" spans="1:8" ht="13.2" x14ac:dyDescent="0.25">
      <c r="A4129" s="1"/>
      <c r="B4129" s="1"/>
      <c r="C4129" s="1"/>
      <c r="D4129" s="1"/>
      <c r="E4129" s="1"/>
      <c r="F4129" s="1"/>
      <c r="G4129" s="1"/>
      <c r="H4129" s="1"/>
    </row>
    <row r="4130" spans="1:8" ht="13.2" x14ac:dyDescent="0.25">
      <c r="A4130" s="1"/>
      <c r="B4130" s="1"/>
      <c r="C4130" s="1"/>
      <c r="D4130" s="1"/>
      <c r="E4130" s="1"/>
      <c r="F4130" s="1"/>
      <c r="G4130" s="1"/>
      <c r="H4130" s="1"/>
    </row>
    <row r="4131" spans="1:8" ht="13.2" x14ac:dyDescent="0.25">
      <c r="A4131" s="1"/>
      <c r="B4131" s="1"/>
      <c r="C4131" s="1"/>
      <c r="D4131" s="1"/>
      <c r="E4131" s="1"/>
      <c r="F4131" s="1"/>
      <c r="G4131" s="1"/>
      <c r="H4131" s="1"/>
    </row>
    <row r="4132" spans="1:8" ht="13.2" x14ac:dyDescent="0.25">
      <c r="A4132" s="1"/>
      <c r="B4132" s="1"/>
      <c r="C4132" s="1"/>
      <c r="D4132" s="1"/>
      <c r="E4132" s="1"/>
      <c r="F4132" s="1"/>
      <c r="G4132" s="1"/>
      <c r="H4132" s="1"/>
    </row>
    <row r="4133" spans="1:8" ht="13.2" x14ac:dyDescent="0.25">
      <c r="A4133" s="1"/>
      <c r="B4133" s="1"/>
      <c r="C4133" s="1"/>
      <c r="D4133" s="1"/>
      <c r="E4133" s="1"/>
      <c r="F4133" s="1"/>
      <c r="G4133" s="1"/>
      <c r="H4133" s="1"/>
    </row>
    <row r="4134" spans="1:8" ht="13.2" x14ac:dyDescent="0.25">
      <c r="A4134" s="1"/>
      <c r="B4134" s="1"/>
      <c r="C4134" s="1"/>
      <c r="D4134" s="1"/>
      <c r="E4134" s="1"/>
      <c r="F4134" s="1"/>
      <c r="G4134" s="1"/>
      <c r="H4134" s="1"/>
    </row>
    <row r="4135" spans="1:8" ht="13.2" x14ac:dyDescent="0.25">
      <c r="A4135" s="1"/>
      <c r="B4135" s="1"/>
      <c r="C4135" s="1"/>
      <c r="D4135" s="1"/>
      <c r="E4135" s="1"/>
      <c r="F4135" s="1"/>
      <c r="G4135" s="1"/>
      <c r="H4135" s="1"/>
    </row>
    <row r="4136" spans="1:8" ht="13.2" x14ac:dyDescent="0.25">
      <c r="A4136" s="1"/>
      <c r="B4136" s="1"/>
      <c r="C4136" s="1"/>
      <c r="D4136" s="1"/>
      <c r="E4136" s="1"/>
      <c r="F4136" s="1"/>
      <c r="G4136" s="1"/>
      <c r="H4136" s="1"/>
    </row>
    <row r="4137" spans="1:8" ht="13.2" x14ac:dyDescent="0.25">
      <c r="A4137" s="1"/>
      <c r="B4137" s="1"/>
      <c r="C4137" s="1"/>
      <c r="D4137" s="1"/>
      <c r="E4137" s="1"/>
      <c r="F4137" s="1"/>
      <c r="G4137" s="1"/>
      <c r="H4137" s="1"/>
    </row>
    <row r="4138" spans="1:8" ht="13.2" x14ac:dyDescent="0.25">
      <c r="A4138" s="1"/>
      <c r="B4138" s="1"/>
      <c r="C4138" s="1"/>
      <c r="D4138" s="1"/>
      <c r="E4138" s="1"/>
      <c r="F4138" s="1"/>
      <c r="G4138" s="3"/>
      <c r="H4138" s="1"/>
    </row>
    <row r="4139" spans="1:8" ht="13.2" x14ac:dyDescent="0.25">
      <c r="A4139" s="1"/>
      <c r="B4139" s="1"/>
      <c r="C4139" s="1"/>
      <c r="D4139" s="1"/>
      <c r="E4139" s="1"/>
      <c r="F4139" s="1"/>
      <c r="G4139" s="1"/>
      <c r="H4139" s="1"/>
    </row>
    <row r="4140" spans="1:8" ht="13.2" x14ac:dyDescent="0.25">
      <c r="A4140" s="1"/>
      <c r="B4140" s="1"/>
      <c r="C4140" s="1"/>
      <c r="D4140" s="1"/>
      <c r="E4140" s="1"/>
      <c r="F4140" s="1"/>
      <c r="G4140" s="1"/>
      <c r="H4140" s="1"/>
    </row>
    <row r="4141" spans="1:8" ht="13.2" x14ac:dyDescent="0.25">
      <c r="A4141" s="1"/>
      <c r="B4141" s="1"/>
      <c r="C4141" s="1"/>
      <c r="D4141" s="1"/>
      <c r="E4141" s="1"/>
      <c r="F4141" s="1"/>
      <c r="G4141" s="1"/>
      <c r="H4141" s="1"/>
    </row>
    <row r="4142" spans="1:8" ht="13.2" x14ac:dyDescent="0.25">
      <c r="A4142" s="1"/>
      <c r="B4142" s="1"/>
      <c r="C4142" s="1"/>
      <c r="D4142" s="1"/>
      <c r="E4142" s="1"/>
      <c r="F4142" s="1"/>
      <c r="G4142" s="3"/>
      <c r="H4142" s="1"/>
    </row>
    <row r="4143" spans="1:8" ht="13.2" x14ac:dyDescent="0.25">
      <c r="A4143" s="1"/>
      <c r="B4143" s="1"/>
      <c r="C4143" s="1"/>
      <c r="D4143" s="1"/>
      <c r="E4143" s="1"/>
      <c r="F4143" s="1"/>
      <c r="G4143" s="1"/>
      <c r="H4143" s="1"/>
    </row>
    <row r="4144" spans="1:8" ht="13.2" x14ac:dyDescent="0.25">
      <c r="A4144" s="1"/>
      <c r="B4144" s="1"/>
      <c r="C4144" s="1"/>
      <c r="D4144" s="1"/>
      <c r="E4144" s="1"/>
      <c r="F4144" s="1"/>
      <c r="G4144" s="1"/>
      <c r="H4144" s="1"/>
    </row>
    <row r="4145" spans="1:8" ht="13.2" x14ac:dyDescent="0.25">
      <c r="A4145" s="1"/>
      <c r="B4145" s="1"/>
      <c r="C4145" s="1"/>
      <c r="D4145" s="1"/>
      <c r="E4145" s="1"/>
      <c r="F4145" s="1"/>
      <c r="G4145" s="1"/>
      <c r="H4145" s="1"/>
    </row>
    <row r="4146" spans="1:8" ht="13.2" x14ac:dyDescent="0.25">
      <c r="A4146" s="1"/>
      <c r="B4146" s="1"/>
      <c r="C4146" s="1"/>
      <c r="D4146" s="1"/>
      <c r="E4146" s="1"/>
      <c r="F4146" s="1"/>
      <c r="G4146" s="1"/>
      <c r="H4146" s="1"/>
    </row>
    <row r="4147" spans="1:8" ht="13.2" x14ac:dyDescent="0.25">
      <c r="A4147" s="1"/>
      <c r="B4147" s="1"/>
      <c r="C4147" s="1"/>
      <c r="D4147" s="1"/>
      <c r="E4147" s="1"/>
      <c r="F4147" s="1"/>
      <c r="G4147" s="3"/>
      <c r="H4147" s="1"/>
    </row>
    <row r="4148" spans="1:8" ht="13.2" x14ac:dyDescent="0.25">
      <c r="A4148" s="1"/>
      <c r="B4148" s="1"/>
      <c r="C4148" s="1"/>
      <c r="D4148" s="1"/>
      <c r="E4148" s="1"/>
      <c r="F4148" s="1"/>
      <c r="G4148" s="1"/>
      <c r="H4148" s="1"/>
    </row>
    <row r="4149" spans="1:8" ht="13.2" x14ac:dyDescent="0.25">
      <c r="A4149" s="1"/>
      <c r="B4149" s="1"/>
      <c r="C4149" s="1"/>
      <c r="D4149" s="1"/>
      <c r="E4149" s="1"/>
      <c r="F4149" s="1"/>
      <c r="G4149" s="1"/>
      <c r="H4149" s="1"/>
    </row>
    <row r="4150" spans="1:8" ht="13.2" x14ac:dyDescent="0.25">
      <c r="A4150" s="1"/>
      <c r="B4150" s="1"/>
      <c r="C4150" s="1"/>
      <c r="D4150" s="1"/>
      <c r="E4150" s="1"/>
      <c r="F4150" s="1"/>
      <c r="G4150" s="1"/>
      <c r="H4150" s="1"/>
    </row>
    <row r="4151" spans="1:8" ht="13.2" x14ac:dyDescent="0.25">
      <c r="A4151" s="1"/>
      <c r="B4151" s="1"/>
      <c r="C4151" s="1"/>
      <c r="D4151" s="1"/>
      <c r="E4151" s="1"/>
      <c r="F4151" s="1"/>
      <c r="G4151" s="3"/>
      <c r="H4151" s="1"/>
    </row>
    <row r="4152" spans="1:8" ht="13.2" x14ac:dyDescent="0.25">
      <c r="A4152" s="1"/>
      <c r="B4152" s="1"/>
      <c r="C4152" s="1"/>
      <c r="D4152" s="1"/>
      <c r="E4152" s="1"/>
      <c r="F4152" s="1"/>
      <c r="G4152" s="1"/>
      <c r="H4152" s="1"/>
    </row>
    <row r="4153" spans="1:8" ht="13.2" x14ac:dyDescent="0.25">
      <c r="A4153" s="1"/>
      <c r="B4153" s="1"/>
      <c r="C4153" s="1"/>
      <c r="D4153" s="1"/>
      <c r="E4153" s="1"/>
      <c r="F4153" s="1"/>
      <c r="G4153" s="1"/>
      <c r="H4153" s="1"/>
    </row>
    <row r="4154" spans="1:8" ht="13.2" x14ac:dyDescent="0.25">
      <c r="A4154" s="1"/>
      <c r="B4154" s="1"/>
      <c r="C4154" s="1"/>
      <c r="D4154" s="1"/>
      <c r="E4154" s="1"/>
      <c r="F4154" s="1"/>
      <c r="G4154" s="1"/>
      <c r="H4154" s="1"/>
    </row>
    <row r="4155" spans="1:8" ht="13.2" x14ac:dyDescent="0.25">
      <c r="A4155" s="1"/>
      <c r="B4155" s="1"/>
      <c r="C4155" s="1"/>
      <c r="D4155" s="1"/>
      <c r="E4155" s="1"/>
      <c r="F4155" s="1"/>
      <c r="G4155" s="1"/>
      <c r="H4155" s="1"/>
    </row>
    <row r="4156" spans="1:8" ht="13.2" x14ac:dyDescent="0.25">
      <c r="A4156" s="1"/>
      <c r="B4156" s="1"/>
      <c r="C4156" s="1"/>
      <c r="D4156" s="1"/>
      <c r="E4156" s="1"/>
      <c r="F4156" s="1"/>
      <c r="G4156" s="3"/>
      <c r="H4156" s="1"/>
    </row>
    <row r="4157" spans="1:8" ht="13.2" x14ac:dyDescent="0.25">
      <c r="A4157" s="1"/>
      <c r="B4157" s="1"/>
      <c r="C4157" s="1"/>
      <c r="D4157" s="1"/>
      <c r="E4157" s="1"/>
      <c r="F4157" s="1"/>
      <c r="G4157" s="3"/>
      <c r="H4157" s="1"/>
    </row>
    <row r="4158" spans="1:8" ht="13.2" x14ac:dyDescent="0.25">
      <c r="A4158" s="1"/>
      <c r="B4158" s="1"/>
      <c r="C4158" s="1"/>
      <c r="D4158" s="1"/>
      <c r="E4158" s="1"/>
      <c r="F4158" s="1"/>
      <c r="G4158" s="1"/>
      <c r="H4158" s="1"/>
    </row>
    <row r="4159" spans="1:8" ht="13.2" x14ac:dyDescent="0.25">
      <c r="A4159" s="1"/>
      <c r="B4159" s="1"/>
      <c r="C4159" s="1"/>
      <c r="D4159" s="1"/>
      <c r="E4159" s="1"/>
      <c r="F4159" s="1"/>
      <c r="G4159" s="1"/>
      <c r="H4159" s="1"/>
    </row>
    <row r="4160" spans="1:8" ht="13.2" x14ac:dyDescent="0.25">
      <c r="A4160" s="1"/>
      <c r="B4160" s="1"/>
      <c r="C4160" s="1"/>
      <c r="D4160" s="1"/>
      <c r="E4160" s="1"/>
      <c r="F4160" s="1"/>
      <c r="G4160" s="1"/>
      <c r="H4160" s="1"/>
    </row>
    <row r="4161" spans="1:8" ht="13.2" x14ac:dyDescent="0.25">
      <c r="A4161" s="1"/>
      <c r="B4161" s="1"/>
      <c r="C4161" s="1"/>
      <c r="D4161" s="1"/>
      <c r="E4161" s="1"/>
      <c r="F4161" s="1"/>
      <c r="G4161" s="1"/>
      <c r="H4161" s="1"/>
    </row>
    <row r="4162" spans="1:8" ht="13.2" x14ac:dyDescent="0.25">
      <c r="A4162" s="1"/>
      <c r="B4162" s="1"/>
      <c r="C4162" s="1"/>
      <c r="D4162" s="1"/>
      <c r="E4162" s="1"/>
      <c r="F4162" s="1"/>
      <c r="G4162" s="1"/>
      <c r="H4162" s="1"/>
    </row>
    <row r="4163" spans="1:8" ht="13.2" x14ac:dyDescent="0.25">
      <c r="A4163" s="1"/>
      <c r="B4163" s="1"/>
      <c r="C4163" s="1"/>
      <c r="D4163" s="1"/>
      <c r="E4163" s="1"/>
      <c r="F4163" s="1"/>
      <c r="G4163" s="1"/>
      <c r="H4163" s="1"/>
    </row>
    <row r="4164" spans="1:8" ht="13.2" x14ac:dyDescent="0.25">
      <c r="A4164" s="1"/>
      <c r="B4164" s="1"/>
      <c r="C4164" s="1"/>
      <c r="D4164" s="1"/>
      <c r="E4164" s="1"/>
      <c r="F4164" s="1"/>
      <c r="G4164" s="1"/>
      <c r="H4164" s="1"/>
    </row>
    <row r="4165" spans="1:8" ht="13.2" x14ac:dyDescent="0.25">
      <c r="A4165" s="1"/>
      <c r="B4165" s="1"/>
      <c r="C4165" s="1"/>
      <c r="D4165" s="1"/>
      <c r="E4165" s="1"/>
      <c r="F4165" s="1"/>
      <c r="G4165" s="1"/>
      <c r="H4165" s="1"/>
    </row>
    <row r="4166" spans="1:8" ht="13.2" x14ac:dyDescent="0.25">
      <c r="A4166" s="1"/>
      <c r="B4166" s="1"/>
      <c r="C4166" s="1"/>
      <c r="D4166" s="1"/>
      <c r="E4166" s="1"/>
      <c r="F4166" s="1"/>
      <c r="G4166" s="1"/>
      <c r="H4166" s="1"/>
    </row>
    <row r="4167" spans="1:8" ht="13.2" x14ac:dyDescent="0.25">
      <c r="A4167" s="1"/>
      <c r="B4167" s="1"/>
      <c r="C4167" s="1"/>
      <c r="D4167" s="1"/>
      <c r="E4167" s="1"/>
      <c r="F4167" s="1"/>
      <c r="G4167" s="1"/>
      <c r="H4167" s="1"/>
    </row>
    <row r="4168" spans="1:8" ht="13.2" x14ac:dyDescent="0.25">
      <c r="A4168" s="1"/>
      <c r="B4168" s="1"/>
      <c r="C4168" s="1"/>
      <c r="D4168" s="1"/>
      <c r="E4168" s="1"/>
      <c r="F4168" s="1"/>
      <c r="G4168" s="1"/>
      <c r="H4168" s="1"/>
    </row>
    <row r="4169" spans="1:8" ht="13.2" x14ac:dyDescent="0.25">
      <c r="A4169" s="1"/>
      <c r="B4169" s="1"/>
      <c r="C4169" s="1"/>
      <c r="D4169" s="1"/>
      <c r="E4169" s="1"/>
      <c r="F4169" s="1"/>
      <c r="G4169" s="1"/>
      <c r="H4169" s="1"/>
    </row>
    <row r="4170" spans="1:8" ht="13.2" x14ac:dyDescent="0.25">
      <c r="A4170" s="1"/>
      <c r="B4170" s="1"/>
      <c r="C4170" s="1"/>
      <c r="D4170" s="1"/>
      <c r="E4170" s="1"/>
      <c r="F4170" s="1"/>
      <c r="G4170" s="1"/>
      <c r="H4170" s="1"/>
    </row>
    <row r="4171" spans="1:8" ht="13.2" x14ac:dyDescent="0.25">
      <c r="A4171" s="1"/>
      <c r="B4171" s="1"/>
      <c r="C4171" s="1"/>
      <c r="D4171" s="1"/>
      <c r="E4171" s="1"/>
      <c r="F4171" s="1"/>
      <c r="G4171" s="1"/>
      <c r="H4171" s="1"/>
    </row>
    <row r="4172" spans="1:8" ht="13.2" x14ac:dyDescent="0.25">
      <c r="A4172" s="1"/>
      <c r="B4172" s="1"/>
      <c r="C4172" s="1"/>
      <c r="D4172" s="1"/>
      <c r="E4172" s="1"/>
      <c r="F4172" s="1"/>
      <c r="G4172" s="1"/>
      <c r="H4172" s="1"/>
    </row>
    <row r="4173" spans="1:8" ht="13.2" x14ac:dyDescent="0.25">
      <c r="A4173" s="1"/>
      <c r="B4173" s="1"/>
      <c r="C4173" s="1"/>
      <c r="D4173" s="1"/>
      <c r="E4173" s="1"/>
      <c r="F4173" s="1"/>
      <c r="G4173" s="1"/>
      <c r="H4173" s="1"/>
    </row>
    <row r="4174" spans="1:8" ht="13.2" x14ac:dyDescent="0.25">
      <c r="A4174" s="1"/>
      <c r="B4174" s="1"/>
      <c r="C4174" s="1"/>
      <c r="D4174" s="1"/>
      <c r="E4174" s="1"/>
      <c r="F4174" s="1"/>
      <c r="G4174" s="1"/>
      <c r="H4174" s="1"/>
    </row>
    <row r="4175" spans="1:8" ht="13.2" x14ac:dyDescent="0.25">
      <c r="A4175" s="1"/>
      <c r="B4175" s="1"/>
      <c r="C4175" s="1"/>
      <c r="D4175" s="1"/>
      <c r="E4175" s="1"/>
      <c r="F4175" s="1"/>
      <c r="G4175" s="1"/>
      <c r="H4175" s="1"/>
    </row>
    <row r="4176" spans="1:8" ht="13.2" x14ac:dyDescent="0.25">
      <c r="A4176" s="1"/>
      <c r="B4176" s="1"/>
      <c r="C4176" s="1"/>
      <c r="D4176" s="1"/>
      <c r="E4176" s="1"/>
      <c r="F4176" s="1"/>
      <c r="G4176" s="1"/>
      <c r="H4176" s="1"/>
    </row>
    <row r="4177" spans="1:8" ht="13.2" x14ac:dyDescent="0.25">
      <c r="A4177" s="1"/>
      <c r="B4177" s="1"/>
      <c r="C4177" s="1"/>
      <c r="D4177" s="1"/>
      <c r="E4177" s="1"/>
      <c r="F4177" s="1"/>
      <c r="G4177" s="1"/>
      <c r="H4177" s="1"/>
    </row>
    <row r="4178" spans="1:8" ht="13.2" x14ac:dyDescent="0.25">
      <c r="A4178" s="1"/>
      <c r="B4178" s="1"/>
      <c r="C4178" s="1"/>
      <c r="D4178" s="1"/>
      <c r="E4178" s="1"/>
      <c r="F4178" s="1"/>
      <c r="G4178" s="1"/>
      <c r="H4178" s="1"/>
    </row>
    <row r="4179" spans="1:8" ht="13.2" x14ac:dyDescent="0.25">
      <c r="A4179" s="1"/>
      <c r="B4179" s="1"/>
      <c r="C4179" s="1"/>
      <c r="D4179" s="1"/>
      <c r="E4179" s="1"/>
      <c r="F4179" s="1"/>
      <c r="G4179" s="1"/>
      <c r="H4179" s="1"/>
    </row>
    <row r="4180" spans="1:8" ht="13.2" x14ac:dyDescent="0.25">
      <c r="A4180" s="1"/>
      <c r="B4180" s="1"/>
      <c r="C4180" s="1"/>
      <c r="D4180" s="1"/>
      <c r="E4180" s="1"/>
      <c r="F4180" s="1"/>
      <c r="G4180" s="3"/>
      <c r="H4180" s="1"/>
    </row>
    <row r="4181" spans="1:8" ht="13.2" x14ac:dyDescent="0.25">
      <c r="A4181" s="1"/>
      <c r="B4181" s="1"/>
      <c r="C4181" s="1"/>
      <c r="D4181" s="1"/>
      <c r="E4181" s="1"/>
      <c r="F4181" s="1"/>
      <c r="G4181" s="1"/>
      <c r="H4181" s="1"/>
    </row>
    <row r="4182" spans="1:8" ht="13.2" x14ac:dyDescent="0.25">
      <c r="A4182" s="1"/>
      <c r="B4182" s="1"/>
      <c r="C4182" s="1"/>
      <c r="D4182" s="1"/>
      <c r="E4182" s="1"/>
      <c r="F4182" s="1"/>
      <c r="G4182" s="1"/>
      <c r="H4182" s="1"/>
    </row>
    <row r="4183" spans="1:8" ht="13.2" x14ac:dyDescent="0.25">
      <c r="A4183" s="1"/>
      <c r="B4183" s="1"/>
      <c r="C4183" s="1"/>
      <c r="D4183" s="1"/>
      <c r="E4183" s="1"/>
      <c r="F4183" s="1"/>
      <c r="G4183" s="1"/>
      <c r="H4183" s="1"/>
    </row>
    <row r="4184" spans="1:8" ht="13.2" x14ac:dyDescent="0.25">
      <c r="A4184" s="1"/>
      <c r="B4184" s="1"/>
      <c r="C4184" s="1"/>
      <c r="D4184" s="1"/>
      <c r="E4184" s="1"/>
      <c r="F4184" s="1"/>
      <c r="G4184" s="1"/>
      <c r="H4184" s="1"/>
    </row>
    <row r="4185" spans="1:8" ht="13.2" x14ac:dyDescent="0.25">
      <c r="A4185" s="1"/>
      <c r="B4185" s="1"/>
      <c r="C4185" s="1"/>
      <c r="D4185" s="1"/>
      <c r="E4185" s="1"/>
      <c r="F4185" s="1"/>
      <c r="G4185" s="1"/>
      <c r="H4185" s="1"/>
    </row>
    <row r="4186" spans="1:8" ht="13.2" x14ac:dyDescent="0.25">
      <c r="A4186" s="1"/>
      <c r="B4186" s="1"/>
      <c r="C4186" s="1"/>
      <c r="D4186" s="1"/>
      <c r="E4186" s="1"/>
      <c r="F4186" s="1"/>
      <c r="G4186" s="3"/>
      <c r="H4186" s="1"/>
    </row>
    <row r="4187" spans="1:8" ht="13.2" x14ac:dyDescent="0.25">
      <c r="A4187" s="1"/>
      <c r="B4187" s="1"/>
      <c r="C4187" s="1"/>
      <c r="D4187" s="1"/>
      <c r="E4187" s="1"/>
      <c r="F4187" s="1"/>
      <c r="G4187" s="1"/>
      <c r="H4187" s="1"/>
    </row>
    <row r="4188" spans="1:8" ht="13.2" x14ac:dyDescent="0.25">
      <c r="A4188" s="1"/>
      <c r="B4188" s="1"/>
      <c r="C4188" s="1"/>
      <c r="D4188" s="1"/>
      <c r="E4188" s="1"/>
      <c r="F4188" s="1"/>
      <c r="G4188" s="1"/>
      <c r="H4188" s="1"/>
    </row>
    <row r="4189" spans="1:8" ht="13.2" x14ac:dyDescent="0.25">
      <c r="A4189" s="1"/>
      <c r="B4189" s="1"/>
      <c r="C4189" s="1"/>
      <c r="D4189" s="1"/>
      <c r="E4189" s="1"/>
      <c r="F4189" s="1"/>
      <c r="G4189" s="1"/>
      <c r="H4189" s="1"/>
    </row>
    <row r="4190" spans="1:8" ht="13.2" x14ac:dyDescent="0.25">
      <c r="A4190" s="1"/>
      <c r="B4190" s="1"/>
      <c r="C4190" s="1"/>
      <c r="D4190" s="1"/>
      <c r="E4190" s="1"/>
      <c r="F4190" s="1"/>
      <c r="G4190" s="3"/>
      <c r="H4190" s="1"/>
    </row>
    <row r="4191" spans="1:8" ht="13.2" x14ac:dyDescent="0.25">
      <c r="A4191" s="1"/>
      <c r="B4191" s="1"/>
      <c r="C4191" s="1"/>
      <c r="D4191" s="1"/>
      <c r="E4191" s="1"/>
      <c r="F4191" s="1"/>
      <c r="G4191" s="1"/>
      <c r="H4191" s="1"/>
    </row>
    <row r="4192" spans="1:8" ht="13.2" x14ac:dyDescent="0.25">
      <c r="A4192" s="1"/>
      <c r="B4192" s="1"/>
      <c r="C4192" s="1"/>
      <c r="D4192" s="1"/>
      <c r="E4192" s="1"/>
      <c r="F4192" s="1"/>
      <c r="G4192" s="1"/>
      <c r="H4192" s="1"/>
    </row>
    <row r="4193" spans="1:8" ht="13.2" x14ac:dyDescent="0.25">
      <c r="A4193" s="1"/>
      <c r="B4193" s="1"/>
      <c r="C4193" s="1"/>
      <c r="D4193" s="1"/>
      <c r="E4193" s="1"/>
      <c r="F4193" s="1"/>
      <c r="G4193" s="1"/>
      <c r="H4193" s="1"/>
    </row>
    <row r="4194" spans="1:8" ht="13.2" x14ac:dyDescent="0.25">
      <c r="A4194" s="1"/>
      <c r="B4194" s="1"/>
      <c r="C4194" s="1"/>
      <c r="D4194" s="1"/>
      <c r="E4194" s="1"/>
      <c r="F4194" s="1"/>
      <c r="G4194" s="1"/>
      <c r="H4194" s="1"/>
    </row>
    <row r="4195" spans="1:8" ht="13.2" x14ac:dyDescent="0.25">
      <c r="A4195" s="1"/>
      <c r="B4195" s="1"/>
      <c r="C4195" s="1"/>
      <c r="D4195" s="1"/>
      <c r="E4195" s="1"/>
      <c r="F4195" s="1"/>
      <c r="G4195" s="1"/>
      <c r="H4195" s="1"/>
    </row>
    <row r="4196" spans="1:8" ht="13.2" x14ac:dyDescent="0.25">
      <c r="A4196" s="1"/>
      <c r="B4196" s="1"/>
      <c r="C4196" s="1"/>
      <c r="D4196" s="1"/>
      <c r="E4196" s="1"/>
      <c r="F4196" s="1"/>
      <c r="G4196" s="1"/>
      <c r="H4196" s="1"/>
    </row>
    <row r="4197" spans="1:8" ht="13.2" x14ac:dyDescent="0.25">
      <c r="A4197" s="1"/>
      <c r="B4197" s="1"/>
      <c r="C4197" s="1"/>
      <c r="D4197" s="1"/>
      <c r="E4197" s="1"/>
      <c r="F4197" s="1"/>
      <c r="G4197" s="3"/>
      <c r="H4197" s="1"/>
    </row>
    <row r="4198" spans="1:8" ht="13.2" x14ac:dyDescent="0.25">
      <c r="A4198" s="1"/>
      <c r="B4198" s="1"/>
      <c r="C4198" s="1"/>
      <c r="D4198" s="1"/>
      <c r="E4198" s="1"/>
      <c r="F4198" s="1"/>
      <c r="G4198" s="1"/>
      <c r="H4198" s="1"/>
    </row>
    <row r="4199" spans="1:8" ht="13.2" x14ac:dyDescent="0.25">
      <c r="A4199" s="1"/>
      <c r="B4199" s="1"/>
      <c r="C4199" s="1"/>
      <c r="D4199" s="1"/>
      <c r="E4199" s="1"/>
      <c r="F4199" s="1"/>
      <c r="G4199" s="1"/>
      <c r="H4199" s="1"/>
    </row>
    <row r="4200" spans="1:8" ht="13.2" x14ac:dyDescent="0.25">
      <c r="A4200" s="1"/>
      <c r="B4200" s="1"/>
      <c r="C4200" s="1"/>
      <c r="D4200" s="1"/>
      <c r="E4200" s="1"/>
      <c r="F4200" s="1"/>
      <c r="G4200" s="1"/>
      <c r="H4200" s="1"/>
    </row>
    <row r="4201" spans="1:8" ht="13.2" x14ac:dyDescent="0.25">
      <c r="A4201" s="1"/>
      <c r="B4201" s="1"/>
      <c r="C4201" s="1"/>
      <c r="D4201" s="1"/>
      <c r="E4201" s="1"/>
      <c r="F4201" s="1"/>
      <c r="G4201" s="1"/>
      <c r="H4201" s="1"/>
    </row>
    <row r="4202" spans="1:8" ht="13.2" x14ac:dyDescent="0.25">
      <c r="A4202" s="1"/>
      <c r="B4202" s="1"/>
      <c r="C4202" s="1"/>
      <c r="D4202" s="1"/>
      <c r="E4202" s="1"/>
      <c r="F4202" s="1"/>
      <c r="G4202" s="1"/>
      <c r="H4202" s="1"/>
    </row>
    <row r="4203" spans="1:8" ht="13.2" x14ac:dyDescent="0.25">
      <c r="A4203" s="1"/>
      <c r="B4203" s="1"/>
      <c r="C4203" s="1"/>
      <c r="D4203" s="1"/>
      <c r="E4203" s="1"/>
      <c r="F4203" s="1"/>
      <c r="G4203" s="1"/>
      <c r="H4203" s="1"/>
    </row>
    <row r="4204" spans="1:8" ht="13.2" x14ac:dyDescent="0.25">
      <c r="A4204" s="1"/>
      <c r="B4204" s="1"/>
      <c r="C4204" s="1"/>
      <c r="D4204" s="1"/>
      <c r="E4204" s="1"/>
      <c r="F4204" s="1"/>
      <c r="G4204" s="1"/>
      <c r="H4204" s="1"/>
    </row>
    <row r="4205" spans="1:8" ht="13.2" x14ac:dyDescent="0.25">
      <c r="A4205" s="1"/>
      <c r="B4205" s="1"/>
      <c r="C4205" s="1"/>
      <c r="D4205" s="1"/>
      <c r="E4205" s="1"/>
      <c r="F4205" s="1"/>
      <c r="G4205" s="1"/>
      <c r="H4205" s="1"/>
    </row>
    <row r="4206" spans="1:8" ht="13.2" x14ac:dyDescent="0.25">
      <c r="A4206" s="1"/>
      <c r="B4206" s="1"/>
      <c r="C4206" s="1"/>
      <c r="D4206" s="1"/>
      <c r="E4206" s="1"/>
      <c r="F4206" s="1"/>
      <c r="G4206" s="1"/>
      <c r="H4206" s="1"/>
    </row>
    <row r="4207" spans="1:8" ht="13.2" x14ac:dyDescent="0.25">
      <c r="A4207" s="1"/>
      <c r="B4207" s="1"/>
      <c r="C4207" s="1"/>
      <c r="D4207" s="1"/>
      <c r="E4207" s="1"/>
      <c r="F4207" s="1"/>
      <c r="G4207" s="1"/>
      <c r="H4207" s="1"/>
    </row>
    <row r="4208" spans="1:8" ht="13.2" x14ac:dyDescent="0.25">
      <c r="A4208" s="1"/>
      <c r="B4208" s="1"/>
      <c r="C4208" s="1"/>
      <c r="D4208" s="1"/>
      <c r="E4208" s="1"/>
      <c r="F4208" s="1"/>
      <c r="G4208" s="1"/>
      <c r="H4208" s="1"/>
    </row>
    <row r="4209" spans="1:8" ht="13.2" x14ac:dyDescent="0.25">
      <c r="A4209" s="1"/>
      <c r="B4209" s="1"/>
      <c r="C4209" s="1"/>
      <c r="D4209" s="1"/>
      <c r="E4209" s="1"/>
      <c r="F4209" s="1"/>
      <c r="G4209" s="1"/>
      <c r="H4209" s="1"/>
    </row>
    <row r="4210" spans="1:8" ht="13.2" x14ac:dyDescent="0.25">
      <c r="A4210" s="1"/>
      <c r="B4210" s="1"/>
      <c r="C4210" s="1"/>
      <c r="D4210" s="1"/>
      <c r="E4210" s="1"/>
      <c r="F4210" s="1"/>
      <c r="G4210" s="1"/>
      <c r="H4210" s="1"/>
    </row>
    <row r="4211" spans="1:8" ht="13.2" x14ac:dyDescent="0.25">
      <c r="A4211" s="1"/>
      <c r="B4211" s="1"/>
      <c r="C4211" s="1"/>
      <c r="D4211" s="1"/>
      <c r="E4211" s="1"/>
      <c r="F4211" s="1"/>
      <c r="G4211" s="1"/>
      <c r="H4211" s="1"/>
    </row>
    <row r="4212" spans="1:8" ht="13.2" x14ac:dyDescent="0.25">
      <c r="A4212" s="1"/>
      <c r="B4212" s="1"/>
      <c r="C4212" s="1"/>
      <c r="D4212" s="1"/>
      <c r="E4212" s="1"/>
      <c r="F4212" s="1"/>
      <c r="G4212" s="1"/>
      <c r="H4212" s="1"/>
    </row>
    <row r="4213" spans="1:8" ht="13.2" x14ac:dyDescent="0.25">
      <c r="A4213" s="1"/>
      <c r="B4213" s="1"/>
      <c r="C4213" s="1"/>
      <c r="D4213" s="1"/>
      <c r="E4213" s="1"/>
      <c r="F4213" s="1"/>
      <c r="G4213" s="1"/>
      <c r="H4213" s="1"/>
    </row>
    <row r="4214" spans="1:8" ht="13.2" x14ac:dyDescent="0.25">
      <c r="A4214" s="1"/>
      <c r="B4214" s="1"/>
      <c r="C4214" s="1"/>
      <c r="D4214" s="1"/>
      <c r="E4214" s="1"/>
      <c r="F4214" s="1"/>
      <c r="G4214" s="1"/>
      <c r="H4214" s="1"/>
    </row>
    <row r="4215" spans="1:8" ht="13.2" x14ac:dyDescent="0.25">
      <c r="A4215" s="1"/>
      <c r="B4215" s="1"/>
      <c r="C4215" s="1"/>
      <c r="D4215" s="1"/>
      <c r="E4215" s="1"/>
      <c r="F4215" s="1"/>
      <c r="G4215" s="1"/>
      <c r="H4215" s="1"/>
    </row>
    <row r="4216" spans="1:8" ht="13.2" x14ac:dyDescent="0.25">
      <c r="A4216" s="1"/>
      <c r="B4216" s="1"/>
      <c r="C4216" s="1"/>
      <c r="D4216" s="1"/>
      <c r="E4216" s="1"/>
      <c r="F4216" s="1"/>
      <c r="G4216" s="1"/>
      <c r="H4216" s="1"/>
    </row>
    <row r="4217" spans="1:8" ht="13.2" x14ac:dyDescent="0.25">
      <c r="A4217" s="1"/>
      <c r="B4217" s="1"/>
      <c r="C4217" s="1"/>
      <c r="D4217" s="1"/>
      <c r="E4217" s="1"/>
      <c r="F4217" s="1"/>
      <c r="G4217" s="1"/>
      <c r="H4217" s="1"/>
    </row>
    <row r="4218" spans="1:8" ht="13.2" x14ac:dyDescent="0.25">
      <c r="A4218" s="1"/>
      <c r="B4218" s="1"/>
      <c r="C4218" s="1"/>
      <c r="D4218" s="1"/>
      <c r="E4218" s="1"/>
      <c r="F4218" s="1"/>
      <c r="G4218" s="1"/>
      <c r="H4218" s="1"/>
    </row>
    <row r="4219" spans="1:8" ht="13.2" x14ac:dyDescent="0.25">
      <c r="A4219" s="1"/>
      <c r="B4219" s="1"/>
      <c r="C4219" s="1"/>
      <c r="D4219" s="1"/>
      <c r="E4219" s="1"/>
      <c r="F4219" s="1"/>
      <c r="G4219" s="1"/>
      <c r="H4219" s="1"/>
    </row>
    <row r="4220" spans="1:8" ht="13.2" x14ac:dyDescent="0.25">
      <c r="A4220" s="1"/>
      <c r="B4220" s="1"/>
      <c r="C4220" s="1"/>
      <c r="D4220" s="1"/>
      <c r="E4220" s="1"/>
      <c r="F4220" s="1"/>
      <c r="G4220" s="1"/>
      <c r="H4220" s="1"/>
    </row>
    <row r="4221" spans="1:8" ht="13.2" x14ac:dyDescent="0.25">
      <c r="A4221" s="1"/>
      <c r="B4221" s="1"/>
      <c r="C4221" s="1"/>
      <c r="D4221" s="1"/>
      <c r="E4221" s="1"/>
      <c r="F4221" s="1"/>
      <c r="G4221" s="1"/>
      <c r="H4221" s="1"/>
    </row>
    <row r="4222" spans="1:8" ht="13.2" x14ac:dyDescent="0.25">
      <c r="A4222" s="1"/>
      <c r="B4222" s="1"/>
      <c r="C4222" s="1"/>
      <c r="D4222" s="1"/>
      <c r="E4222" s="1"/>
      <c r="F4222" s="1"/>
      <c r="G4222" s="3"/>
      <c r="H4222" s="1"/>
    </row>
    <row r="4223" spans="1:8" ht="13.2" x14ac:dyDescent="0.25">
      <c r="A4223" s="1"/>
      <c r="B4223" s="1"/>
      <c r="C4223" s="1"/>
      <c r="D4223" s="1"/>
      <c r="E4223" s="1"/>
      <c r="F4223" s="1"/>
      <c r="G4223" s="1"/>
      <c r="H4223" s="1"/>
    </row>
    <row r="4224" spans="1:8" ht="13.2" x14ac:dyDescent="0.25">
      <c r="A4224" s="1"/>
      <c r="B4224" s="1"/>
      <c r="C4224" s="1"/>
      <c r="D4224" s="1"/>
      <c r="E4224" s="1"/>
      <c r="F4224" s="1"/>
      <c r="G4224" s="1"/>
      <c r="H4224" s="1"/>
    </row>
    <row r="4225" spans="1:8" ht="13.2" x14ac:dyDescent="0.25">
      <c r="A4225" s="1"/>
      <c r="B4225" s="1"/>
      <c r="C4225" s="1"/>
      <c r="D4225" s="1"/>
      <c r="E4225" s="1"/>
      <c r="F4225" s="1"/>
      <c r="G4225" s="1"/>
      <c r="H4225" s="1"/>
    </row>
    <row r="4226" spans="1:8" ht="13.2" x14ac:dyDescent="0.25">
      <c r="A4226" s="1"/>
      <c r="B4226" s="1"/>
      <c r="C4226" s="1"/>
      <c r="D4226" s="1"/>
      <c r="E4226" s="1"/>
      <c r="F4226" s="1"/>
      <c r="G4226" s="1"/>
      <c r="H4226" s="1"/>
    </row>
    <row r="4227" spans="1:8" ht="13.2" x14ac:dyDescent="0.25">
      <c r="A4227" s="1"/>
      <c r="B4227" s="1"/>
      <c r="C4227" s="1"/>
      <c r="D4227" s="1"/>
      <c r="E4227" s="1"/>
      <c r="F4227" s="1"/>
      <c r="G4227" s="1"/>
      <c r="H4227" s="1"/>
    </row>
    <row r="4228" spans="1:8" ht="13.2" x14ac:dyDescent="0.25">
      <c r="A4228" s="1"/>
      <c r="B4228" s="1"/>
      <c r="C4228" s="1"/>
      <c r="D4228" s="1"/>
      <c r="E4228" s="1"/>
      <c r="F4228" s="1"/>
      <c r="G4228" s="1"/>
      <c r="H4228" s="1"/>
    </row>
    <row r="4229" spans="1:8" ht="13.2" x14ac:dyDescent="0.25">
      <c r="A4229" s="1"/>
      <c r="B4229" s="1"/>
      <c r="C4229" s="1"/>
      <c r="D4229" s="1"/>
      <c r="E4229" s="1"/>
      <c r="F4229" s="1"/>
      <c r="G4229" s="1"/>
      <c r="H4229" s="1"/>
    </row>
    <row r="4230" spans="1:8" ht="13.2" x14ac:dyDescent="0.25">
      <c r="A4230" s="1"/>
      <c r="B4230" s="1"/>
      <c r="C4230" s="1"/>
      <c r="D4230" s="1"/>
      <c r="E4230" s="1"/>
      <c r="F4230" s="1"/>
      <c r="G4230" s="1"/>
      <c r="H4230" s="1"/>
    </row>
    <row r="4231" spans="1:8" ht="13.2" x14ac:dyDescent="0.25">
      <c r="A4231" s="1"/>
      <c r="B4231" s="1"/>
      <c r="C4231" s="1"/>
      <c r="D4231" s="1"/>
      <c r="E4231" s="1"/>
      <c r="F4231" s="1"/>
      <c r="G4231" s="1"/>
      <c r="H4231" s="1"/>
    </row>
    <row r="4232" spans="1:8" ht="13.2" x14ac:dyDescent="0.25">
      <c r="A4232" s="1"/>
      <c r="B4232" s="1"/>
      <c r="C4232" s="1"/>
      <c r="D4232" s="1"/>
      <c r="E4232" s="1"/>
      <c r="F4232" s="1"/>
      <c r="G4232" s="1"/>
      <c r="H4232" s="1"/>
    </row>
    <row r="4233" spans="1:8" ht="13.2" x14ac:dyDescent="0.25">
      <c r="A4233" s="1"/>
      <c r="B4233" s="1"/>
      <c r="C4233" s="1"/>
      <c r="D4233" s="1"/>
      <c r="E4233" s="1"/>
      <c r="F4233" s="1"/>
      <c r="G4233" s="1"/>
      <c r="H4233" s="1"/>
    </row>
    <row r="4234" spans="1:8" ht="13.2" x14ac:dyDescent="0.25">
      <c r="A4234" s="1"/>
      <c r="B4234" s="1"/>
      <c r="C4234" s="1"/>
      <c r="D4234" s="1"/>
      <c r="E4234" s="1"/>
      <c r="F4234" s="1"/>
      <c r="G4234" s="1"/>
      <c r="H4234" s="1"/>
    </row>
    <row r="4235" spans="1:8" ht="13.2" x14ac:dyDescent="0.25">
      <c r="A4235" s="1"/>
      <c r="B4235" s="1"/>
      <c r="C4235" s="1"/>
      <c r="D4235" s="1"/>
      <c r="E4235" s="1"/>
      <c r="F4235" s="1"/>
      <c r="G4235" s="1"/>
      <c r="H4235" s="1"/>
    </row>
    <row r="4236" spans="1:8" ht="13.2" x14ac:dyDescent="0.25">
      <c r="A4236" s="1"/>
      <c r="B4236" s="1"/>
      <c r="C4236" s="1"/>
      <c r="D4236" s="1"/>
      <c r="E4236" s="1"/>
      <c r="F4236" s="1"/>
      <c r="G4236" s="3"/>
      <c r="H4236" s="1"/>
    </row>
    <row r="4237" spans="1:8" ht="13.2" x14ac:dyDescent="0.25">
      <c r="A4237" s="1"/>
      <c r="B4237" s="1"/>
      <c r="C4237" s="1"/>
      <c r="D4237" s="1"/>
      <c r="E4237" s="1"/>
      <c r="F4237" s="1"/>
      <c r="G4237" s="1"/>
      <c r="H4237" s="1"/>
    </row>
    <row r="4238" spans="1:8" ht="13.2" x14ac:dyDescent="0.25">
      <c r="A4238" s="1"/>
      <c r="B4238" s="1"/>
      <c r="C4238" s="1"/>
      <c r="D4238" s="1"/>
      <c r="E4238" s="1"/>
      <c r="F4238" s="1"/>
      <c r="G4238" s="1"/>
      <c r="H4238" s="1"/>
    </row>
    <row r="4239" spans="1:8" ht="13.2" x14ac:dyDescent="0.25">
      <c r="A4239" s="1"/>
      <c r="B4239" s="1"/>
      <c r="C4239" s="1"/>
      <c r="D4239" s="1"/>
      <c r="E4239" s="1"/>
      <c r="F4239" s="1"/>
      <c r="G4239" s="1"/>
      <c r="H4239" s="1"/>
    </row>
    <row r="4240" spans="1:8" ht="13.2" x14ac:dyDescent="0.25">
      <c r="A4240" s="1"/>
      <c r="B4240" s="1"/>
      <c r="C4240" s="1"/>
      <c r="D4240" s="1"/>
      <c r="E4240" s="1"/>
      <c r="F4240" s="1"/>
      <c r="G4240" s="1"/>
      <c r="H4240" s="1"/>
    </row>
    <row r="4241" spans="1:8" ht="13.2" x14ac:dyDescent="0.25">
      <c r="A4241" s="1"/>
      <c r="B4241" s="1"/>
      <c r="C4241" s="1"/>
      <c r="D4241" s="1"/>
      <c r="E4241" s="1"/>
      <c r="F4241" s="1"/>
      <c r="G4241" s="1"/>
      <c r="H4241" s="1"/>
    </row>
    <row r="4242" spans="1:8" ht="13.2" x14ac:dyDescent="0.25">
      <c r="A4242" s="1"/>
      <c r="B4242" s="1"/>
      <c r="C4242" s="1"/>
      <c r="D4242" s="1"/>
      <c r="E4242" s="1"/>
      <c r="F4242" s="1"/>
      <c r="G4242" s="1"/>
      <c r="H4242" s="1"/>
    </row>
    <row r="4243" spans="1:8" ht="13.2" x14ac:dyDescent="0.25">
      <c r="A4243" s="1"/>
      <c r="B4243" s="1"/>
      <c r="C4243" s="1"/>
      <c r="D4243" s="1"/>
      <c r="E4243" s="1"/>
      <c r="F4243" s="1"/>
      <c r="G4243" s="1"/>
      <c r="H4243" s="1"/>
    </row>
    <row r="4244" spans="1:8" ht="13.2" x14ac:dyDescent="0.25">
      <c r="A4244" s="1"/>
      <c r="B4244" s="1"/>
      <c r="C4244" s="1"/>
      <c r="D4244" s="1"/>
      <c r="E4244" s="1"/>
      <c r="F4244" s="1"/>
      <c r="G4244" s="1"/>
      <c r="H4244" s="1"/>
    </row>
    <row r="4245" spans="1:8" ht="13.2" x14ac:dyDescent="0.25">
      <c r="A4245" s="1"/>
      <c r="B4245" s="1"/>
      <c r="C4245" s="1"/>
      <c r="D4245" s="1"/>
      <c r="E4245" s="1"/>
      <c r="F4245" s="1"/>
      <c r="G4245" s="3"/>
      <c r="H4245" s="1"/>
    </row>
    <row r="4246" spans="1:8" ht="13.2" x14ac:dyDescent="0.25">
      <c r="A4246" s="1"/>
      <c r="B4246" s="1"/>
      <c r="C4246" s="1"/>
      <c r="D4246" s="1"/>
      <c r="E4246" s="1"/>
      <c r="F4246" s="1"/>
      <c r="G4246" s="1"/>
      <c r="H4246" s="1"/>
    </row>
    <row r="4247" spans="1:8" ht="13.2" x14ac:dyDescent="0.25">
      <c r="A4247" s="1"/>
      <c r="B4247" s="1"/>
      <c r="C4247" s="1"/>
      <c r="D4247" s="1"/>
      <c r="E4247" s="1"/>
      <c r="F4247" s="1"/>
      <c r="G4247" s="1"/>
      <c r="H4247" s="1"/>
    </row>
    <row r="4248" spans="1:8" ht="13.2" x14ac:dyDescent="0.25">
      <c r="A4248" s="1"/>
      <c r="B4248" s="1"/>
      <c r="C4248" s="1"/>
      <c r="D4248" s="1"/>
      <c r="E4248" s="1"/>
      <c r="F4248" s="1"/>
      <c r="G4248" s="1"/>
      <c r="H4248" s="1"/>
    </row>
    <row r="4249" spans="1:8" ht="13.2" x14ac:dyDescent="0.25">
      <c r="A4249" s="1"/>
      <c r="B4249" s="1"/>
      <c r="C4249" s="1"/>
      <c r="D4249" s="1"/>
      <c r="E4249" s="1"/>
      <c r="F4249" s="1"/>
      <c r="G4249" s="3"/>
      <c r="H4249" s="1"/>
    </row>
    <row r="4250" spans="1:8" ht="13.2" x14ac:dyDescent="0.25">
      <c r="A4250" s="1"/>
      <c r="B4250" s="1"/>
      <c r="C4250" s="1"/>
      <c r="D4250" s="1"/>
      <c r="E4250" s="1"/>
      <c r="F4250" s="1"/>
      <c r="G4250" s="3"/>
      <c r="H4250" s="1"/>
    </row>
    <row r="4251" spans="1:8" ht="13.2" x14ac:dyDescent="0.25">
      <c r="A4251" s="1"/>
      <c r="B4251" s="1"/>
      <c r="C4251" s="1"/>
      <c r="D4251" s="1"/>
      <c r="E4251" s="1"/>
      <c r="F4251" s="1"/>
      <c r="G4251" s="1"/>
      <c r="H4251" s="1"/>
    </row>
    <row r="4252" spans="1:8" ht="13.2" x14ac:dyDescent="0.25">
      <c r="A4252" s="1"/>
      <c r="B4252" s="1"/>
      <c r="C4252" s="1"/>
      <c r="D4252" s="1"/>
      <c r="E4252" s="1"/>
      <c r="F4252" s="1"/>
      <c r="G4252" s="1"/>
      <c r="H4252" s="1"/>
    </row>
    <row r="4253" spans="1:8" ht="13.2" x14ac:dyDescent="0.25">
      <c r="A4253" s="1"/>
      <c r="B4253" s="1"/>
      <c r="C4253" s="1"/>
      <c r="D4253" s="1"/>
      <c r="E4253" s="1"/>
      <c r="F4253" s="1"/>
      <c r="G4253" s="1"/>
      <c r="H4253" s="1"/>
    </row>
    <row r="4254" spans="1:8" ht="13.2" x14ac:dyDescent="0.25">
      <c r="A4254" s="1"/>
      <c r="B4254" s="1"/>
      <c r="C4254" s="1"/>
      <c r="D4254" s="1"/>
      <c r="E4254" s="1"/>
      <c r="F4254" s="1"/>
      <c r="G4254" s="1"/>
      <c r="H4254" s="1"/>
    </row>
    <row r="4255" spans="1:8" ht="13.2" x14ac:dyDescent="0.25">
      <c r="A4255" s="1"/>
      <c r="B4255" s="1"/>
      <c r="C4255" s="1"/>
      <c r="D4255" s="1"/>
      <c r="E4255" s="1"/>
      <c r="F4255" s="1"/>
      <c r="G4255" s="1"/>
      <c r="H4255" s="1"/>
    </row>
    <row r="4256" spans="1:8" ht="13.2" x14ac:dyDescent="0.25">
      <c r="A4256" s="1"/>
      <c r="B4256" s="1"/>
      <c r="C4256" s="1"/>
      <c r="D4256" s="1"/>
      <c r="E4256" s="1"/>
      <c r="F4256" s="1"/>
      <c r="G4256" s="1"/>
      <c r="H4256" s="1"/>
    </row>
    <row r="4257" spans="1:8" ht="13.2" x14ac:dyDescent="0.25">
      <c r="A4257" s="1"/>
      <c r="B4257" s="1"/>
      <c r="C4257" s="1"/>
      <c r="D4257" s="1"/>
      <c r="E4257" s="1"/>
      <c r="F4257" s="1"/>
      <c r="G4257" s="1"/>
      <c r="H4257" s="1"/>
    </row>
    <row r="4258" spans="1:8" ht="13.2" x14ac:dyDescent="0.25">
      <c r="A4258" s="1"/>
      <c r="B4258" s="1"/>
      <c r="C4258" s="1"/>
      <c r="D4258" s="1"/>
      <c r="E4258" s="1"/>
      <c r="F4258" s="1"/>
      <c r="G4258" s="1"/>
      <c r="H4258" s="1"/>
    </row>
    <row r="4259" spans="1:8" ht="13.2" x14ac:dyDescent="0.25">
      <c r="A4259" s="1"/>
      <c r="B4259" s="1"/>
      <c r="C4259" s="1"/>
      <c r="D4259" s="1"/>
      <c r="E4259" s="1"/>
      <c r="F4259" s="1"/>
      <c r="G4259" s="1"/>
      <c r="H4259" s="1"/>
    </row>
    <row r="4260" spans="1:8" ht="13.2" x14ac:dyDescent="0.25">
      <c r="A4260" s="1"/>
      <c r="B4260" s="1"/>
      <c r="C4260" s="1"/>
      <c r="D4260" s="1"/>
      <c r="E4260" s="1"/>
      <c r="F4260" s="1"/>
      <c r="G4260" s="1"/>
      <c r="H4260" s="1"/>
    </row>
    <row r="4261" spans="1:8" ht="13.2" x14ac:dyDescent="0.25">
      <c r="A4261" s="1"/>
      <c r="B4261" s="1"/>
      <c r="C4261" s="1"/>
      <c r="D4261" s="1"/>
      <c r="E4261" s="1"/>
      <c r="F4261" s="1"/>
      <c r="G4261" s="1"/>
      <c r="H4261" s="1"/>
    </row>
    <row r="4262" spans="1:8" ht="13.2" x14ac:dyDescent="0.25">
      <c r="A4262" s="1"/>
      <c r="B4262" s="1"/>
      <c r="C4262" s="1"/>
      <c r="D4262" s="1"/>
      <c r="E4262" s="1"/>
      <c r="F4262" s="1"/>
      <c r="G4262" s="1"/>
      <c r="H4262" s="1"/>
    </row>
    <row r="4263" spans="1:8" ht="13.2" x14ac:dyDescent="0.25">
      <c r="A4263" s="1"/>
      <c r="B4263" s="1"/>
      <c r="C4263" s="1"/>
      <c r="D4263" s="1"/>
      <c r="E4263" s="1"/>
      <c r="F4263" s="1"/>
      <c r="G4263" s="1"/>
      <c r="H4263" s="1"/>
    </row>
    <row r="4264" spans="1:8" ht="13.2" x14ac:dyDescent="0.25">
      <c r="A4264" s="1"/>
      <c r="B4264" s="1"/>
      <c r="C4264" s="1"/>
      <c r="D4264" s="1"/>
      <c r="E4264" s="1"/>
      <c r="F4264" s="1"/>
      <c r="G4264" s="1"/>
      <c r="H4264" s="1"/>
    </row>
    <row r="4265" spans="1:8" ht="13.2" x14ac:dyDescent="0.25">
      <c r="A4265" s="1"/>
      <c r="B4265" s="1"/>
      <c r="C4265" s="1"/>
      <c r="D4265" s="1"/>
      <c r="E4265" s="1"/>
      <c r="F4265" s="1"/>
      <c r="G4265" s="1"/>
      <c r="H4265" s="1"/>
    </row>
    <row r="4266" spans="1:8" ht="13.2" x14ac:dyDescent="0.25">
      <c r="A4266" s="1"/>
      <c r="B4266" s="1"/>
      <c r="C4266" s="1"/>
      <c r="D4266" s="1"/>
      <c r="E4266" s="1"/>
      <c r="F4266" s="1"/>
      <c r="G4266" s="1"/>
      <c r="H4266" s="1"/>
    </row>
    <row r="4267" spans="1:8" ht="13.2" x14ac:dyDescent="0.25">
      <c r="A4267" s="1"/>
      <c r="B4267" s="1"/>
      <c r="C4267" s="1"/>
      <c r="D4267" s="1"/>
      <c r="E4267" s="1"/>
      <c r="F4267" s="1"/>
      <c r="G4267" s="1"/>
      <c r="H4267" s="1"/>
    </row>
    <row r="4268" spans="1:8" ht="13.2" x14ac:dyDescent="0.25">
      <c r="A4268" s="1"/>
      <c r="B4268" s="1"/>
      <c r="C4268" s="1"/>
      <c r="D4268" s="1"/>
      <c r="E4268" s="1"/>
      <c r="F4268" s="1"/>
      <c r="G4268" s="1"/>
      <c r="H4268" s="1"/>
    </row>
    <row r="4269" spans="1:8" ht="13.2" x14ac:dyDescent="0.25">
      <c r="A4269" s="1"/>
      <c r="B4269" s="1"/>
      <c r="C4269" s="1"/>
      <c r="D4269" s="1"/>
      <c r="E4269" s="1"/>
      <c r="F4269" s="1"/>
      <c r="G4269" s="1"/>
      <c r="H4269" s="1"/>
    </row>
    <row r="4270" spans="1:8" ht="13.2" x14ac:dyDescent="0.25">
      <c r="A4270" s="1"/>
      <c r="B4270" s="1"/>
      <c r="C4270" s="1"/>
      <c r="D4270" s="1"/>
      <c r="E4270" s="1"/>
      <c r="F4270" s="1"/>
      <c r="G4270" s="1"/>
      <c r="H4270" s="1"/>
    </row>
    <row r="4271" spans="1:8" ht="13.2" x14ac:dyDescent="0.25">
      <c r="A4271" s="1"/>
      <c r="B4271" s="1"/>
      <c r="C4271" s="1"/>
      <c r="D4271" s="1"/>
      <c r="E4271" s="1"/>
      <c r="F4271" s="1"/>
      <c r="G4271" s="1"/>
      <c r="H4271" s="1"/>
    </row>
    <row r="4272" spans="1:8" ht="13.2" x14ac:dyDescent="0.25">
      <c r="A4272" s="1"/>
      <c r="B4272" s="1"/>
      <c r="C4272" s="1"/>
      <c r="D4272" s="1"/>
      <c r="E4272" s="1"/>
      <c r="F4272" s="1"/>
      <c r="G4272" s="1"/>
      <c r="H4272" s="1"/>
    </row>
    <row r="4273" spans="1:8" ht="13.2" x14ac:dyDescent="0.25">
      <c r="A4273" s="1"/>
      <c r="B4273" s="1"/>
      <c r="C4273" s="1"/>
      <c r="D4273" s="1"/>
      <c r="E4273" s="1"/>
      <c r="F4273" s="1"/>
      <c r="G4273" s="1"/>
      <c r="H4273" s="1"/>
    </row>
    <row r="4274" spans="1:8" ht="13.2" x14ac:dyDescent="0.25">
      <c r="A4274" s="1"/>
      <c r="B4274" s="1"/>
      <c r="C4274" s="1"/>
      <c r="D4274" s="1"/>
      <c r="E4274" s="1"/>
      <c r="F4274" s="1"/>
      <c r="G4274" s="1"/>
      <c r="H4274" s="1"/>
    </row>
    <row r="4275" spans="1:8" ht="13.2" x14ac:dyDescent="0.25">
      <c r="A4275" s="1"/>
      <c r="B4275" s="1"/>
      <c r="C4275" s="1"/>
      <c r="D4275" s="1"/>
      <c r="E4275" s="1"/>
      <c r="F4275" s="1"/>
      <c r="G4275" s="1"/>
      <c r="H4275" s="1"/>
    </row>
    <row r="4276" spans="1:8" ht="13.2" x14ac:dyDescent="0.25">
      <c r="A4276" s="1"/>
      <c r="B4276" s="1"/>
      <c r="C4276" s="1"/>
      <c r="D4276" s="1"/>
      <c r="E4276" s="1"/>
      <c r="F4276" s="1"/>
      <c r="G4276" s="1"/>
      <c r="H4276" s="1"/>
    </row>
    <row r="4277" spans="1:8" ht="13.2" x14ac:dyDescent="0.25">
      <c r="A4277" s="1"/>
      <c r="B4277" s="1"/>
      <c r="C4277" s="1"/>
      <c r="D4277" s="1"/>
      <c r="E4277" s="1"/>
      <c r="F4277" s="1"/>
      <c r="G4277" s="1"/>
      <c r="H4277" s="1"/>
    </row>
    <row r="4278" spans="1:8" ht="13.2" x14ac:dyDescent="0.25">
      <c r="A4278" s="1"/>
      <c r="B4278" s="1"/>
      <c r="C4278" s="1"/>
      <c r="D4278" s="1"/>
      <c r="E4278" s="1"/>
      <c r="F4278" s="1"/>
      <c r="G4278" s="1"/>
      <c r="H4278" s="1"/>
    </row>
    <row r="4279" spans="1:8" ht="13.2" x14ac:dyDescent="0.25">
      <c r="A4279" s="1"/>
      <c r="B4279" s="1"/>
      <c r="C4279" s="1"/>
      <c r="D4279" s="1"/>
      <c r="E4279" s="1"/>
      <c r="F4279" s="1"/>
      <c r="G4279" s="1"/>
      <c r="H4279" s="1"/>
    </row>
    <row r="4280" spans="1:8" ht="13.2" x14ac:dyDescent="0.25">
      <c r="A4280" s="1"/>
      <c r="B4280" s="1"/>
      <c r="C4280" s="1"/>
      <c r="D4280" s="1"/>
      <c r="E4280" s="1"/>
      <c r="F4280" s="1"/>
      <c r="G4280" s="1"/>
      <c r="H4280" s="1"/>
    </row>
    <row r="4281" spans="1:8" ht="13.2" x14ac:dyDescent="0.25">
      <c r="A4281" s="1"/>
      <c r="B4281" s="1"/>
      <c r="C4281" s="1"/>
      <c r="D4281" s="1"/>
      <c r="E4281" s="1"/>
      <c r="F4281" s="1"/>
      <c r="G4281" s="1"/>
      <c r="H4281" s="1"/>
    </row>
    <row r="4282" spans="1:8" ht="13.2" x14ac:dyDescent="0.25">
      <c r="A4282" s="1"/>
      <c r="B4282" s="1"/>
      <c r="C4282" s="1"/>
      <c r="D4282" s="1"/>
      <c r="E4282" s="1"/>
      <c r="F4282" s="1"/>
      <c r="G4282" s="1"/>
      <c r="H4282" s="1"/>
    </row>
    <row r="4283" spans="1:8" ht="13.2" x14ac:dyDescent="0.25">
      <c r="A4283" s="1"/>
      <c r="B4283" s="1"/>
      <c r="C4283" s="1"/>
      <c r="D4283" s="1"/>
      <c r="E4283" s="1"/>
      <c r="F4283" s="1"/>
      <c r="G4283" s="1"/>
      <c r="H4283" s="1"/>
    </row>
    <row r="4284" spans="1:8" ht="13.2" x14ac:dyDescent="0.25">
      <c r="A4284" s="1"/>
      <c r="B4284" s="1"/>
      <c r="C4284" s="1"/>
      <c r="D4284" s="1"/>
      <c r="E4284" s="1"/>
      <c r="F4284" s="1"/>
      <c r="G4284" s="3"/>
      <c r="H4284" s="1"/>
    </row>
    <row r="4285" spans="1:8" ht="13.2" x14ac:dyDescent="0.25">
      <c r="A4285" s="1"/>
      <c r="B4285" s="1"/>
      <c r="C4285" s="1"/>
      <c r="D4285" s="1"/>
      <c r="E4285" s="1"/>
      <c r="F4285" s="1"/>
      <c r="G4285" s="3"/>
      <c r="H4285" s="1"/>
    </row>
    <row r="4286" spans="1:8" ht="13.2" x14ac:dyDescent="0.25">
      <c r="A4286" s="1"/>
      <c r="B4286" s="1"/>
      <c r="C4286" s="1"/>
      <c r="D4286" s="1"/>
      <c r="E4286" s="1"/>
      <c r="F4286" s="1"/>
      <c r="G4286" s="1"/>
      <c r="H4286" s="1"/>
    </row>
    <row r="4287" spans="1:8" ht="13.2" x14ac:dyDescent="0.25">
      <c r="A4287" s="1"/>
      <c r="B4287" s="1"/>
      <c r="C4287" s="1"/>
      <c r="D4287" s="1"/>
      <c r="E4287" s="1"/>
      <c r="F4287" s="1"/>
      <c r="G4287" s="3"/>
      <c r="H4287" s="1"/>
    </row>
    <row r="4288" spans="1:8" ht="13.2" x14ac:dyDescent="0.25">
      <c r="A4288" s="1"/>
      <c r="B4288" s="1"/>
      <c r="C4288" s="1"/>
      <c r="D4288" s="1"/>
      <c r="E4288" s="1"/>
      <c r="F4288" s="1"/>
      <c r="G4288" s="1"/>
      <c r="H4288" s="1"/>
    </row>
    <row r="4289" spans="1:8" ht="13.2" x14ac:dyDescent="0.25">
      <c r="A4289" s="1"/>
      <c r="B4289" s="1"/>
      <c r="C4289" s="1"/>
      <c r="D4289" s="1"/>
      <c r="E4289" s="1"/>
      <c r="F4289" s="1"/>
      <c r="G4289" s="3"/>
      <c r="H4289" s="1"/>
    </row>
    <row r="4290" spans="1:8" ht="13.2" x14ac:dyDescent="0.25">
      <c r="A4290" s="1"/>
      <c r="B4290" s="1"/>
      <c r="C4290" s="1"/>
      <c r="D4290" s="1"/>
      <c r="E4290" s="1"/>
      <c r="F4290" s="1"/>
      <c r="G4290" s="3"/>
      <c r="H4290" s="1"/>
    </row>
    <row r="4291" spans="1:8" ht="13.2" x14ac:dyDescent="0.25">
      <c r="A4291" s="1"/>
      <c r="B4291" s="1"/>
      <c r="C4291" s="1"/>
      <c r="D4291" s="1"/>
      <c r="E4291" s="1"/>
      <c r="F4291" s="1"/>
      <c r="G4291" s="3"/>
      <c r="H4291" s="1"/>
    </row>
    <row r="4292" spans="1:8" ht="13.2" x14ac:dyDescent="0.25">
      <c r="A4292" s="1"/>
      <c r="B4292" s="1"/>
      <c r="C4292" s="1"/>
      <c r="D4292" s="1"/>
      <c r="E4292" s="1"/>
      <c r="F4292" s="1"/>
      <c r="G4292" s="1"/>
      <c r="H4292" s="1"/>
    </row>
    <row r="4293" spans="1:8" ht="13.2" x14ac:dyDescent="0.25">
      <c r="A4293" s="1"/>
      <c r="B4293" s="1"/>
      <c r="C4293" s="1"/>
      <c r="D4293" s="1"/>
      <c r="E4293" s="1"/>
      <c r="F4293" s="1"/>
      <c r="G4293" s="3"/>
      <c r="H4293" s="1"/>
    </row>
    <row r="4294" spans="1:8" ht="13.2" x14ac:dyDescent="0.25">
      <c r="A4294" s="1"/>
      <c r="B4294" s="1"/>
      <c r="C4294" s="1"/>
      <c r="D4294" s="1"/>
      <c r="E4294" s="1"/>
      <c r="F4294" s="1"/>
      <c r="G4294" s="3"/>
      <c r="H4294" s="1"/>
    </row>
    <row r="4295" spans="1:8" ht="13.2" x14ac:dyDescent="0.25">
      <c r="A4295" s="1"/>
      <c r="B4295" s="1"/>
      <c r="C4295" s="1"/>
      <c r="D4295" s="1"/>
      <c r="E4295" s="1"/>
      <c r="F4295" s="1"/>
      <c r="G4295" s="3"/>
      <c r="H4295" s="1"/>
    </row>
    <row r="4296" spans="1:8" ht="13.2" x14ac:dyDescent="0.25">
      <c r="A4296" s="1"/>
      <c r="B4296" s="1"/>
      <c r="C4296" s="1"/>
      <c r="D4296" s="1"/>
      <c r="E4296" s="1"/>
      <c r="F4296" s="1"/>
      <c r="G4296" s="3"/>
      <c r="H4296" s="1"/>
    </row>
    <row r="4297" spans="1:8" ht="13.2" x14ac:dyDescent="0.25">
      <c r="A4297" s="1"/>
      <c r="B4297" s="1"/>
      <c r="C4297" s="1"/>
      <c r="D4297" s="1"/>
      <c r="E4297" s="1"/>
      <c r="F4297" s="1"/>
      <c r="G4297" s="1"/>
      <c r="H4297" s="1"/>
    </row>
    <row r="4298" spans="1:8" ht="13.2" x14ac:dyDescent="0.25">
      <c r="A4298" s="1"/>
      <c r="B4298" s="1"/>
      <c r="C4298" s="1"/>
      <c r="D4298" s="1"/>
      <c r="E4298" s="1"/>
      <c r="F4298" s="1"/>
      <c r="G4298" s="1"/>
      <c r="H4298" s="1"/>
    </row>
    <row r="4299" spans="1:8" ht="13.2" x14ac:dyDescent="0.25">
      <c r="A4299" s="1"/>
      <c r="B4299" s="1"/>
      <c r="C4299" s="1"/>
      <c r="D4299" s="1"/>
      <c r="E4299" s="1"/>
      <c r="F4299" s="1"/>
      <c r="G4299" s="1"/>
      <c r="H4299" s="1"/>
    </row>
    <row r="4300" spans="1:8" ht="13.2" x14ac:dyDescent="0.25">
      <c r="A4300" s="1"/>
      <c r="B4300" s="1"/>
      <c r="C4300" s="1"/>
      <c r="D4300" s="1"/>
      <c r="E4300" s="1"/>
      <c r="F4300" s="1"/>
      <c r="G4300" s="1"/>
      <c r="H4300" s="1"/>
    </row>
    <row r="4301" spans="1:8" ht="13.2" x14ac:dyDescent="0.25">
      <c r="A4301" s="1"/>
      <c r="B4301" s="1"/>
      <c r="C4301" s="1"/>
      <c r="D4301" s="1"/>
      <c r="E4301" s="1"/>
      <c r="F4301" s="1"/>
      <c r="G4301" s="1"/>
      <c r="H4301" s="1"/>
    </row>
    <row r="4302" spans="1:8" ht="13.2" x14ac:dyDescent="0.25">
      <c r="A4302" s="1"/>
      <c r="B4302" s="1"/>
      <c r="C4302" s="1"/>
      <c r="D4302" s="1"/>
      <c r="E4302" s="1"/>
      <c r="F4302" s="1"/>
      <c r="G4302" s="1"/>
      <c r="H4302" s="1"/>
    </row>
    <row r="4303" spans="1:8" ht="13.2" x14ac:dyDescent="0.25">
      <c r="A4303" s="1"/>
      <c r="B4303" s="1"/>
      <c r="C4303" s="1"/>
      <c r="D4303" s="1"/>
      <c r="E4303" s="1"/>
      <c r="F4303" s="1"/>
      <c r="G4303" s="1"/>
      <c r="H4303" s="1"/>
    </row>
    <row r="4304" spans="1:8" ht="13.2" x14ac:dyDescent="0.25">
      <c r="A4304" s="1"/>
      <c r="B4304" s="1"/>
      <c r="C4304" s="1"/>
      <c r="D4304" s="1"/>
      <c r="E4304" s="1"/>
      <c r="F4304" s="1"/>
      <c r="G4304" s="1"/>
      <c r="H4304" s="1"/>
    </row>
    <row r="4305" spans="1:8" ht="13.2" x14ac:dyDescent="0.25">
      <c r="A4305" s="1"/>
      <c r="B4305" s="1"/>
      <c r="C4305" s="1"/>
      <c r="D4305" s="1"/>
      <c r="E4305" s="1"/>
      <c r="F4305" s="1"/>
      <c r="G4305" s="1"/>
      <c r="H4305" s="1"/>
    </row>
    <row r="4306" spans="1:8" ht="13.2" x14ac:dyDescent="0.25">
      <c r="A4306" s="1"/>
      <c r="B4306" s="1"/>
      <c r="C4306" s="1"/>
      <c r="D4306" s="1"/>
      <c r="E4306" s="1"/>
      <c r="F4306" s="1"/>
      <c r="G4306" s="1"/>
      <c r="H4306" s="1"/>
    </row>
    <row r="4307" spans="1:8" ht="13.2" x14ac:dyDescent="0.25">
      <c r="A4307" s="1"/>
      <c r="B4307" s="1"/>
      <c r="C4307" s="1"/>
      <c r="D4307" s="1"/>
      <c r="E4307" s="1"/>
      <c r="F4307" s="1"/>
      <c r="G4307" s="1"/>
      <c r="H4307" s="1"/>
    </row>
    <row r="4308" spans="1:8" ht="13.2" x14ac:dyDescent="0.25">
      <c r="A4308" s="1"/>
      <c r="B4308" s="1"/>
      <c r="C4308" s="1"/>
      <c r="D4308" s="1"/>
      <c r="E4308" s="1"/>
      <c r="F4308" s="1"/>
      <c r="G4308" s="3"/>
      <c r="H4308" s="1"/>
    </row>
    <row r="4309" spans="1:8" ht="13.2" x14ac:dyDescent="0.25">
      <c r="A4309" s="1"/>
      <c r="B4309" s="1"/>
      <c r="C4309" s="1"/>
      <c r="D4309" s="1"/>
      <c r="E4309" s="1"/>
      <c r="F4309" s="1"/>
      <c r="G4309" s="1"/>
      <c r="H4309" s="1"/>
    </row>
    <row r="4310" spans="1:8" ht="13.2" x14ac:dyDescent="0.25">
      <c r="A4310" s="1"/>
      <c r="B4310" s="1"/>
      <c r="C4310" s="1"/>
      <c r="D4310" s="1"/>
      <c r="E4310" s="1"/>
      <c r="F4310" s="1"/>
      <c r="G4310" s="1"/>
      <c r="H4310" s="1"/>
    </row>
    <row r="4311" spans="1:8" ht="13.2" x14ac:dyDescent="0.25">
      <c r="A4311" s="1"/>
      <c r="B4311" s="1"/>
      <c r="C4311" s="1"/>
      <c r="D4311" s="1"/>
      <c r="E4311" s="1"/>
      <c r="F4311" s="1"/>
      <c r="G4311" s="3"/>
      <c r="H4311" s="1"/>
    </row>
    <row r="4312" spans="1:8" ht="13.2" x14ac:dyDescent="0.25">
      <c r="A4312" s="1"/>
      <c r="B4312" s="1"/>
      <c r="C4312" s="1"/>
      <c r="D4312" s="1"/>
      <c r="E4312" s="1"/>
      <c r="F4312" s="1"/>
      <c r="G4312" s="3"/>
      <c r="H4312" s="1"/>
    </row>
    <row r="4313" spans="1:8" ht="13.2" x14ac:dyDescent="0.25">
      <c r="A4313" s="1"/>
      <c r="B4313" s="1"/>
      <c r="C4313" s="1"/>
      <c r="D4313" s="1"/>
      <c r="E4313" s="1"/>
      <c r="F4313" s="1"/>
      <c r="G4313" s="1"/>
      <c r="H4313" s="1"/>
    </row>
    <row r="4314" spans="1:8" ht="13.2" x14ac:dyDescent="0.25">
      <c r="A4314" s="1"/>
      <c r="B4314" s="1"/>
      <c r="C4314" s="1"/>
      <c r="D4314" s="1"/>
      <c r="E4314" s="1"/>
      <c r="F4314" s="1"/>
      <c r="G4314" s="1"/>
      <c r="H4314" s="1"/>
    </row>
    <row r="4315" spans="1:8" ht="13.2" x14ac:dyDescent="0.25">
      <c r="A4315" s="1"/>
      <c r="B4315" s="1"/>
      <c r="C4315" s="1"/>
      <c r="D4315" s="1"/>
      <c r="E4315" s="1"/>
      <c r="F4315" s="1"/>
      <c r="G4315" s="1"/>
      <c r="H4315" s="1"/>
    </row>
    <row r="4316" spans="1:8" ht="13.2" x14ac:dyDescent="0.25">
      <c r="A4316" s="1"/>
      <c r="B4316" s="1"/>
      <c r="C4316" s="1"/>
      <c r="D4316" s="1"/>
      <c r="E4316" s="1"/>
      <c r="F4316" s="1"/>
      <c r="G4316" s="3"/>
      <c r="H4316" s="1"/>
    </row>
    <row r="4317" spans="1:8" ht="13.2" x14ac:dyDescent="0.25">
      <c r="A4317" s="1"/>
      <c r="B4317" s="1"/>
      <c r="C4317" s="1"/>
      <c r="D4317" s="1"/>
      <c r="E4317" s="1"/>
      <c r="F4317" s="1"/>
      <c r="G4317" s="1"/>
      <c r="H4317" s="1"/>
    </row>
    <row r="4318" spans="1:8" ht="13.2" x14ac:dyDescent="0.25">
      <c r="A4318" s="1"/>
      <c r="B4318" s="1"/>
      <c r="C4318" s="1"/>
      <c r="D4318" s="1"/>
      <c r="E4318" s="1"/>
      <c r="F4318" s="1"/>
      <c r="G4318" s="1"/>
      <c r="H4318" s="1"/>
    </row>
    <row r="4319" spans="1:8" ht="13.2" x14ac:dyDescent="0.25">
      <c r="A4319" s="1"/>
      <c r="B4319" s="1"/>
      <c r="C4319" s="1"/>
      <c r="D4319" s="1"/>
      <c r="E4319" s="1"/>
      <c r="F4319" s="1"/>
      <c r="G4319" s="1"/>
      <c r="H4319" s="1"/>
    </row>
    <row r="4320" spans="1:8" ht="13.2" x14ac:dyDescent="0.25">
      <c r="A4320" s="1"/>
      <c r="B4320" s="1"/>
      <c r="C4320" s="1"/>
      <c r="D4320" s="1"/>
      <c r="E4320" s="1"/>
      <c r="F4320" s="1"/>
      <c r="G4320" s="3"/>
      <c r="H4320" s="1"/>
    </row>
    <row r="4321" spans="1:8" ht="13.2" x14ac:dyDescent="0.25">
      <c r="A4321" s="1"/>
      <c r="B4321" s="1"/>
      <c r="C4321" s="1"/>
      <c r="D4321" s="1"/>
      <c r="E4321" s="1"/>
      <c r="F4321" s="1"/>
      <c r="G4321" s="3"/>
      <c r="H4321" s="1"/>
    </row>
    <row r="4322" spans="1:8" ht="13.2" x14ac:dyDescent="0.25">
      <c r="A4322" s="1"/>
      <c r="B4322" s="1"/>
      <c r="C4322" s="1"/>
      <c r="D4322" s="1"/>
      <c r="E4322" s="1"/>
      <c r="F4322" s="1"/>
      <c r="G4322" s="1"/>
      <c r="H4322" s="1"/>
    </row>
    <row r="4323" spans="1:8" ht="13.2" x14ac:dyDescent="0.25">
      <c r="A4323" s="1"/>
      <c r="B4323" s="1"/>
      <c r="C4323" s="1"/>
      <c r="D4323" s="1"/>
      <c r="E4323" s="1"/>
      <c r="F4323" s="1"/>
      <c r="G4323" s="3"/>
      <c r="H4323" s="1"/>
    </row>
    <row r="4324" spans="1:8" ht="13.2" x14ac:dyDescent="0.25">
      <c r="A4324" s="1"/>
      <c r="B4324" s="1"/>
      <c r="C4324" s="1"/>
      <c r="D4324" s="1"/>
      <c r="E4324" s="1"/>
      <c r="F4324" s="1"/>
      <c r="G4324" s="1"/>
      <c r="H4324" s="1"/>
    </row>
    <row r="4325" spans="1:8" ht="13.2" x14ac:dyDescent="0.25">
      <c r="A4325" s="1"/>
      <c r="B4325" s="1"/>
      <c r="C4325" s="1"/>
      <c r="D4325" s="1"/>
      <c r="E4325" s="1"/>
      <c r="F4325" s="1"/>
      <c r="G4325" s="1"/>
      <c r="H4325" s="1"/>
    </row>
    <row r="4326" spans="1:8" ht="13.2" x14ac:dyDescent="0.25">
      <c r="A4326" s="1"/>
      <c r="B4326" s="1"/>
      <c r="C4326" s="1"/>
      <c r="D4326" s="1"/>
      <c r="E4326" s="1"/>
      <c r="F4326" s="1"/>
      <c r="G4326" s="1"/>
      <c r="H4326" s="1"/>
    </row>
    <row r="4327" spans="1:8" ht="13.2" x14ac:dyDescent="0.25">
      <c r="A4327" s="1"/>
      <c r="B4327" s="1"/>
      <c r="C4327" s="1"/>
      <c r="D4327" s="1"/>
      <c r="E4327" s="1"/>
      <c r="F4327" s="1"/>
      <c r="G4327" s="1"/>
      <c r="H4327" s="1"/>
    </row>
    <row r="4328" spans="1:8" ht="13.2" x14ac:dyDescent="0.25">
      <c r="A4328" s="1"/>
      <c r="B4328" s="1"/>
      <c r="C4328" s="1"/>
      <c r="D4328" s="1"/>
      <c r="E4328" s="1"/>
      <c r="F4328" s="1"/>
      <c r="G4328" s="1"/>
      <c r="H4328" s="1"/>
    </row>
    <row r="4329" spans="1:8" ht="13.2" x14ac:dyDescent="0.25">
      <c r="A4329" s="1"/>
      <c r="B4329" s="1"/>
      <c r="C4329" s="1"/>
      <c r="D4329" s="1"/>
      <c r="E4329" s="1"/>
      <c r="F4329" s="1"/>
      <c r="G4329" s="3"/>
      <c r="H4329" s="1"/>
    </row>
    <row r="4330" spans="1:8" ht="13.2" x14ac:dyDescent="0.25">
      <c r="A4330" s="1"/>
      <c r="B4330" s="1"/>
      <c r="C4330" s="1"/>
      <c r="D4330" s="1"/>
      <c r="E4330" s="1"/>
      <c r="F4330" s="1"/>
      <c r="G4330" s="1"/>
      <c r="H4330" s="1"/>
    </row>
    <row r="4331" spans="1:8" ht="13.2" x14ac:dyDescent="0.25">
      <c r="A4331" s="1"/>
      <c r="B4331" s="1"/>
      <c r="C4331" s="1"/>
      <c r="D4331" s="1"/>
      <c r="E4331" s="1"/>
      <c r="F4331" s="1"/>
      <c r="G4331" s="1"/>
      <c r="H4331" s="1"/>
    </row>
    <row r="4332" spans="1:8" ht="13.2" x14ac:dyDescent="0.25">
      <c r="A4332" s="1"/>
      <c r="B4332" s="1"/>
      <c r="C4332" s="1"/>
      <c r="D4332" s="1"/>
      <c r="E4332" s="1"/>
      <c r="F4332" s="1"/>
      <c r="G4332" s="1"/>
      <c r="H4332" s="1"/>
    </row>
    <row r="4333" spans="1:8" ht="13.2" x14ac:dyDescent="0.25">
      <c r="A4333" s="1"/>
      <c r="B4333" s="1"/>
      <c r="C4333" s="1"/>
      <c r="D4333" s="1"/>
      <c r="E4333" s="1"/>
      <c r="F4333" s="1"/>
      <c r="G4333" s="1"/>
      <c r="H4333" s="1"/>
    </row>
    <row r="4334" spans="1:8" ht="13.2" x14ac:dyDescent="0.25">
      <c r="A4334" s="1"/>
      <c r="B4334" s="1"/>
      <c r="C4334" s="1"/>
      <c r="D4334" s="1"/>
      <c r="E4334" s="1"/>
      <c r="F4334" s="1"/>
      <c r="G4334" s="1"/>
      <c r="H4334" s="1"/>
    </row>
    <row r="4335" spans="1:8" ht="13.2" x14ac:dyDescent="0.25">
      <c r="A4335" s="1"/>
      <c r="B4335" s="1"/>
      <c r="C4335" s="1"/>
      <c r="D4335" s="1"/>
      <c r="E4335" s="1"/>
      <c r="F4335" s="1"/>
      <c r="G4335" s="3"/>
      <c r="H4335" s="1"/>
    </row>
    <row r="4336" spans="1:8" ht="13.2" x14ac:dyDescent="0.25">
      <c r="A4336" s="1"/>
      <c r="B4336" s="1"/>
      <c r="C4336" s="1"/>
      <c r="D4336" s="1"/>
      <c r="E4336" s="1"/>
      <c r="F4336" s="1"/>
      <c r="G4336" s="3"/>
      <c r="H4336" s="1"/>
    </row>
    <row r="4337" spans="1:8" ht="13.2" x14ac:dyDescent="0.25">
      <c r="A4337" s="1"/>
      <c r="B4337" s="1"/>
      <c r="C4337" s="1"/>
      <c r="D4337" s="1"/>
      <c r="E4337" s="1"/>
      <c r="F4337" s="1"/>
      <c r="G4337" s="3"/>
      <c r="H4337" s="1"/>
    </row>
    <row r="4338" spans="1:8" ht="13.2" x14ac:dyDescent="0.25">
      <c r="A4338" s="1"/>
      <c r="B4338" s="1"/>
      <c r="C4338" s="1"/>
      <c r="D4338" s="1"/>
      <c r="E4338" s="1"/>
      <c r="F4338" s="1"/>
      <c r="G4338" s="1"/>
      <c r="H4338" s="1"/>
    </row>
    <row r="4339" spans="1:8" ht="13.2" x14ac:dyDescent="0.25">
      <c r="A4339" s="1"/>
      <c r="B4339" s="1"/>
      <c r="C4339" s="1"/>
      <c r="D4339" s="1"/>
      <c r="E4339" s="1"/>
      <c r="F4339" s="1"/>
      <c r="G4339" s="1"/>
      <c r="H4339" s="1"/>
    </row>
    <row r="4340" spans="1:8" ht="13.2" x14ac:dyDescent="0.25">
      <c r="A4340" s="1"/>
      <c r="B4340" s="1"/>
      <c r="C4340" s="1"/>
      <c r="D4340" s="1"/>
      <c r="E4340" s="1"/>
      <c r="F4340" s="1"/>
      <c r="G4340" s="1"/>
      <c r="H4340" s="1"/>
    </row>
    <row r="4341" spans="1:8" ht="13.2" x14ac:dyDescent="0.25">
      <c r="A4341" s="1"/>
      <c r="B4341" s="1"/>
      <c r="C4341" s="1"/>
      <c r="D4341" s="1"/>
      <c r="E4341" s="1"/>
      <c r="F4341" s="1"/>
      <c r="G4341" s="1"/>
      <c r="H4341" s="1"/>
    </row>
    <row r="4342" spans="1:8" ht="13.2" x14ac:dyDescent="0.25">
      <c r="A4342" s="1"/>
      <c r="B4342" s="1"/>
      <c r="C4342" s="1"/>
      <c r="D4342" s="1"/>
      <c r="E4342" s="1"/>
      <c r="F4342" s="1"/>
      <c r="G4342" s="3"/>
      <c r="H4342" s="1"/>
    </row>
    <row r="4343" spans="1:8" ht="13.2" x14ac:dyDescent="0.25">
      <c r="A4343" s="1"/>
      <c r="B4343" s="1"/>
      <c r="C4343" s="1"/>
      <c r="D4343" s="1"/>
      <c r="E4343" s="1"/>
      <c r="F4343" s="1"/>
      <c r="G4343" s="1"/>
      <c r="H4343" s="1"/>
    </row>
    <row r="4344" spans="1:8" ht="13.2" x14ac:dyDescent="0.25">
      <c r="A4344" s="1"/>
      <c r="B4344" s="1"/>
      <c r="C4344" s="1"/>
      <c r="D4344" s="1"/>
      <c r="E4344" s="1"/>
      <c r="F4344" s="1"/>
      <c r="G4344" s="1"/>
      <c r="H4344" s="1"/>
    </row>
    <row r="4345" spans="1:8" ht="13.2" x14ac:dyDescent="0.25">
      <c r="A4345" s="1"/>
      <c r="B4345" s="1"/>
      <c r="C4345" s="1"/>
      <c r="D4345" s="1"/>
      <c r="E4345" s="1"/>
      <c r="F4345" s="1"/>
      <c r="G4345" s="1"/>
      <c r="H4345" s="1"/>
    </row>
    <row r="4346" spans="1:8" ht="13.2" x14ac:dyDescent="0.25">
      <c r="A4346" s="1"/>
      <c r="B4346" s="1"/>
      <c r="C4346" s="1"/>
      <c r="D4346" s="1"/>
      <c r="E4346" s="1"/>
      <c r="F4346" s="1"/>
      <c r="G4346" s="1"/>
      <c r="H4346" s="1"/>
    </row>
    <row r="4347" spans="1:8" ht="13.2" x14ac:dyDescent="0.25">
      <c r="A4347" s="1"/>
      <c r="B4347" s="1"/>
      <c r="C4347" s="1"/>
      <c r="D4347" s="1"/>
      <c r="E4347" s="1"/>
      <c r="F4347" s="1"/>
      <c r="G4347" s="1"/>
      <c r="H4347" s="1"/>
    </row>
    <row r="4348" spans="1:8" ht="13.2" x14ac:dyDescent="0.25">
      <c r="A4348" s="1"/>
      <c r="B4348" s="1"/>
      <c r="C4348" s="1"/>
      <c r="D4348" s="1"/>
      <c r="E4348" s="1"/>
      <c r="F4348" s="1"/>
      <c r="G4348" s="3"/>
      <c r="H4348" s="1"/>
    </row>
    <row r="4349" spans="1:8" ht="13.2" x14ac:dyDescent="0.25">
      <c r="A4349" s="1"/>
      <c r="B4349" s="1"/>
      <c r="C4349" s="1"/>
      <c r="D4349" s="1"/>
      <c r="E4349" s="1"/>
      <c r="F4349" s="1"/>
      <c r="G4349" s="1"/>
      <c r="H4349" s="1"/>
    </row>
    <row r="4350" spans="1:8" ht="13.2" x14ac:dyDescent="0.25">
      <c r="A4350" s="1"/>
      <c r="B4350" s="1"/>
      <c r="C4350" s="1"/>
      <c r="D4350" s="1"/>
      <c r="E4350" s="1"/>
      <c r="F4350" s="1"/>
      <c r="G4350" s="1"/>
      <c r="H4350" s="1"/>
    </row>
    <row r="4351" spans="1:8" ht="13.2" x14ac:dyDescent="0.25">
      <c r="A4351" s="1"/>
      <c r="B4351" s="1"/>
      <c r="C4351" s="1"/>
      <c r="D4351" s="1"/>
      <c r="E4351" s="1"/>
      <c r="F4351" s="1"/>
      <c r="G4351" s="1"/>
      <c r="H4351" s="1"/>
    </row>
    <row r="4352" spans="1:8" ht="13.2" x14ac:dyDescent="0.25">
      <c r="A4352" s="1"/>
      <c r="B4352" s="1"/>
      <c r="C4352" s="1"/>
      <c r="D4352" s="1"/>
      <c r="E4352" s="1"/>
      <c r="F4352" s="1"/>
      <c r="G4352" s="1"/>
      <c r="H4352" s="1"/>
    </row>
    <row r="4353" spans="1:8" ht="13.2" x14ac:dyDescent="0.25">
      <c r="A4353" s="1"/>
      <c r="B4353" s="1"/>
      <c r="C4353" s="1"/>
      <c r="D4353" s="1"/>
      <c r="E4353" s="1"/>
      <c r="F4353" s="1"/>
      <c r="G4353" s="1"/>
      <c r="H4353" s="1"/>
    </row>
    <row r="4354" spans="1:8" ht="13.2" x14ac:dyDescent="0.25">
      <c r="A4354" s="1"/>
      <c r="B4354" s="1"/>
      <c r="C4354" s="1"/>
      <c r="D4354" s="1"/>
      <c r="E4354" s="1"/>
      <c r="F4354" s="1"/>
      <c r="G4354" s="1"/>
      <c r="H4354" s="1"/>
    </row>
    <row r="4355" spans="1:8" ht="13.2" x14ac:dyDescent="0.25">
      <c r="A4355" s="1"/>
      <c r="B4355" s="1"/>
      <c r="C4355" s="1"/>
      <c r="D4355" s="1"/>
      <c r="E4355" s="1"/>
      <c r="F4355" s="1"/>
      <c r="G4355" s="1"/>
      <c r="H4355" s="1"/>
    </row>
    <row r="4356" spans="1:8" ht="13.2" x14ac:dyDescent="0.25">
      <c r="A4356" s="1"/>
      <c r="B4356" s="1"/>
      <c r="C4356" s="1"/>
      <c r="D4356" s="1"/>
      <c r="E4356" s="1"/>
      <c r="F4356" s="1"/>
      <c r="G4356" s="1"/>
      <c r="H4356" s="1"/>
    </row>
    <row r="4357" spans="1:8" ht="13.2" x14ac:dyDescent="0.25">
      <c r="A4357" s="1"/>
      <c r="B4357" s="1"/>
      <c r="C4357" s="1"/>
      <c r="D4357" s="1"/>
      <c r="E4357" s="1"/>
      <c r="F4357" s="1"/>
      <c r="G4357" s="3"/>
      <c r="H4357" s="1"/>
    </row>
    <row r="4358" spans="1:8" ht="13.2" x14ac:dyDescent="0.25">
      <c r="A4358" s="1"/>
      <c r="B4358" s="1"/>
      <c r="C4358" s="1"/>
      <c r="D4358" s="1"/>
      <c r="E4358" s="1"/>
      <c r="F4358" s="1"/>
      <c r="G4358" s="1"/>
      <c r="H4358" s="1"/>
    </row>
    <row r="4359" spans="1:8" ht="13.2" x14ac:dyDescent="0.25">
      <c r="A4359" s="1"/>
      <c r="B4359" s="1"/>
      <c r="C4359" s="1"/>
      <c r="D4359" s="1"/>
      <c r="E4359" s="1"/>
      <c r="F4359" s="1"/>
      <c r="G4359" s="1"/>
      <c r="H4359" s="1"/>
    </row>
    <row r="4360" spans="1:8" ht="13.2" x14ac:dyDescent="0.25">
      <c r="A4360" s="1"/>
      <c r="B4360" s="1"/>
      <c r="C4360" s="1"/>
      <c r="D4360" s="1"/>
      <c r="E4360" s="1"/>
      <c r="F4360" s="1"/>
      <c r="G4360" s="1"/>
      <c r="H4360" s="1"/>
    </row>
    <row r="4361" spans="1:8" ht="13.2" x14ac:dyDescent="0.25">
      <c r="A4361" s="1"/>
      <c r="B4361" s="1"/>
      <c r="C4361" s="1"/>
      <c r="D4361" s="1"/>
      <c r="E4361" s="1"/>
      <c r="F4361" s="1"/>
      <c r="G4361" s="1"/>
      <c r="H4361" s="1"/>
    </row>
    <row r="4362" spans="1:8" ht="13.2" x14ac:dyDescent="0.25">
      <c r="A4362" s="1"/>
      <c r="B4362" s="1"/>
      <c r="C4362" s="1"/>
      <c r="D4362" s="1"/>
      <c r="E4362" s="1"/>
      <c r="F4362" s="1"/>
      <c r="G4362" s="3"/>
      <c r="H4362" s="1"/>
    </row>
    <row r="4363" spans="1:8" ht="13.2" x14ac:dyDescent="0.25">
      <c r="A4363" s="1"/>
      <c r="B4363" s="1"/>
      <c r="C4363" s="1"/>
      <c r="D4363" s="1"/>
      <c r="E4363" s="1"/>
      <c r="F4363" s="1"/>
      <c r="G4363" s="1"/>
      <c r="H4363" s="1"/>
    </row>
    <row r="4364" spans="1:8" ht="13.2" x14ac:dyDescent="0.25">
      <c r="A4364" s="1"/>
      <c r="B4364" s="1"/>
      <c r="C4364" s="1"/>
      <c r="D4364" s="1"/>
      <c r="E4364" s="1"/>
      <c r="F4364" s="1"/>
      <c r="G4364" s="1"/>
      <c r="H4364" s="1"/>
    </row>
    <row r="4365" spans="1:8" ht="13.2" x14ac:dyDescent="0.25">
      <c r="A4365" s="1"/>
      <c r="B4365" s="1"/>
      <c r="C4365" s="1"/>
      <c r="D4365" s="1"/>
      <c r="E4365" s="1"/>
      <c r="F4365" s="1"/>
      <c r="G4365" s="1"/>
      <c r="H4365" s="1"/>
    </row>
    <row r="4366" spans="1:8" ht="13.2" x14ac:dyDescent="0.25">
      <c r="A4366" s="1"/>
      <c r="B4366" s="1"/>
      <c r="C4366" s="1"/>
      <c r="D4366" s="1"/>
      <c r="E4366" s="1"/>
      <c r="F4366" s="1"/>
      <c r="G4366" s="1"/>
      <c r="H4366" s="1"/>
    </row>
    <row r="4367" spans="1:8" ht="13.2" x14ac:dyDescent="0.25">
      <c r="A4367" s="1"/>
      <c r="B4367" s="1"/>
      <c r="C4367" s="1"/>
      <c r="D4367" s="1"/>
      <c r="E4367" s="1"/>
      <c r="F4367" s="1"/>
      <c r="G4367" s="1"/>
      <c r="H4367" s="1"/>
    </row>
    <row r="4368" spans="1:8" ht="13.2" x14ac:dyDescent="0.25">
      <c r="A4368" s="1"/>
      <c r="B4368" s="1"/>
      <c r="C4368" s="1"/>
      <c r="D4368" s="1"/>
      <c r="E4368" s="1"/>
      <c r="F4368" s="1"/>
      <c r="G4368" s="1"/>
      <c r="H4368" s="1"/>
    </row>
    <row r="4369" spans="1:8" ht="13.2" x14ac:dyDescent="0.25">
      <c r="A4369" s="1"/>
      <c r="B4369" s="1"/>
      <c r="C4369" s="1"/>
      <c r="D4369" s="1"/>
      <c r="E4369" s="1"/>
      <c r="F4369" s="1"/>
      <c r="G4369" s="1"/>
      <c r="H4369" s="1"/>
    </row>
    <row r="4370" spans="1:8" ht="13.2" x14ac:dyDescent="0.25">
      <c r="A4370" s="1"/>
      <c r="B4370" s="1"/>
      <c r="C4370" s="1"/>
      <c r="D4370" s="1"/>
      <c r="E4370" s="1"/>
      <c r="F4370" s="1"/>
      <c r="G4370" s="1"/>
      <c r="H4370" s="1"/>
    </row>
    <row r="4371" spans="1:8" ht="13.2" x14ac:dyDescent="0.25">
      <c r="A4371" s="1"/>
      <c r="B4371" s="1"/>
      <c r="C4371" s="1"/>
      <c r="D4371" s="1"/>
      <c r="E4371" s="1"/>
      <c r="F4371" s="1"/>
      <c r="G4371" s="1"/>
      <c r="H4371" s="1"/>
    </row>
    <row r="4372" spans="1:8" ht="13.2" x14ac:dyDescent="0.25">
      <c r="A4372" s="1"/>
      <c r="B4372" s="1"/>
      <c r="C4372" s="1"/>
      <c r="D4372" s="1"/>
      <c r="E4372" s="1"/>
      <c r="F4372" s="1"/>
      <c r="G4372" s="1"/>
      <c r="H4372" s="1"/>
    </row>
    <row r="4373" spans="1:8" ht="13.2" x14ac:dyDescent="0.25">
      <c r="A4373" s="1"/>
      <c r="B4373" s="1"/>
      <c r="C4373" s="1"/>
      <c r="D4373" s="1"/>
      <c r="E4373" s="1"/>
      <c r="F4373" s="1"/>
      <c r="G4373" s="3"/>
      <c r="H4373" s="1"/>
    </row>
    <row r="4374" spans="1:8" ht="13.2" x14ac:dyDescent="0.25">
      <c r="A4374" s="1"/>
      <c r="B4374" s="1"/>
      <c r="C4374" s="1"/>
      <c r="D4374" s="1"/>
      <c r="E4374" s="1"/>
      <c r="F4374" s="1"/>
      <c r="G4374" s="1"/>
      <c r="H4374" s="1"/>
    </row>
    <row r="4375" spans="1:8" ht="13.2" x14ac:dyDescent="0.25">
      <c r="A4375" s="1"/>
      <c r="B4375" s="1"/>
      <c r="C4375" s="1"/>
      <c r="D4375" s="1"/>
      <c r="E4375" s="1"/>
      <c r="F4375" s="1"/>
      <c r="G4375" s="1"/>
      <c r="H4375" s="1"/>
    </row>
    <row r="4376" spans="1:8" ht="13.2" x14ac:dyDescent="0.25">
      <c r="A4376" s="1"/>
      <c r="B4376" s="1"/>
      <c r="C4376" s="1"/>
      <c r="D4376" s="1"/>
      <c r="E4376" s="1"/>
      <c r="F4376" s="1"/>
      <c r="G4376" s="1"/>
      <c r="H4376" s="1"/>
    </row>
    <row r="4377" spans="1:8" ht="13.2" x14ac:dyDescent="0.25">
      <c r="A4377" s="1"/>
      <c r="B4377" s="1"/>
      <c r="C4377" s="1"/>
      <c r="D4377" s="1"/>
      <c r="E4377" s="1"/>
      <c r="F4377" s="1"/>
      <c r="G4377" s="1"/>
      <c r="H4377" s="1"/>
    </row>
    <row r="4378" spans="1:8" ht="13.2" x14ac:dyDescent="0.25">
      <c r="A4378" s="1"/>
      <c r="B4378" s="1"/>
      <c r="C4378" s="1"/>
      <c r="D4378" s="1"/>
      <c r="E4378" s="1"/>
      <c r="F4378" s="1"/>
      <c r="G4378" s="1"/>
      <c r="H4378" s="1"/>
    </row>
    <row r="4379" spans="1:8" ht="13.2" x14ac:dyDescent="0.25">
      <c r="A4379" s="1"/>
      <c r="B4379" s="1"/>
      <c r="C4379" s="1"/>
      <c r="D4379" s="1"/>
      <c r="E4379" s="1"/>
      <c r="F4379" s="1"/>
      <c r="G4379" s="1"/>
      <c r="H4379" s="1"/>
    </row>
    <row r="4380" spans="1:8" ht="13.2" x14ac:dyDescent="0.25">
      <c r="A4380" s="1"/>
      <c r="B4380" s="1"/>
      <c r="C4380" s="1"/>
      <c r="D4380" s="1"/>
      <c r="E4380" s="1"/>
      <c r="F4380" s="1"/>
      <c r="G4380" s="1"/>
      <c r="H4380" s="1"/>
    </row>
    <row r="4381" spans="1:8" ht="13.2" x14ac:dyDescent="0.25">
      <c r="A4381" s="1"/>
      <c r="B4381" s="1"/>
      <c r="C4381" s="1"/>
      <c r="D4381" s="1"/>
      <c r="E4381" s="1"/>
      <c r="F4381" s="1"/>
      <c r="G4381" s="1"/>
      <c r="H4381" s="1"/>
    </row>
    <row r="4382" spans="1:8" ht="13.2" x14ac:dyDescent="0.25">
      <c r="A4382" s="1"/>
      <c r="B4382" s="1"/>
      <c r="C4382" s="1"/>
      <c r="D4382" s="1"/>
      <c r="E4382" s="1"/>
      <c r="F4382" s="1"/>
      <c r="G4382" s="1"/>
      <c r="H4382" s="1"/>
    </row>
    <row r="4383" spans="1:8" ht="13.2" x14ac:dyDescent="0.25">
      <c r="A4383" s="1"/>
      <c r="B4383" s="1"/>
      <c r="C4383" s="1"/>
      <c r="D4383" s="1"/>
      <c r="E4383" s="1"/>
      <c r="F4383" s="1"/>
      <c r="G4383" s="1"/>
      <c r="H4383" s="1"/>
    </row>
    <row r="4384" spans="1:8" ht="13.2" x14ac:dyDescent="0.25">
      <c r="A4384" s="1"/>
      <c r="B4384" s="1"/>
      <c r="C4384" s="1"/>
      <c r="D4384" s="1"/>
      <c r="E4384" s="1"/>
      <c r="F4384" s="1"/>
      <c r="G4384" s="1"/>
      <c r="H4384" s="1"/>
    </row>
    <row r="4385" spans="1:8" ht="13.2" x14ac:dyDescent="0.25">
      <c r="A4385" s="1"/>
      <c r="B4385" s="1"/>
      <c r="C4385" s="1"/>
      <c r="D4385" s="1"/>
      <c r="E4385" s="1"/>
      <c r="F4385" s="1"/>
      <c r="G4385" s="1"/>
      <c r="H4385" s="1"/>
    </row>
    <row r="4386" spans="1:8" ht="13.2" x14ac:dyDescent="0.25">
      <c r="A4386" s="1"/>
      <c r="B4386" s="1"/>
      <c r="C4386" s="1"/>
      <c r="D4386" s="1"/>
      <c r="E4386" s="1"/>
      <c r="F4386" s="1"/>
      <c r="G4386" s="3"/>
      <c r="H4386" s="1"/>
    </row>
    <row r="4387" spans="1:8" ht="13.2" x14ac:dyDescent="0.25">
      <c r="A4387" s="1"/>
      <c r="B4387" s="1"/>
      <c r="C4387" s="1"/>
      <c r="D4387" s="1"/>
      <c r="E4387" s="1"/>
      <c r="F4387" s="1"/>
      <c r="G4387" s="1"/>
      <c r="H4387" s="1"/>
    </row>
    <row r="4388" spans="1:8" ht="13.2" x14ac:dyDescent="0.25">
      <c r="A4388" s="1"/>
      <c r="B4388" s="1"/>
      <c r="C4388" s="1"/>
      <c r="D4388" s="1"/>
      <c r="E4388" s="1"/>
      <c r="F4388" s="1"/>
      <c r="G4388" s="1"/>
      <c r="H4388" s="1"/>
    </row>
    <row r="4389" spans="1:8" ht="13.2" x14ac:dyDescent="0.25">
      <c r="A4389" s="1"/>
      <c r="B4389" s="1"/>
      <c r="C4389" s="1"/>
      <c r="D4389" s="1"/>
      <c r="E4389" s="1"/>
      <c r="F4389" s="1"/>
      <c r="G4389" s="1"/>
      <c r="H4389" s="1"/>
    </row>
    <row r="4390" spans="1:8" ht="13.2" x14ac:dyDescent="0.25">
      <c r="A4390" s="1"/>
      <c r="B4390" s="1"/>
      <c r="C4390" s="1"/>
      <c r="D4390" s="1"/>
      <c r="E4390" s="1"/>
      <c r="F4390" s="1"/>
      <c r="G4390" s="1"/>
      <c r="H4390" s="1"/>
    </row>
    <row r="4391" spans="1:8" ht="13.2" x14ac:dyDescent="0.25">
      <c r="A4391" s="1"/>
      <c r="B4391" s="1"/>
      <c r="C4391" s="1"/>
      <c r="D4391" s="1"/>
      <c r="E4391" s="1"/>
      <c r="F4391" s="1"/>
      <c r="G4391" s="1"/>
      <c r="H4391" s="1"/>
    </row>
    <row r="4392" spans="1:8" ht="13.2" x14ac:dyDescent="0.25">
      <c r="A4392" s="1"/>
      <c r="B4392" s="1"/>
      <c r="C4392" s="1"/>
      <c r="D4392" s="1"/>
      <c r="E4392" s="1"/>
      <c r="F4392" s="1"/>
      <c r="G4392" s="1"/>
      <c r="H4392" s="1"/>
    </row>
    <row r="4393" spans="1:8" ht="13.2" x14ac:dyDescent="0.25">
      <c r="A4393" s="1"/>
      <c r="B4393" s="1"/>
      <c r="C4393" s="1"/>
      <c r="D4393" s="1"/>
      <c r="E4393" s="1"/>
      <c r="F4393" s="1"/>
      <c r="G4393" s="1"/>
      <c r="H4393" s="1"/>
    </row>
    <row r="4394" spans="1:8" ht="13.2" x14ac:dyDescent="0.25">
      <c r="A4394" s="1"/>
      <c r="B4394" s="1"/>
      <c r="C4394" s="1"/>
      <c r="D4394" s="1"/>
      <c r="E4394" s="1"/>
      <c r="F4394" s="1"/>
      <c r="G4394" s="1"/>
      <c r="H4394" s="1"/>
    </row>
    <row r="4395" spans="1:8" ht="13.2" x14ac:dyDescent="0.25">
      <c r="A4395" s="1"/>
      <c r="B4395" s="1"/>
      <c r="C4395" s="1"/>
      <c r="D4395" s="1"/>
      <c r="E4395" s="1"/>
      <c r="F4395" s="1"/>
      <c r="G4395" s="1"/>
      <c r="H4395" s="1"/>
    </row>
    <row r="4396" spans="1:8" ht="13.2" x14ac:dyDescent="0.25">
      <c r="A4396" s="1"/>
      <c r="B4396" s="1"/>
      <c r="C4396" s="1"/>
      <c r="D4396" s="1"/>
      <c r="E4396" s="1"/>
      <c r="F4396" s="1"/>
      <c r="G4396" s="1"/>
      <c r="H4396" s="1"/>
    </row>
    <row r="4397" spans="1:8" ht="13.2" x14ac:dyDescent="0.25">
      <c r="A4397" s="1"/>
      <c r="B4397" s="1"/>
      <c r="C4397" s="1"/>
      <c r="D4397" s="1"/>
      <c r="E4397" s="1"/>
      <c r="F4397" s="1"/>
      <c r="G4397" s="1"/>
      <c r="H4397" s="1"/>
    </row>
    <row r="4398" spans="1:8" ht="13.2" x14ac:dyDescent="0.25">
      <c r="A4398" s="1"/>
      <c r="B4398" s="1"/>
      <c r="C4398" s="1"/>
      <c r="D4398" s="1"/>
      <c r="E4398" s="1"/>
      <c r="F4398" s="1"/>
      <c r="G4398" s="1"/>
      <c r="H4398" s="1"/>
    </row>
    <row r="4399" spans="1:8" ht="13.2" x14ac:dyDescent="0.25">
      <c r="A4399" s="1"/>
      <c r="B4399" s="1"/>
      <c r="C4399" s="1"/>
      <c r="D4399" s="1"/>
      <c r="E4399" s="1"/>
      <c r="F4399" s="1"/>
      <c r="G4399" s="1"/>
      <c r="H4399" s="1"/>
    </row>
    <row r="4400" spans="1:8" ht="13.2" x14ac:dyDescent="0.25">
      <c r="A4400" s="1"/>
      <c r="B4400" s="1"/>
      <c r="C4400" s="1"/>
      <c r="D4400" s="1"/>
      <c r="E4400" s="1"/>
      <c r="F4400" s="1"/>
      <c r="G4400" s="1"/>
      <c r="H4400" s="1"/>
    </row>
    <row r="4401" spans="1:8" ht="13.2" x14ac:dyDescent="0.25">
      <c r="A4401" s="1"/>
      <c r="B4401" s="1"/>
      <c r="C4401" s="1"/>
      <c r="D4401" s="1"/>
      <c r="E4401" s="1"/>
      <c r="F4401" s="1"/>
      <c r="G4401" s="1"/>
      <c r="H4401" s="1"/>
    </row>
    <row r="4402" spans="1:8" ht="13.2" x14ac:dyDescent="0.25">
      <c r="A4402" s="1"/>
      <c r="B4402" s="1"/>
      <c r="C4402" s="1"/>
      <c r="D4402" s="1"/>
      <c r="E4402" s="1"/>
      <c r="F4402" s="1"/>
      <c r="G4402" s="3"/>
      <c r="H4402" s="1"/>
    </row>
    <row r="4403" spans="1:8" ht="13.2" x14ac:dyDescent="0.25">
      <c r="A4403" s="1"/>
      <c r="B4403" s="1"/>
      <c r="C4403" s="1"/>
      <c r="D4403" s="1"/>
      <c r="E4403" s="1"/>
      <c r="F4403" s="1"/>
      <c r="G4403" s="1"/>
      <c r="H4403" s="1"/>
    </row>
    <row r="4404" spans="1:8" ht="13.2" x14ac:dyDescent="0.25">
      <c r="A4404" s="1"/>
      <c r="B4404" s="1"/>
      <c r="C4404" s="1"/>
      <c r="D4404" s="1"/>
      <c r="E4404" s="1"/>
      <c r="F4404" s="1"/>
      <c r="G4404" s="1"/>
      <c r="H4404" s="1"/>
    </row>
    <row r="4405" spans="1:8" ht="13.2" x14ac:dyDescent="0.25">
      <c r="A4405" s="1"/>
      <c r="B4405" s="1"/>
      <c r="C4405" s="1"/>
      <c r="D4405" s="1"/>
      <c r="E4405" s="1"/>
      <c r="F4405" s="1"/>
      <c r="G4405" s="3"/>
      <c r="H4405" s="1"/>
    </row>
    <row r="4406" spans="1:8" ht="13.2" x14ac:dyDescent="0.25">
      <c r="A4406" s="1"/>
      <c r="B4406" s="1"/>
      <c r="C4406" s="1"/>
      <c r="D4406" s="1"/>
      <c r="E4406" s="1"/>
      <c r="F4406" s="1"/>
      <c r="G4406" s="1"/>
      <c r="H4406" s="1"/>
    </row>
    <row r="4407" spans="1:8" ht="13.2" x14ac:dyDescent="0.25">
      <c r="A4407" s="1"/>
      <c r="B4407" s="1"/>
      <c r="C4407" s="1"/>
      <c r="D4407" s="1"/>
      <c r="E4407" s="1"/>
      <c r="F4407" s="1"/>
      <c r="G4407" s="1"/>
      <c r="H4407" s="1"/>
    </row>
    <row r="4408" spans="1:8" ht="13.2" x14ac:dyDescent="0.25">
      <c r="A4408" s="1"/>
      <c r="B4408" s="1"/>
      <c r="C4408" s="1"/>
      <c r="D4408" s="1"/>
      <c r="E4408" s="1"/>
      <c r="F4408" s="1"/>
      <c r="G4408" s="1"/>
      <c r="H4408" s="1"/>
    </row>
    <row r="4409" spans="1:8" ht="13.2" x14ac:dyDescent="0.25">
      <c r="A4409" s="1"/>
      <c r="B4409" s="1"/>
      <c r="C4409" s="1"/>
      <c r="D4409" s="1"/>
      <c r="E4409" s="1"/>
      <c r="F4409" s="1"/>
      <c r="G4409" s="1"/>
      <c r="H4409" s="1"/>
    </row>
    <row r="4410" spans="1:8" ht="13.2" x14ac:dyDescent="0.25">
      <c r="A4410" s="1"/>
      <c r="B4410" s="1"/>
      <c r="C4410" s="1"/>
      <c r="D4410" s="1"/>
      <c r="E4410" s="1"/>
      <c r="F4410" s="1"/>
      <c r="G4410" s="1"/>
      <c r="H4410" s="1"/>
    </row>
    <row r="4411" spans="1:8" ht="13.2" x14ac:dyDescent="0.25">
      <c r="A4411" s="1"/>
      <c r="B4411" s="1"/>
      <c r="C4411" s="1"/>
      <c r="D4411" s="1"/>
      <c r="E4411" s="1"/>
      <c r="F4411" s="1"/>
      <c r="G4411" s="1"/>
      <c r="H4411" s="1"/>
    </row>
    <row r="4412" spans="1:8" ht="13.2" x14ac:dyDescent="0.25">
      <c r="A4412" s="1"/>
      <c r="B4412" s="1"/>
      <c r="C4412" s="1"/>
      <c r="D4412" s="1"/>
      <c r="E4412" s="1"/>
      <c r="F4412" s="1"/>
      <c r="G4412" s="1"/>
      <c r="H4412" s="1"/>
    </row>
    <row r="4413" spans="1:8" ht="13.2" x14ac:dyDescent="0.25">
      <c r="A4413" s="1"/>
      <c r="B4413" s="1"/>
      <c r="C4413" s="1"/>
      <c r="D4413" s="1"/>
      <c r="E4413" s="1"/>
      <c r="F4413" s="1"/>
      <c r="G4413" s="1"/>
      <c r="H4413" s="1"/>
    </row>
    <row r="4414" spans="1:8" ht="13.2" x14ac:dyDescent="0.25">
      <c r="A4414" s="1"/>
      <c r="B4414" s="1"/>
      <c r="C4414" s="1"/>
      <c r="D4414" s="1"/>
      <c r="E4414" s="1"/>
      <c r="F4414" s="1"/>
      <c r="G4414" s="1"/>
      <c r="H4414" s="1"/>
    </row>
    <row r="4415" spans="1:8" ht="13.2" x14ac:dyDescent="0.25">
      <c r="A4415" s="1"/>
      <c r="B4415" s="1"/>
      <c r="C4415" s="1"/>
      <c r="D4415" s="1"/>
      <c r="E4415" s="1"/>
      <c r="F4415" s="1"/>
      <c r="G4415" s="1"/>
      <c r="H4415" s="1"/>
    </row>
    <row r="4416" spans="1:8" ht="13.2" x14ac:dyDescent="0.25">
      <c r="A4416" s="1"/>
      <c r="B4416" s="1"/>
      <c r="C4416" s="1"/>
      <c r="D4416" s="1"/>
      <c r="E4416" s="1"/>
      <c r="F4416" s="1"/>
      <c r="G4416" s="1"/>
      <c r="H4416" s="1"/>
    </row>
    <row r="4417" spans="1:8" ht="13.2" x14ac:dyDescent="0.25">
      <c r="A4417" s="1"/>
      <c r="B4417" s="1"/>
      <c r="C4417" s="1"/>
      <c r="D4417" s="1"/>
      <c r="E4417" s="1"/>
      <c r="F4417" s="1"/>
      <c r="G4417" s="1"/>
      <c r="H4417" s="1"/>
    </row>
    <row r="4418" spans="1:8" ht="13.2" x14ac:dyDescent="0.25">
      <c r="A4418" s="1"/>
      <c r="B4418" s="1"/>
      <c r="C4418" s="1"/>
      <c r="D4418" s="1"/>
      <c r="E4418" s="1"/>
      <c r="F4418" s="1"/>
      <c r="G4418" s="3"/>
      <c r="H4418" s="1"/>
    </row>
    <row r="4419" spans="1:8" ht="13.2" x14ac:dyDescent="0.25">
      <c r="A4419" s="1"/>
      <c r="B4419" s="1"/>
      <c r="C4419" s="1"/>
      <c r="D4419" s="1"/>
      <c r="E4419" s="1"/>
      <c r="F4419" s="1"/>
      <c r="G4419" s="1"/>
      <c r="H4419" s="1"/>
    </row>
    <row r="4420" spans="1:8" ht="13.2" x14ac:dyDescent="0.25">
      <c r="A4420" s="1"/>
      <c r="B4420" s="1"/>
      <c r="C4420" s="1"/>
      <c r="D4420" s="1"/>
      <c r="E4420" s="1"/>
      <c r="F4420" s="1"/>
      <c r="G4420" s="1"/>
      <c r="H4420" s="1"/>
    </row>
    <row r="4421" spans="1:8" ht="13.2" x14ac:dyDescent="0.25">
      <c r="A4421" s="1"/>
      <c r="B4421" s="1"/>
      <c r="C4421" s="1"/>
      <c r="D4421" s="1"/>
      <c r="E4421" s="1"/>
      <c r="F4421" s="1"/>
      <c r="G4421" s="1"/>
      <c r="H4421" s="1"/>
    </row>
    <row r="4422" spans="1:8" ht="13.2" x14ac:dyDescent="0.25">
      <c r="A4422" s="1"/>
      <c r="B4422" s="1"/>
      <c r="C4422" s="1"/>
      <c r="D4422" s="1"/>
      <c r="E4422" s="1"/>
      <c r="F4422" s="1"/>
      <c r="G4422" s="1"/>
      <c r="H4422" s="1"/>
    </row>
    <row r="4423" spans="1:8" ht="13.2" x14ac:dyDescent="0.25">
      <c r="A4423" s="1"/>
      <c r="B4423" s="1"/>
      <c r="C4423" s="1"/>
      <c r="D4423" s="1"/>
      <c r="E4423" s="1"/>
      <c r="F4423" s="1"/>
      <c r="G4423" s="1"/>
      <c r="H4423" s="1"/>
    </row>
    <row r="4424" spans="1:8" ht="13.2" x14ac:dyDescent="0.25">
      <c r="A4424" s="1"/>
      <c r="B4424" s="1"/>
      <c r="C4424" s="1"/>
      <c r="D4424" s="1"/>
      <c r="E4424" s="1"/>
      <c r="F4424" s="1"/>
      <c r="G4424" s="1"/>
      <c r="H4424" s="1"/>
    </row>
    <row r="4425" spans="1:8" ht="13.2" x14ac:dyDescent="0.25">
      <c r="A4425" s="1"/>
      <c r="B4425" s="1"/>
      <c r="C4425" s="1"/>
      <c r="D4425" s="1"/>
      <c r="E4425" s="1"/>
      <c r="F4425" s="1"/>
      <c r="G4425" s="1"/>
      <c r="H4425" s="1"/>
    </row>
    <row r="4426" spans="1:8" ht="13.2" x14ac:dyDescent="0.25">
      <c r="A4426" s="1"/>
      <c r="B4426" s="1"/>
      <c r="C4426" s="1"/>
      <c r="D4426" s="1"/>
      <c r="E4426" s="1"/>
      <c r="F4426" s="1"/>
      <c r="G4426" s="1"/>
      <c r="H4426" s="1"/>
    </row>
    <row r="4427" spans="1:8" ht="13.2" x14ac:dyDescent="0.25">
      <c r="A4427" s="1"/>
      <c r="B4427" s="1"/>
      <c r="C4427" s="1"/>
      <c r="D4427" s="1"/>
      <c r="E4427" s="1"/>
      <c r="F4427" s="1"/>
      <c r="G4427" s="1"/>
      <c r="H4427" s="1"/>
    </row>
    <row r="4428" spans="1:8" ht="13.2" x14ac:dyDescent="0.25">
      <c r="A4428" s="1"/>
      <c r="B4428" s="1"/>
      <c r="C4428" s="1"/>
      <c r="D4428" s="1"/>
      <c r="E4428" s="1"/>
      <c r="F4428" s="1"/>
      <c r="G4428" s="1"/>
      <c r="H4428" s="1"/>
    </row>
    <row r="4429" spans="1:8" ht="13.2" x14ac:dyDescent="0.25">
      <c r="A4429" s="1"/>
      <c r="B4429" s="1"/>
      <c r="C4429" s="1"/>
      <c r="D4429" s="1"/>
      <c r="E4429" s="1"/>
      <c r="F4429" s="1"/>
      <c r="G4429" s="1"/>
      <c r="H4429" s="1"/>
    </row>
    <row r="4430" spans="1:8" ht="13.2" x14ac:dyDescent="0.25">
      <c r="A4430" s="1"/>
      <c r="B4430" s="1"/>
      <c r="C4430" s="1"/>
      <c r="D4430" s="1"/>
      <c r="E4430" s="1"/>
      <c r="F4430" s="1"/>
      <c r="G4430" s="1"/>
      <c r="H4430" s="1"/>
    </row>
    <row r="4431" spans="1:8" ht="13.2" x14ac:dyDescent="0.25">
      <c r="A4431" s="1"/>
      <c r="B4431" s="1"/>
      <c r="C4431" s="1"/>
      <c r="D4431" s="1"/>
      <c r="E4431" s="1"/>
      <c r="F4431" s="1"/>
      <c r="G4431" s="1"/>
      <c r="H4431" s="1"/>
    </row>
    <row r="4432" spans="1:8" ht="13.2" x14ac:dyDescent="0.25">
      <c r="A4432" s="1"/>
      <c r="B4432" s="1"/>
      <c r="C4432" s="1"/>
      <c r="D4432" s="1"/>
      <c r="E4432" s="1"/>
      <c r="F4432" s="1"/>
      <c r="G4432" s="1"/>
      <c r="H4432" s="1"/>
    </row>
    <row r="4433" spans="1:8" ht="13.2" x14ac:dyDescent="0.25">
      <c r="A4433" s="1"/>
      <c r="B4433" s="1"/>
      <c r="C4433" s="1"/>
      <c r="D4433" s="1"/>
      <c r="E4433" s="1"/>
      <c r="F4433" s="1"/>
      <c r="G4433" s="1"/>
      <c r="H4433" s="1"/>
    </row>
    <row r="4434" spans="1:8" ht="13.2" x14ac:dyDescent="0.25">
      <c r="A4434" s="1"/>
      <c r="B4434" s="1"/>
      <c r="C4434" s="1"/>
      <c r="D4434" s="1"/>
      <c r="E4434" s="1"/>
      <c r="F4434" s="1"/>
      <c r="G4434" s="1"/>
      <c r="H4434" s="1"/>
    </row>
    <row r="4435" spans="1:8" ht="13.2" x14ac:dyDescent="0.25">
      <c r="A4435" s="1"/>
      <c r="B4435" s="1"/>
      <c r="C4435" s="1"/>
      <c r="D4435" s="1"/>
      <c r="E4435" s="1"/>
      <c r="F4435" s="1"/>
      <c r="G4435" s="1"/>
      <c r="H4435" s="1"/>
    </row>
    <row r="4436" spans="1:8" ht="13.2" x14ac:dyDescent="0.25">
      <c r="A4436" s="1"/>
      <c r="B4436" s="1"/>
      <c r="C4436" s="1"/>
      <c r="D4436" s="1"/>
      <c r="E4436" s="1"/>
      <c r="F4436" s="1"/>
      <c r="G4436" s="1"/>
      <c r="H4436" s="1"/>
    </row>
    <row r="4437" spans="1:8" ht="13.2" x14ac:dyDescent="0.25">
      <c r="A4437" s="1"/>
      <c r="B4437" s="1"/>
      <c r="C4437" s="1"/>
      <c r="D4437" s="1"/>
      <c r="E4437" s="1"/>
      <c r="F4437" s="1"/>
      <c r="G4437" s="1"/>
      <c r="H4437" s="1"/>
    </row>
    <row r="4438" spans="1:8" ht="13.2" x14ac:dyDescent="0.25">
      <c r="A4438" s="1"/>
      <c r="B4438" s="1"/>
      <c r="C4438" s="1"/>
      <c r="D4438" s="1"/>
      <c r="E4438" s="1"/>
      <c r="F4438" s="1"/>
      <c r="G4438" s="1"/>
      <c r="H4438" s="1"/>
    </row>
    <row r="4439" spans="1:8" ht="13.2" x14ac:dyDescent="0.25">
      <c r="A4439" s="1"/>
      <c r="B4439" s="1"/>
      <c r="C4439" s="1"/>
      <c r="D4439" s="1"/>
      <c r="E4439" s="1"/>
      <c r="F4439" s="1"/>
      <c r="G4439" s="1"/>
      <c r="H4439" s="1"/>
    </row>
    <row r="4440" spans="1:8" ht="13.2" x14ac:dyDescent="0.25">
      <c r="A4440" s="1"/>
      <c r="B4440" s="1"/>
      <c r="C4440" s="1"/>
      <c r="D4440" s="1"/>
      <c r="E4440" s="1"/>
      <c r="F4440" s="1"/>
      <c r="G4440" s="1"/>
      <c r="H4440" s="1"/>
    </row>
    <row r="4441" spans="1:8" ht="13.2" x14ac:dyDescent="0.25">
      <c r="A4441" s="1"/>
      <c r="B4441" s="1"/>
      <c r="C4441" s="1"/>
      <c r="D4441" s="1"/>
      <c r="E4441" s="1"/>
      <c r="F4441" s="1"/>
      <c r="G4441" s="3"/>
      <c r="H4441" s="1"/>
    </row>
    <row r="4442" spans="1:8" ht="13.2" x14ac:dyDescent="0.25">
      <c r="A4442" s="1"/>
      <c r="B4442" s="1"/>
      <c r="C4442" s="1"/>
      <c r="D4442" s="1"/>
      <c r="E4442" s="1"/>
      <c r="F4442" s="1"/>
      <c r="G4442" s="3"/>
      <c r="H4442" s="1"/>
    </row>
    <row r="4443" spans="1:8" ht="13.2" x14ac:dyDescent="0.25">
      <c r="A4443" s="1"/>
      <c r="B4443" s="1"/>
      <c r="C4443" s="1"/>
      <c r="D4443" s="1"/>
      <c r="E4443" s="1"/>
      <c r="F4443" s="1"/>
      <c r="G4443" s="3"/>
      <c r="H4443" s="1"/>
    </row>
    <row r="4444" spans="1:8" ht="13.2" x14ac:dyDescent="0.25">
      <c r="A4444" s="1"/>
      <c r="B4444" s="1"/>
      <c r="C4444" s="1"/>
      <c r="D4444" s="1"/>
      <c r="E4444" s="1"/>
      <c r="F4444" s="1"/>
      <c r="G4444" s="1"/>
      <c r="H4444" s="1"/>
    </row>
    <row r="4445" spans="1:8" ht="13.2" x14ac:dyDescent="0.25">
      <c r="A4445" s="1"/>
      <c r="B4445" s="1"/>
      <c r="C4445" s="1"/>
      <c r="D4445" s="1"/>
      <c r="E4445" s="1"/>
      <c r="F4445" s="1"/>
      <c r="G4445" s="1"/>
      <c r="H4445" s="1"/>
    </row>
    <row r="4446" spans="1:8" ht="13.2" x14ac:dyDescent="0.25">
      <c r="A4446" s="1"/>
      <c r="B4446" s="1"/>
      <c r="C4446" s="1"/>
      <c r="D4446" s="1"/>
      <c r="E4446" s="1"/>
      <c r="F4446" s="1"/>
      <c r="G4446" s="1"/>
      <c r="H4446" s="1"/>
    </row>
    <row r="4447" spans="1:8" ht="13.2" x14ac:dyDescent="0.25">
      <c r="A4447" s="1"/>
      <c r="B4447" s="1"/>
      <c r="C4447" s="1"/>
      <c r="D4447" s="1"/>
      <c r="E4447" s="1"/>
      <c r="F4447" s="1"/>
      <c r="G4447" s="1"/>
      <c r="H4447" s="1"/>
    </row>
    <row r="4448" spans="1:8" ht="13.2" x14ac:dyDescent="0.25">
      <c r="A4448" s="1"/>
      <c r="B4448" s="1"/>
      <c r="C4448" s="1"/>
      <c r="D4448" s="1"/>
      <c r="E4448" s="1"/>
      <c r="F4448" s="1"/>
      <c r="G4448" s="1"/>
      <c r="H4448" s="1"/>
    </row>
    <row r="4449" spans="1:8" ht="13.2" x14ac:dyDescent="0.25">
      <c r="A4449" s="1"/>
      <c r="B4449" s="1"/>
      <c r="C4449" s="1"/>
      <c r="D4449" s="1"/>
      <c r="E4449" s="1"/>
      <c r="F4449" s="1"/>
      <c r="G4449" s="1"/>
      <c r="H4449" s="1"/>
    </row>
    <row r="4450" spans="1:8" ht="13.2" x14ac:dyDescent="0.25">
      <c r="A4450" s="1"/>
      <c r="B4450" s="1"/>
      <c r="C4450" s="1"/>
      <c r="D4450" s="1"/>
      <c r="E4450" s="1"/>
      <c r="F4450" s="1"/>
      <c r="G4450" s="1"/>
      <c r="H4450" s="1"/>
    </row>
    <row r="4451" spans="1:8" ht="13.2" x14ac:dyDescent="0.25">
      <c r="A4451" s="1"/>
      <c r="B4451" s="1"/>
      <c r="C4451" s="1"/>
      <c r="D4451" s="1"/>
      <c r="E4451" s="1"/>
      <c r="F4451" s="1"/>
      <c r="G4451" s="1"/>
      <c r="H4451" s="1"/>
    </row>
    <row r="4452" spans="1:8" ht="13.2" x14ac:dyDescent="0.25">
      <c r="A4452" s="1"/>
      <c r="B4452" s="1"/>
      <c r="C4452" s="1"/>
      <c r="D4452" s="1"/>
      <c r="E4452" s="1"/>
      <c r="F4452" s="1"/>
      <c r="G4452" s="1"/>
      <c r="H4452" s="1"/>
    </row>
    <row r="4453" spans="1:8" ht="13.2" x14ac:dyDescent="0.25">
      <c r="A4453" s="1"/>
      <c r="B4453" s="1"/>
      <c r="C4453" s="1"/>
      <c r="D4453" s="1"/>
      <c r="E4453" s="1"/>
      <c r="F4453" s="1"/>
      <c r="G4453" s="1"/>
      <c r="H4453" s="1"/>
    </row>
    <row r="4454" spans="1:8" ht="13.2" x14ac:dyDescent="0.25">
      <c r="A4454" s="1"/>
      <c r="B4454" s="1"/>
      <c r="C4454" s="1"/>
      <c r="D4454" s="1"/>
      <c r="E4454" s="1"/>
      <c r="F4454" s="1"/>
      <c r="G4454" s="1"/>
      <c r="H4454" s="1"/>
    </row>
    <row r="4455" spans="1:8" ht="13.2" x14ac:dyDescent="0.25">
      <c r="A4455" s="1"/>
      <c r="B4455" s="1"/>
      <c r="C4455" s="1"/>
      <c r="D4455" s="1"/>
      <c r="E4455" s="1"/>
      <c r="F4455" s="1"/>
      <c r="G4455" s="1"/>
      <c r="H4455" s="1"/>
    </row>
    <row r="4456" spans="1:8" ht="13.2" x14ac:dyDescent="0.25">
      <c r="A4456" s="1"/>
      <c r="B4456" s="1"/>
      <c r="C4456" s="1"/>
      <c r="D4456" s="1"/>
      <c r="E4456" s="1"/>
      <c r="F4456" s="1"/>
      <c r="G4456" s="1"/>
      <c r="H4456" s="1"/>
    </row>
    <row r="4457" spans="1:8" ht="13.2" x14ac:dyDescent="0.25">
      <c r="A4457" s="1"/>
      <c r="B4457" s="1"/>
      <c r="C4457" s="1"/>
      <c r="D4457" s="1"/>
      <c r="E4457" s="1"/>
      <c r="F4457" s="1"/>
      <c r="G4457" s="1"/>
      <c r="H4457" s="1"/>
    </row>
    <row r="4458" spans="1:8" ht="13.2" x14ac:dyDescent="0.25">
      <c r="A4458" s="1"/>
      <c r="B4458" s="1"/>
      <c r="C4458" s="1"/>
      <c r="D4458" s="1"/>
      <c r="E4458" s="1"/>
      <c r="F4458" s="1"/>
      <c r="G4458" s="1"/>
      <c r="H4458" s="1"/>
    </row>
    <row r="4459" spans="1:8" ht="13.2" x14ac:dyDescent="0.25">
      <c r="A4459" s="1"/>
      <c r="B4459" s="1"/>
      <c r="C4459" s="1"/>
      <c r="D4459" s="1"/>
      <c r="E4459" s="1"/>
      <c r="F4459" s="1"/>
      <c r="G4459" s="1"/>
      <c r="H4459" s="1"/>
    </row>
    <row r="4460" spans="1:8" ht="13.2" x14ac:dyDescent="0.25">
      <c r="A4460" s="1"/>
      <c r="B4460" s="1"/>
      <c r="C4460" s="1"/>
      <c r="D4460" s="1"/>
      <c r="E4460" s="1"/>
      <c r="F4460" s="1"/>
      <c r="G4460" s="1"/>
      <c r="H4460" s="1"/>
    </row>
    <row r="4461" spans="1:8" ht="13.2" x14ac:dyDescent="0.25">
      <c r="A4461" s="1"/>
      <c r="B4461" s="1"/>
      <c r="C4461" s="1"/>
      <c r="D4461" s="1"/>
      <c r="E4461" s="1"/>
      <c r="F4461" s="1"/>
      <c r="G4461" s="1"/>
      <c r="H4461" s="1"/>
    </row>
    <row r="4462" spans="1:8" ht="13.2" x14ac:dyDescent="0.25">
      <c r="A4462" s="1"/>
      <c r="B4462" s="1"/>
      <c r="C4462" s="1"/>
      <c r="D4462" s="1"/>
      <c r="E4462" s="1"/>
      <c r="F4462" s="1"/>
      <c r="G4462" s="1"/>
      <c r="H4462" s="1"/>
    </row>
    <row r="4463" spans="1:8" ht="13.2" x14ac:dyDescent="0.25">
      <c r="A4463" s="1"/>
      <c r="B4463" s="1"/>
      <c r="C4463" s="1"/>
      <c r="D4463" s="1"/>
      <c r="E4463" s="1"/>
      <c r="F4463" s="1"/>
      <c r="G4463" s="1"/>
      <c r="H4463" s="1"/>
    </row>
    <row r="4464" spans="1:8" ht="13.2" x14ac:dyDescent="0.25">
      <c r="A4464" s="1"/>
      <c r="B4464" s="1"/>
      <c r="C4464" s="1"/>
      <c r="D4464" s="1"/>
      <c r="E4464" s="1"/>
      <c r="F4464" s="1"/>
      <c r="G4464" s="1"/>
      <c r="H4464" s="1"/>
    </row>
    <row r="4465" spans="1:8" ht="13.2" x14ac:dyDescent="0.25">
      <c r="A4465" s="1"/>
      <c r="B4465" s="1"/>
      <c r="C4465" s="1"/>
      <c r="D4465" s="1"/>
      <c r="E4465" s="1"/>
      <c r="F4465" s="1"/>
      <c r="G4465" s="1"/>
      <c r="H4465" s="1"/>
    </row>
    <row r="4466" spans="1:8" ht="13.2" x14ac:dyDescent="0.25">
      <c r="A4466" s="1"/>
      <c r="B4466" s="1"/>
      <c r="C4466" s="1"/>
      <c r="D4466" s="1"/>
      <c r="E4466" s="1"/>
      <c r="F4466" s="1"/>
      <c r="G4466" s="1"/>
      <c r="H4466" s="1"/>
    </row>
    <row r="4467" spans="1:8" ht="13.2" x14ac:dyDescent="0.25">
      <c r="A4467" s="1"/>
      <c r="B4467" s="1"/>
      <c r="C4467" s="1"/>
      <c r="D4467" s="1"/>
      <c r="E4467" s="1"/>
      <c r="F4467" s="1"/>
      <c r="G4467" s="1"/>
      <c r="H4467" s="1"/>
    </row>
    <row r="4468" spans="1:8" ht="13.2" x14ac:dyDescent="0.25">
      <c r="A4468" s="1"/>
      <c r="B4468" s="1"/>
      <c r="C4468" s="1"/>
      <c r="D4468" s="1"/>
      <c r="E4468" s="1"/>
      <c r="F4468" s="1"/>
      <c r="G4468" s="1"/>
      <c r="H4468" s="1"/>
    </row>
    <row r="4469" spans="1:8" ht="13.2" x14ac:dyDescent="0.25">
      <c r="A4469" s="1"/>
      <c r="B4469" s="1"/>
      <c r="C4469" s="1"/>
      <c r="D4469" s="1"/>
      <c r="E4469" s="1"/>
      <c r="F4469" s="1"/>
      <c r="G4469" s="1"/>
      <c r="H4469" s="1"/>
    </row>
    <row r="4470" spans="1:8" ht="13.2" x14ac:dyDescent="0.25">
      <c r="A4470" s="1"/>
      <c r="B4470" s="1"/>
      <c r="C4470" s="1"/>
      <c r="D4470" s="1"/>
      <c r="E4470" s="1"/>
      <c r="F4470" s="1"/>
      <c r="G4470" s="1"/>
      <c r="H4470" s="1"/>
    </row>
    <row r="4471" spans="1:8" ht="13.2" x14ac:dyDescent="0.25">
      <c r="A4471" s="1"/>
      <c r="B4471" s="1"/>
      <c r="C4471" s="1"/>
      <c r="D4471" s="1"/>
      <c r="E4471" s="1"/>
      <c r="F4471" s="1"/>
      <c r="G4471" s="1"/>
      <c r="H4471" s="1"/>
    </row>
    <row r="4472" spans="1:8" ht="13.2" x14ac:dyDescent="0.25">
      <c r="A4472" s="1"/>
      <c r="B4472" s="1"/>
      <c r="C4472" s="1"/>
      <c r="D4472" s="1"/>
      <c r="E4472" s="1"/>
      <c r="F4472" s="1"/>
      <c r="G4472" s="1"/>
      <c r="H4472" s="1"/>
    </row>
    <row r="4473" spans="1:8" ht="13.2" x14ac:dyDescent="0.25">
      <c r="A4473" s="1"/>
      <c r="B4473" s="1"/>
      <c r="C4473" s="1"/>
      <c r="D4473" s="1"/>
      <c r="E4473" s="1"/>
      <c r="F4473" s="1"/>
      <c r="G4473" s="1"/>
      <c r="H4473" s="1"/>
    </row>
    <row r="4474" spans="1:8" ht="13.2" x14ac:dyDescent="0.25">
      <c r="A4474" s="1"/>
      <c r="B4474" s="1"/>
      <c r="C4474" s="1"/>
      <c r="D4474" s="1"/>
      <c r="E4474" s="1"/>
      <c r="F4474" s="1"/>
      <c r="G4474" s="1"/>
      <c r="H4474" s="1"/>
    </row>
    <row r="4475" spans="1:8" ht="13.2" x14ac:dyDescent="0.25">
      <c r="A4475" s="1"/>
      <c r="B4475" s="1"/>
      <c r="C4475" s="1"/>
      <c r="D4475" s="1"/>
      <c r="E4475" s="1"/>
      <c r="F4475" s="1"/>
      <c r="G4475" s="1"/>
      <c r="H4475" s="1"/>
    </row>
    <row r="4476" spans="1:8" ht="13.2" x14ac:dyDescent="0.25">
      <c r="A4476" s="1"/>
      <c r="B4476" s="1"/>
      <c r="C4476" s="1"/>
      <c r="D4476" s="1"/>
      <c r="E4476" s="1"/>
      <c r="F4476" s="1"/>
      <c r="G4476" s="1"/>
      <c r="H4476" s="1"/>
    </row>
    <row r="4477" spans="1:8" ht="13.2" x14ac:dyDescent="0.25">
      <c r="A4477" s="1"/>
      <c r="B4477" s="1"/>
      <c r="C4477" s="1"/>
      <c r="D4477" s="1"/>
      <c r="E4477" s="1"/>
      <c r="F4477" s="1"/>
      <c r="G4477" s="1"/>
      <c r="H4477" s="1"/>
    </row>
    <row r="4478" spans="1:8" ht="13.2" x14ac:dyDescent="0.25">
      <c r="A4478" s="1"/>
      <c r="B4478" s="1"/>
      <c r="C4478" s="1"/>
      <c r="D4478" s="1"/>
      <c r="E4478" s="1"/>
      <c r="F4478" s="1"/>
      <c r="G4478" s="1"/>
      <c r="H4478" s="1"/>
    </row>
    <row r="4479" spans="1:8" ht="13.2" x14ac:dyDescent="0.25">
      <c r="A4479" s="1"/>
      <c r="B4479" s="1"/>
      <c r="C4479" s="1"/>
      <c r="D4479" s="1"/>
      <c r="E4479" s="1"/>
      <c r="F4479" s="1"/>
      <c r="G4479" s="1"/>
      <c r="H4479" s="1"/>
    </row>
    <row r="4480" spans="1:8" ht="13.2" x14ac:dyDescent="0.25">
      <c r="A4480" s="1"/>
      <c r="B4480" s="1"/>
      <c r="C4480" s="1"/>
      <c r="D4480" s="1"/>
      <c r="E4480" s="1"/>
      <c r="F4480" s="1"/>
      <c r="G4480" s="1"/>
      <c r="H4480" s="1"/>
    </row>
    <row r="4481" spans="1:8" ht="13.2" x14ac:dyDescent="0.25">
      <c r="A4481" s="1"/>
      <c r="B4481" s="1"/>
      <c r="C4481" s="1"/>
      <c r="D4481" s="1"/>
      <c r="E4481" s="1"/>
      <c r="F4481" s="1"/>
      <c r="G4481" s="1"/>
      <c r="H4481" s="1"/>
    </row>
    <row r="4482" spans="1:8" ht="13.2" x14ac:dyDescent="0.25">
      <c r="A4482" s="1"/>
      <c r="B4482" s="1"/>
      <c r="C4482" s="1"/>
      <c r="D4482" s="1"/>
      <c r="E4482" s="1"/>
      <c r="F4482" s="1"/>
      <c r="G4482" s="1"/>
      <c r="H4482" s="1"/>
    </row>
    <row r="4483" spans="1:8" ht="13.2" x14ac:dyDescent="0.25">
      <c r="A4483" s="1"/>
      <c r="B4483" s="1"/>
      <c r="C4483" s="1"/>
      <c r="D4483" s="1"/>
      <c r="E4483" s="1"/>
      <c r="F4483" s="1"/>
      <c r="G4483" s="1"/>
      <c r="H4483" s="1"/>
    </row>
    <row r="4484" spans="1:8" ht="13.2" x14ac:dyDescent="0.25">
      <c r="A4484" s="1"/>
      <c r="B4484" s="1"/>
      <c r="C4484" s="1"/>
      <c r="D4484" s="1"/>
      <c r="E4484" s="1"/>
      <c r="F4484" s="1"/>
      <c r="G4484" s="1"/>
      <c r="H4484" s="1"/>
    </row>
    <row r="4485" spans="1:8" ht="13.2" x14ac:dyDescent="0.25">
      <c r="A4485" s="1"/>
      <c r="B4485" s="1"/>
      <c r="C4485" s="1"/>
      <c r="D4485" s="1"/>
      <c r="E4485" s="1"/>
      <c r="F4485" s="1"/>
      <c r="G4485" s="1"/>
      <c r="H4485" s="1"/>
    </row>
    <row r="4486" spans="1:8" ht="13.2" x14ac:dyDescent="0.25">
      <c r="A4486" s="1"/>
      <c r="B4486" s="1"/>
      <c r="C4486" s="1"/>
      <c r="D4486" s="1"/>
      <c r="E4486" s="1"/>
      <c r="F4486" s="1"/>
      <c r="G4486" s="1"/>
      <c r="H4486" s="1"/>
    </row>
    <row r="4487" spans="1:8" ht="13.2" x14ac:dyDescent="0.25">
      <c r="A4487" s="1"/>
      <c r="B4487" s="1"/>
      <c r="C4487" s="1"/>
      <c r="D4487" s="1"/>
      <c r="E4487" s="1"/>
      <c r="F4487" s="1"/>
      <c r="G4487" s="1"/>
      <c r="H4487" s="1"/>
    </row>
    <row r="4488" spans="1:8" ht="13.2" x14ac:dyDescent="0.25">
      <c r="A4488" s="1"/>
      <c r="B4488" s="1"/>
      <c r="C4488" s="1"/>
      <c r="D4488" s="1"/>
      <c r="E4488" s="1"/>
      <c r="F4488" s="1"/>
      <c r="G4488" s="1"/>
      <c r="H4488" s="1"/>
    </row>
    <row r="4489" spans="1:8" ht="13.2" x14ac:dyDescent="0.25">
      <c r="A4489" s="1"/>
      <c r="B4489" s="1"/>
      <c r="C4489" s="1"/>
      <c r="D4489" s="1"/>
      <c r="E4489" s="1"/>
      <c r="F4489" s="1"/>
      <c r="G4489" s="1"/>
      <c r="H4489" s="1"/>
    </row>
    <row r="4490" spans="1:8" ht="13.2" x14ac:dyDescent="0.25">
      <c r="A4490" s="1"/>
      <c r="B4490" s="1"/>
      <c r="C4490" s="1"/>
      <c r="D4490" s="1"/>
      <c r="E4490" s="1"/>
      <c r="F4490" s="1"/>
      <c r="G4490" s="1"/>
      <c r="H4490" s="1"/>
    </row>
    <row r="4491" spans="1:8" ht="13.2" x14ac:dyDescent="0.25">
      <c r="A4491" s="1"/>
      <c r="B4491" s="1"/>
      <c r="C4491" s="1"/>
      <c r="D4491" s="1"/>
      <c r="E4491" s="1"/>
      <c r="F4491" s="1"/>
      <c r="G4491" s="1"/>
      <c r="H4491" s="1"/>
    </row>
    <row r="4492" spans="1:8" ht="13.2" x14ac:dyDescent="0.25">
      <c r="A4492" s="1"/>
      <c r="B4492" s="1"/>
      <c r="C4492" s="1"/>
      <c r="D4492" s="1"/>
      <c r="E4492" s="1"/>
      <c r="F4492" s="1"/>
      <c r="G4492" s="1"/>
      <c r="H4492" s="1"/>
    </row>
    <row r="4493" spans="1:8" ht="13.2" x14ac:dyDescent="0.25">
      <c r="A4493" s="1"/>
      <c r="B4493" s="1"/>
      <c r="C4493" s="1"/>
      <c r="D4493" s="1"/>
      <c r="E4493" s="1"/>
      <c r="F4493" s="1"/>
      <c r="G4493" s="1"/>
      <c r="H4493" s="1"/>
    </row>
    <row r="4494" spans="1:8" ht="13.2" x14ac:dyDescent="0.25">
      <c r="A4494" s="1"/>
      <c r="B4494" s="1"/>
      <c r="C4494" s="1"/>
      <c r="D4494" s="1"/>
      <c r="E4494" s="1"/>
      <c r="F4494" s="1"/>
      <c r="G4494" s="1"/>
      <c r="H4494" s="1"/>
    </row>
    <row r="4495" spans="1:8" ht="13.2" x14ac:dyDescent="0.25">
      <c r="A4495" s="1"/>
      <c r="B4495" s="1"/>
      <c r="C4495" s="1"/>
      <c r="D4495" s="1"/>
      <c r="E4495" s="1"/>
      <c r="F4495" s="1"/>
      <c r="G4495" s="1"/>
      <c r="H4495" s="1"/>
    </row>
    <row r="4496" spans="1:8" ht="13.2" x14ac:dyDescent="0.25">
      <c r="A4496" s="1"/>
      <c r="B4496" s="1"/>
      <c r="C4496" s="1"/>
      <c r="D4496" s="1"/>
      <c r="E4496" s="1"/>
      <c r="F4496" s="1"/>
      <c r="G4496" s="1"/>
      <c r="H4496" s="1"/>
    </row>
    <row r="4497" spans="1:8" ht="13.2" x14ac:dyDescent="0.25">
      <c r="A4497" s="1"/>
      <c r="B4497" s="1"/>
      <c r="C4497" s="1"/>
      <c r="D4497" s="1"/>
      <c r="E4497" s="1"/>
      <c r="F4497" s="1"/>
      <c r="G4497" s="1"/>
      <c r="H4497" s="1"/>
    </row>
    <row r="4498" spans="1:8" ht="13.2" x14ac:dyDescent="0.25">
      <c r="A4498" s="1"/>
      <c r="B4498" s="1"/>
      <c r="C4498" s="1"/>
      <c r="D4498" s="1"/>
      <c r="E4498" s="1"/>
      <c r="F4498" s="1"/>
      <c r="G4498" s="1"/>
      <c r="H4498" s="1"/>
    </row>
    <row r="4499" spans="1:8" ht="13.2" x14ac:dyDescent="0.25">
      <c r="A4499" s="1"/>
      <c r="B4499" s="1"/>
      <c r="C4499" s="1"/>
      <c r="D4499" s="1"/>
      <c r="E4499" s="1"/>
      <c r="F4499" s="1"/>
      <c r="G4499" s="1"/>
      <c r="H4499" s="1"/>
    </row>
    <row r="4500" spans="1:8" ht="13.2" x14ac:dyDescent="0.25">
      <c r="A4500" s="1"/>
      <c r="B4500" s="1"/>
      <c r="C4500" s="1"/>
      <c r="D4500" s="1"/>
      <c r="E4500" s="1"/>
      <c r="F4500" s="1"/>
      <c r="G4500" s="1"/>
      <c r="H4500" s="1"/>
    </row>
    <row r="4501" spans="1:8" ht="13.2" x14ac:dyDescent="0.25">
      <c r="A4501" s="1"/>
      <c r="B4501" s="1"/>
      <c r="C4501" s="1"/>
      <c r="D4501" s="1"/>
      <c r="E4501" s="1"/>
      <c r="F4501" s="1"/>
      <c r="G4501" s="1"/>
      <c r="H4501" s="1"/>
    </row>
    <row r="4502" spans="1:8" ht="13.2" x14ac:dyDescent="0.25">
      <c r="A4502" s="1"/>
      <c r="B4502" s="1"/>
      <c r="C4502" s="1"/>
      <c r="D4502" s="1"/>
      <c r="E4502" s="1"/>
      <c r="F4502" s="1"/>
      <c r="G4502" s="1"/>
      <c r="H4502" s="1"/>
    </row>
    <row r="4503" spans="1:8" ht="13.2" x14ac:dyDescent="0.25">
      <c r="A4503" s="1"/>
      <c r="B4503" s="1"/>
      <c r="C4503" s="1"/>
      <c r="D4503" s="1"/>
      <c r="E4503" s="1"/>
      <c r="F4503" s="1"/>
      <c r="G4503" s="1"/>
      <c r="H4503" s="1"/>
    </row>
    <row r="4504" spans="1:8" ht="13.2" x14ac:dyDescent="0.25">
      <c r="A4504" s="1"/>
      <c r="B4504" s="1"/>
      <c r="C4504" s="1"/>
      <c r="D4504" s="1"/>
      <c r="E4504" s="1"/>
      <c r="F4504" s="1"/>
      <c r="G4504" s="1"/>
      <c r="H4504" s="1"/>
    </row>
    <row r="4505" spans="1:8" ht="13.2" x14ac:dyDescent="0.25">
      <c r="A4505" s="1"/>
      <c r="B4505" s="1"/>
      <c r="C4505" s="1"/>
      <c r="D4505" s="1"/>
      <c r="E4505" s="1"/>
      <c r="F4505" s="1"/>
      <c r="G4505" s="1"/>
      <c r="H4505" s="1"/>
    </row>
    <row r="4506" spans="1:8" ht="13.2" x14ac:dyDescent="0.25">
      <c r="A4506" s="1"/>
      <c r="B4506" s="1"/>
      <c r="C4506" s="1"/>
      <c r="D4506" s="1"/>
      <c r="E4506" s="1"/>
      <c r="F4506" s="1"/>
      <c r="G4506" s="1"/>
      <c r="H4506" s="1"/>
    </row>
    <row r="4507" spans="1:8" ht="13.2" x14ac:dyDescent="0.25">
      <c r="A4507" s="1"/>
      <c r="B4507" s="1"/>
      <c r="C4507" s="1"/>
      <c r="D4507" s="1"/>
      <c r="E4507" s="1"/>
      <c r="F4507" s="1"/>
      <c r="G4507" s="1"/>
      <c r="H4507" s="1"/>
    </row>
    <row r="4508" spans="1:8" ht="13.2" x14ac:dyDescent="0.25">
      <c r="A4508" s="1"/>
      <c r="B4508" s="1"/>
      <c r="C4508" s="1"/>
      <c r="D4508" s="1"/>
      <c r="E4508" s="1"/>
      <c r="F4508" s="1"/>
      <c r="G4508" s="1"/>
      <c r="H4508" s="1"/>
    </row>
    <row r="4509" spans="1:8" ht="13.2" x14ac:dyDescent="0.25">
      <c r="A4509" s="1"/>
      <c r="B4509" s="1"/>
      <c r="C4509" s="1"/>
      <c r="D4509" s="1"/>
      <c r="E4509" s="1"/>
      <c r="F4509" s="1"/>
      <c r="G4509" s="1"/>
      <c r="H4509" s="1"/>
    </row>
    <row r="4510" spans="1:8" ht="13.2" x14ac:dyDescent="0.25">
      <c r="A4510" s="1"/>
      <c r="B4510" s="1"/>
      <c r="C4510" s="1"/>
      <c r="D4510" s="1"/>
      <c r="E4510" s="1"/>
      <c r="F4510" s="1"/>
      <c r="G4510" s="3"/>
      <c r="H4510" s="1"/>
    </row>
    <row r="4511" spans="1:8" ht="13.2" x14ac:dyDescent="0.25">
      <c r="A4511" s="1"/>
      <c r="B4511" s="1"/>
      <c r="C4511" s="1"/>
      <c r="D4511" s="1"/>
      <c r="E4511" s="1"/>
      <c r="F4511" s="1"/>
      <c r="G4511" s="3"/>
      <c r="H4511" s="1"/>
    </row>
    <row r="4512" spans="1:8" ht="13.2" x14ac:dyDescent="0.25">
      <c r="A4512" s="1"/>
      <c r="B4512" s="1"/>
      <c r="C4512" s="1"/>
      <c r="D4512" s="1"/>
      <c r="E4512" s="1"/>
      <c r="F4512" s="1"/>
      <c r="G4512" s="1"/>
      <c r="H4512" s="1"/>
    </row>
    <row r="4513" spans="1:8" ht="13.2" x14ac:dyDescent="0.25">
      <c r="A4513" s="1"/>
      <c r="B4513" s="1"/>
      <c r="C4513" s="1"/>
      <c r="D4513" s="1"/>
      <c r="E4513" s="1"/>
      <c r="F4513" s="1"/>
      <c r="G4513" s="1"/>
      <c r="H4513" s="1"/>
    </row>
    <row r="4514" spans="1:8" ht="13.2" x14ac:dyDescent="0.25">
      <c r="A4514" s="1"/>
      <c r="B4514" s="1"/>
      <c r="C4514" s="1"/>
      <c r="D4514" s="1"/>
      <c r="E4514" s="1"/>
      <c r="F4514" s="1"/>
      <c r="G4514" s="1"/>
      <c r="H4514" s="1"/>
    </row>
    <row r="4515" spans="1:8" ht="13.2" x14ac:dyDescent="0.25">
      <c r="A4515" s="1"/>
      <c r="B4515" s="1"/>
      <c r="C4515" s="1"/>
      <c r="D4515" s="1"/>
      <c r="E4515" s="1"/>
      <c r="F4515" s="1"/>
      <c r="G4515" s="3"/>
      <c r="H4515" s="1"/>
    </row>
    <row r="4516" spans="1:8" ht="13.2" x14ac:dyDescent="0.25">
      <c r="A4516" s="1"/>
      <c r="B4516" s="1"/>
      <c r="C4516" s="1"/>
      <c r="D4516" s="1"/>
      <c r="E4516" s="1"/>
      <c r="F4516" s="1"/>
      <c r="G4516" s="1"/>
      <c r="H4516" s="1"/>
    </row>
    <row r="4517" spans="1:8" ht="13.2" x14ac:dyDescent="0.25">
      <c r="A4517" s="1"/>
      <c r="B4517" s="1"/>
      <c r="C4517" s="1"/>
      <c r="D4517" s="1"/>
      <c r="E4517" s="1"/>
      <c r="F4517" s="1"/>
      <c r="G4517" s="1"/>
      <c r="H4517" s="1"/>
    </row>
    <row r="4518" spans="1:8" ht="13.2" x14ac:dyDescent="0.25">
      <c r="A4518" s="1"/>
      <c r="B4518" s="1"/>
      <c r="C4518" s="1"/>
      <c r="D4518" s="1"/>
      <c r="E4518" s="1"/>
      <c r="F4518" s="1"/>
      <c r="G4518" s="3"/>
      <c r="H4518" s="1"/>
    </row>
    <row r="4519" spans="1:8" ht="13.2" x14ac:dyDescent="0.25">
      <c r="A4519" s="1"/>
      <c r="B4519" s="1"/>
      <c r="C4519" s="1"/>
      <c r="D4519" s="1"/>
      <c r="E4519" s="1"/>
      <c r="F4519" s="1"/>
      <c r="G4519" s="1"/>
      <c r="H4519" s="1"/>
    </row>
    <row r="4520" spans="1:8" ht="13.2" x14ac:dyDescent="0.25">
      <c r="A4520" s="1"/>
      <c r="B4520" s="1"/>
      <c r="C4520" s="1"/>
      <c r="D4520" s="1"/>
      <c r="E4520" s="1"/>
      <c r="F4520" s="1"/>
      <c r="G4520" s="1"/>
      <c r="H4520" s="1"/>
    </row>
    <row r="4521" spans="1:8" ht="13.2" x14ac:dyDescent="0.25">
      <c r="A4521" s="1"/>
      <c r="B4521" s="1"/>
      <c r="C4521" s="1"/>
      <c r="D4521" s="1"/>
      <c r="E4521" s="1"/>
      <c r="F4521" s="1"/>
      <c r="G4521" s="1"/>
      <c r="H4521" s="1"/>
    </row>
    <row r="4522" spans="1:8" ht="13.2" x14ac:dyDescent="0.25">
      <c r="A4522" s="1"/>
      <c r="B4522" s="1"/>
      <c r="C4522" s="1"/>
      <c r="D4522" s="1"/>
      <c r="E4522" s="1"/>
      <c r="F4522" s="1"/>
      <c r="G4522" s="1"/>
      <c r="H4522" s="1"/>
    </row>
    <row r="4523" spans="1:8" ht="13.2" x14ac:dyDescent="0.25">
      <c r="A4523" s="1"/>
      <c r="B4523" s="1"/>
      <c r="C4523" s="1"/>
      <c r="D4523" s="1"/>
      <c r="E4523" s="1"/>
      <c r="F4523" s="1"/>
      <c r="G4523" s="1"/>
      <c r="H4523" s="1"/>
    </row>
    <row r="4524" spans="1:8" ht="13.2" x14ac:dyDescent="0.25">
      <c r="A4524" s="1"/>
      <c r="B4524" s="1"/>
      <c r="C4524" s="1"/>
      <c r="D4524" s="1"/>
      <c r="E4524" s="1"/>
      <c r="F4524" s="1"/>
      <c r="G4524" s="1"/>
      <c r="H4524" s="1"/>
    </row>
    <row r="4525" spans="1:8" ht="13.2" x14ac:dyDescent="0.25">
      <c r="A4525" s="1"/>
      <c r="B4525" s="1"/>
      <c r="C4525" s="1"/>
      <c r="D4525" s="1"/>
      <c r="E4525" s="1"/>
      <c r="F4525" s="1"/>
      <c r="G4525" s="1"/>
      <c r="H4525" s="1"/>
    </row>
    <row r="4526" spans="1:8" ht="13.2" x14ac:dyDescent="0.25">
      <c r="A4526" s="1"/>
      <c r="B4526" s="1"/>
      <c r="C4526" s="1"/>
      <c r="D4526" s="1"/>
      <c r="E4526" s="1"/>
      <c r="F4526" s="1"/>
      <c r="G4526" s="1"/>
      <c r="H4526" s="1"/>
    </row>
    <row r="4527" spans="1:8" ht="13.2" x14ac:dyDescent="0.25">
      <c r="A4527" s="1"/>
      <c r="B4527" s="1"/>
      <c r="C4527" s="1"/>
      <c r="D4527" s="1"/>
      <c r="E4527" s="1"/>
      <c r="F4527" s="1"/>
      <c r="G4527" s="1"/>
      <c r="H4527" s="1"/>
    </row>
    <row r="4528" spans="1:8" ht="13.2" x14ac:dyDescent="0.25">
      <c r="A4528" s="1"/>
      <c r="B4528" s="1"/>
      <c r="C4528" s="1"/>
      <c r="D4528" s="1"/>
      <c r="E4528" s="1"/>
      <c r="F4528" s="1"/>
      <c r="G4528" s="1"/>
      <c r="H4528" s="1"/>
    </row>
    <row r="4529" spans="1:8" ht="13.2" x14ac:dyDescent="0.25">
      <c r="A4529" s="1"/>
      <c r="B4529" s="1"/>
      <c r="C4529" s="1"/>
      <c r="D4529" s="1"/>
      <c r="E4529" s="1"/>
      <c r="F4529" s="1"/>
      <c r="G4529" s="1"/>
      <c r="H4529" s="1"/>
    </row>
    <row r="4530" spans="1:8" ht="13.2" x14ac:dyDescent="0.25">
      <c r="A4530" s="1"/>
      <c r="B4530" s="1"/>
      <c r="C4530" s="1"/>
      <c r="D4530" s="1"/>
      <c r="E4530" s="1"/>
      <c r="F4530" s="1"/>
      <c r="G4530" s="1"/>
      <c r="H4530" s="1"/>
    </row>
    <row r="4531" spans="1:8" ht="13.2" x14ac:dyDescent="0.25">
      <c r="A4531" s="1"/>
      <c r="B4531" s="1"/>
      <c r="C4531" s="1"/>
      <c r="D4531" s="1"/>
      <c r="E4531" s="1"/>
      <c r="F4531" s="1"/>
      <c r="G4531" s="1"/>
      <c r="H4531" s="1"/>
    </row>
    <row r="4532" spans="1:8" ht="13.2" x14ac:dyDescent="0.25">
      <c r="A4532" s="1"/>
      <c r="B4532" s="1"/>
      <c r="C4532" s="1"/>
      <c r="D4532" s="1"/>
      <c r="E4532" s="1"/>
      <c r="F4532" s="1"/>
      <c r="G4532" s="1"/>
      <c r="H4532" s="1"/>
    </row>
    <row r="4533" spans="1:8" ht="13.2" x14ac:dyDescent="0.25">
      <c r="A4533" s="1"/>
      <c r="B4533" s="1"/>
      <c r="C4533" s="1"/>
      <c r="D4533" s="1"/>
      <c r="E4533" s="1"/>
      <c r="F4533" s="1"/>
      <c r="G4533" s="1"/>
      <c r="H4533" s="1"/>
    </row>
    <row r="4534" spans="1:8" ht="13.2" x14ac:dyDescent="0.25">
      <c r="A4534" s="1"/>
      <c r="B4534" s="1"/>
      <c r="C4534" s="1"/>
      <c r="D4534" s="1"/>
      <c r="E4534" s="1"/>
      <c r="F4534" s="1"/>
      <c r="G4534" s="1"/>
      <c r="H4534" s="1"/>
    </row>
    <row r="4535" spans="1:8" ht="13.2" x14ac:dyDescent="0.25">
      <c r="A4535" s="1"/>
      <c r="B4535" s="1"/>
      <c r="C4535" s="1"/>
      <c r="D4535" s="1"/>
      <c r="E4535" s="1"/>
      <c r="F4535" s="1"/>
      <c r="G4535" s="1"/>
      <c r="H4535" s="1"/>
    </row>
    <row r="4536" spans="1:8" ht="13.2" x14ac:dyDescent="0.25">
      <c r="A4536" s="1"/>
      <c r="B4536" s="1"/>
      <c r="C4536" s="1"/>
      <c r="D4536" s="1"/>
      <c r="E4536" s="1"/>
      <c r="F4536" s="1"/>
      <c r="G4536" s="1"/>
      <c r="H4536" s="1"/>
    </row>
    <row r="4537" spans="1:8" ht="13.2" x14ac:dyDescent="0.25">
      <c r="A4537" s="1"/>
      <c r="B4537" s="1"/>
      <c r="C4537" s="1"/>
      <c r="D4537" s="1"/>
      <c r="E4537" s="1"/>
      <c r="F4537" s="1"/>
      <c r="G4537" s="1"/>
      <c r="H4537" s="1"/>
    </row>
    <row r="4538" spans="1:8" ht="13.2" x14ac:dyDescent="0.25">
      <c r="A4538" s="1"/>
      <c r="B4538" s="1"/>
      <c r="C4538" s="1"/>
      <c r="D4538" s="1"/>
      <c r="E4538" s="1"/>
      <c r="F4538" s="1"/>
      <c r="G4538" s="1"/>
      <c r="H4538" s="1"/>
    </row>
    <row r="4539" spans="1:8" ht="13.2" x14ac:dyDescent="0.25">
      <c r="A4539" s="1"/>
      <c r="B4539" s="1"/>
      <c r="C4539" s="1"/>
      <c r="D4539" s="1"/>
      <c r="E4539" s="1"/>
      <c r="F4539" s="1"/>
      <c r="G4539" s="1"/>
      <c r="H4539" s="1"/>
    </row>
    <row r="4540" spans="1:8" ht="13.2" x14ac:dyDescent="0.25">
      <c r="A4540" s="1"/>
      <c r="B4540" s="1"/>
      <c r="C4540" s="1"/>
      <c r="D4540" s="1"/>
      <c r="E4540" s="1"/>
      <c r="F4540" s="1"/>
      <c r="G4540" s="1"/>
      <c r="H4540" s="1"/>
    </row>
    <row r="4541" spans="1:8" ht="13.2" x14ac:dyDescent="0.25">
      <c r="A4541" s="1"/>
      <c r="B4541" s="1"/>
      <c r="C4541" s="1"/>
      <c r="D4541" s="1"/>
      <c r="E4541" s="1"/>
      <c r="F4541" s="1"/>
      <c r="G4541" s="1"/>
      <c r="H4541" s="1"/>
    </row>
    <row r="4542" spans="1:8" ht="13.2" x14ac:dyDescent="0.25">
      <c r="A4542" s="1"/>
      <c r="B4542" s="1"/>
      <c r="C4542" s="1"/>
      <c r="D4542" s="1"/>
      <c r="E4542" s="1"/>
      <c r="F4542" s="1"/>
      <c r="G4542" s="1"/>
      <c r="H4542" s="1"/>
    </row>
    <row r="4543" spans="1:8" ht="13.2" x14ac:dyDescent="0.25">
      <c r="A4543" s="1"/>
      <c r="B4543" s="1"/>
      <c r="C4543" s="1"/>
      <c r="D4543" s="1"/>
      <c r="E4543" s="1"/>
      <c r="F4543" s="1"/>
      <c r="G4543" s="1"/>
      <c r="H4543" s="1"/>
    </row>
    <row r="4544" spans="1:8" ht="13.2" x14ac:dyDescent="0.25">
      <c r="A4544" s="1"/>
      <c r="B4544" s="1"/>
      <c r="C4544" s="1"/>
      <c r="D4544" s="1"/>
      <c r="E4544" s="1"/>
      <c r="F4544" s="1"/>
      <c r="G4544" s="1"/>
      <c r="H4544" s="1"/>
    </row>
    <row r="4545" spans="1:8" ht="13.2" x14ac:dyDescent="0.25">
      <c r="A4545" s="1"/>
      <c r="B4545" s="1"/>
      <c r="C4545" s="1"/>
      <c r="D4545" s="1"/>
      <c r="E4545" s="1"/>
      <c r="F4545" s="1"/>
      <c r="G4545" s="1"/>
      <c r="H4545" s="1"/>
    </row>
    <row r="4546" spans="1:8" ht="13.2" x14ac:dyDescent="0.25">
      <c r="A4546" s="1"/>
      <c r="B4546" s="1"/>
      <c r="C4546" s="1"/>
      <c r="D4546" s="1"/>
      <c r="E4546" s="1"/>
      <c r="F4546" s="1"/>
      <c r="G4546" s="1"/>
      <c r="H4546" s="1"/>
    </row>
    <row r="4547" spans="1:8" ht="13.2" x14ac:dyDescent="0.25">
      <c r="A4547" s="1"/>
      <c r="B4547" s="1"/>
      <c r="C4547" s="1"/>
      <c r="D4547" s="1"/>
      <c r="E4547" s="1"/>
      <c r="F4547" s="1"/>
      <c r="G4547" s="1"/>
      <c r="H4547" s="1"/>
    </row>
    <row r="4548" spans="1:8" ht="13.2" x14ac:dyDescent="0.25">
      <c r="A4548" s="1"/>
      <c r="B4548" s="1"/>
      <c r="C4548" s="1"/>
      <c r="D4548" s="1"/>
      <c r="E4548" s="1"/>
      <c r="F4548" s="1"/>
      <c r="G4548" s="1"/>
      <c r="H4548" s="1"/>
    </row>
    <row r="4549" spans="1:8" ht="13.2" x14ac:dyDescent="0.25">
      <c r="A4549" s="1"/>
      <c r="B4549" s="1"/>
      <c r="C4549" s="1"/>
      <c r="D4549" s="1"/>
      <c r="E4549" s="1"/>
      <c r="F4549" s="1"/>
      <c r="G4549" s="1"/>
      <c r="H4549" s="1"/>
    </row>
    <row r="4550" spans="1:8" ht="13.2" x14ac:dyDescent="0.25">
      <c r="A4550" s="1"/>
      <c r="B4550" s="1"/>
      <c r="C4550" s="1"/>
      <c r="D4550" s="1"/>
      <c r="E4550" s="1"/>
      <c r="F4550" s="1"/>
      <c r="G4550" s="1"/>
      <c r="H4550" s="1"/>
    </row>
    <row r="4551" spans="1:8" ht="13.2" x14ac:dyDescent="0.25">
      <c r="A4551" s="1"/>
      <c r="B4551" s="1"/>
      <c r="C4551" s="1"/>
      <c r="D4551" s="1"/>
      <c r="E4551" s="1"/>
      <c r="F4551" s="1"/>
      <c r="G4551" s="1"/>
      <c r="H4551" s="1"/>
    </row>
    <row r="4552" spans="1:8" ht="13.2" x14ac:dyDescent="0.25">
      <c r="A4552" s="1"/>
      <c r="B4552" s="1"/>
      <c r="C4552" s="1"/>
      <c r="D4552" s="1"/>
      <c r="E4552" s="1"/>
      <c r="F4552" s="1"/>
      <c r="G4552" s="1"/>
      <c r="H4552" s="1"/>
    </row>
    <row r="4553" spans="1:8" ht="13.2" x14ac:dyDescent="0.25">
      <c r="A4553" s="1"/>
      <c r="B4553" s="1"/>
      <c r="C4553" s="1"/>
      <c r="D4553" s="1"/>
      <c r="E4553" s="1"/>
      <c r="F4553" s="1"/>
      <c r="G4553" s="1"/>
      <c r="H4553" s="1"/>
    </row>
    <row r="4554" spans="1:8" ht="13.2" x14ac:dyDescent="0.25">
      <c r="A4554" s="1"/>
      <c r="B4554" s="1"/>
      <c r="C4554" s="1"/>
      <c r="D4554" s="1"/>
      <c r="E4554" s="1"/>
      <c r="F4554" s="1"/>
      <c r="G4554" s="1"/>
      <c r="H4554" s="1"/>
    </row>
    <row r="4555" spans="1:8" ht="13.2" x14ac:dyDescent="0.25">
      <c r="A4555" s="1"/>
      <c r="B4555" s="1"/>
      <c r="C4555" s="1"/>
      <c r="D4555" s="1"/>
      <c r="E4555" s="1"/>
      <c r="F4555" s="1"/>
      <c r="G4555" s="1"/>
      <c r="H4555" s="1"/>
    </row>
    <row r="4556" spans="1:8" ht="13.2" x14ac:dyDescent="0.25">
      <c r="A4556" s="1"/>
      <c r="B4556" s="1"/>
      <c r="C4556" s="1"/>
      <c r="D4556" s="1"/>
      <c r="E4556" s="1"/>
      <c r="F4556" s="1"/>
      <c r="G4556" s="1"/>
      <c r="H4556" s="1"/>
    </row>
    <row r="4557" spans="1:8" ht="13.2" x14ac:dyDescent="0.25">
      <c r="A4557" s="1"/>
      <c r="B4557" s="1"/>
      <c r="C4557" s="1"/>
      <c r="D4557" s="1"/>
      <c r="E4557" s="1"/>
      <c r="F4557" s="1"/>
      <c r="G4557" s="1"/>
      <c r="H4557" s="1"/>
    </row>
    <row r="4558" spans="1:8" ht="13.2" x14ac:dyDescent="0.25">
      <c r="A4558" s="1"/>
      <c r="B4558" s="1"/>
      <c r="C4558" s="1"/>
      <c r="D4558" s="1"/>
      <c r="E4558" s="1"/>
      <c r="F4558" s="1"/>
      <c r="G4558" s="1"/>
      <c r="H4558" s="1"/>
    </row>
    <row r="4559" spans="1:8" ht="13.2" x14ac:dyDescent="0.25">
      <c r="A4559" s="1"/>
      <c r="B4559" s="1"/>
      <c r="C4559" s="1"/>
      <c r="D4559" s="1"/>
      <c r="E4559" s="1"/>
      <c r="F4559" s="1"/>
      <c r="G4559" s="1"/>
      <c r="H4559" s="1"/>
    </row>
    <row r="4560" spans="1:8" ht="13.2" x14ac:dyDescent="0.25">
      <c r="A4560" s="1"/>
      <c r="B4560" s="1"/>
      <c r="C4560" s="1"/>
      <c r="D4560" s="1"/>
      <c r="E4560" s="1"/>
      <c r="F4560" s="1"/>
      <c r="G4560" s="1"/>
      <c r="H4560" s="1"/>
    </row>
    <row r="4561" spans="1:8" ht="13.2" x14ac:dyDescent="0.25">
      <c r="A4561" s="1"/>
      <c r="B4561" s="1"/>
      <c r="C4561" s="1"/>
      <c r="D4561" s="1"/>
      <c r="E4561" s="1"/>
      <c r="F4561" s="1"/>
      <c r="G4561" s="1"/>
      <c r="H4561" s="1"/>
    </row>
    <row r="4562" spans="1:8" ht="13.2" x14ac:dyDescent="0.25">
      <c r="A4562" s="1"/>
      <c r="B4562" s="1"/>
      <c r="C4562" s="1"/>
      <c r="D4562" s="1"/>
      <c r="E4562" s="1"/>
      <c r="F4562" s="1"/>
      <c r="G4562" s="1"/>
      <c r="H4562" s="1"/>
    </row>
    <row r="4563" spans="1:8" ht="13.2" x14ac:dyDescent="0.25">
      <c r="A4563" s="1"/>
      <c r="B4563" s="1"/>
      <c r="C4563" s="1"/>
      <c r="D4563" s="1"/>
      <c r="E4563" s="1"/>
      <c r="F4563" s="1"/>
      <c r="G4563" s="1"/>
      <c r="H4563" s="1"/>
    </row>
    <row r="4564" spans="1:8" ht="13.2" x14ac:dyDescent="0.25">
      <c r="A4564" s="1"/>
      <c r="B4564" s="1"/>
      <c r="C4564" s="1"/>
      <c r="D4564" s="1"/>
      <c r="E4564" s="1"/>
      <c r="F4564" s="1"/>
      <c r="G4564" s="1"/>
      <c r="H4564" s="1"/>
    </row>
    <row r="4565" spans="1:8" ht="13.2" x14ac:dyDescent="0.25">
      <c r="A4565" s="1"/>
      <c r="B4565" s="1"/>
      <c r="C4565" s="1"/>
      <c r="D4565" s="1"/>
      <c r="E4565" s="1"/>
      <c r="F4565" s="1"/>
      <c r="G4565" s="1"/>
      <c r="H4565" s="1"/>
    </row>
    <row r="4566" spans="1:8" ht="13.2" x14ac:dyDescent="0.25">
      <c r="A4566" s="1"/>
      <c r="B4566" s="1"/>
      <c r="C4566" s="1"/>
      <c r="D4566" s="1"/>
      <c r="E4566" s="1"/>
      <c r="F4566" s="1"/>
      <c r="G4566" s="1"/>
      <c r="H4566" s="1"/>
    </row>
    <row r="4567" spans="1:8" ht="13.2" x14ac:dyDescent="0.25">
      <c r="A4567" s="1"/>
      <c r="B4567" s="1"/>
      <c r="C4567" s="1"/>
      <c r="D4567" s="1"/>
      <c r="E4567" s="1"/>
      <c r="F4567" s="1"/>
      <c r="G4567" s="1"/>
      <c r="H4567" s="1"/>
    </row>
    <row r="4568" spans="1:8" ht="13.2" x14ac:dyDescent="0.25">
      <c r="A4568" s="1"/>
      <c r="B4568" s="1"/>
      <c r="C4568" s="1"/>
      <c r="D4568" s="1"/>
      <c r="E4568" s="1"/>
      <c r="F4568" s="1"/>
      <c r="G4568" s="1"/>
      <c r="H4568" s="1"/>
    </row>
    <row r="4569" spans="1:8" ht="13.2" x14ac:dyDescent="0.25">
      <c r="A4569" s="1"/>
      <c r="B4569" s="1"/>
      <c r="C4569" s="1"/>
      <c r="D4569" s="1"/>
      <c r="E4569" s="1"/>
      <c r="F4569" s="1"/>
      <c r="G4569" s="1"/>
      <c r="H4569" s="1"/>
    </row>
    <row r="4570" spans="1:8" ht="13.2" x14ac:dyDescent="0.25">
      <c r="A4570" s="1"/>
      <c r="B4570" s="1"/>
      <c r="C4570" s="1"/>
      <c r="D4570" s="1"/>
      <c r="E4570" s="1"/>
      <c r="F4570" s="1"/>
      <c r="G4570" s="1"/>
      <c r="H4570" s="1"/>
    </row>
    <row r="4571" spans="1:8" ht="13.2" x14ac:dyDescent="0.25">
      <c r="A4571" s="1"/>
      <c r="B4571" s="1"/>
      <c r="C4571" s="1"/>
      <c r="D4571" s="1"/>
      <c r="E4571" s="1"/>
      <c r="F4571" s="1"/>
      <c r="G4571" s="3"/>
      <c r="H4571" s="1"/>
    </row>
    <row r="4572" spans="1:8" ht="13.2" x14ac:dyDescent="0.25">
      <c r="A4572" s="1"/>
      <c r="B4572" s="1"/>
      <c r="C4572" s="1"/>
      <c r="D4572" s="1"/>
      <c r="E4572" s="1"/>
      <c r="F4572" s="1"/>
      <c r="G4572" s="1"/>
      <c r="H4572" s="1"/>
    </row>
    <row r="4573" spans="1:8" ht="13.2" x14ac:dyDescent="0.25">
      <c r="A4573" s="1"/>
      <c r="B4573" s="1"/>
      <c r="C4573" s="1"/>
      <c r="D4573" s="1"/>
      <c r="E4573" s="1"/>
      <c r="F4573" s="1"/>
      <c r="G4573" s="1"/>
      <c r="H4573" s="1"/>
    </row>
    <row r="4574" spans="1:8" ht="13.2" x14ac:dyDescent="0.25">
      <c r="A4574" s="1"/>
      <c r="B4574" s="1"/>
      <c r="C4574" s="1"/>
      <c r="D4574" s="1"/>
      <c r="E4574" s="1"/>
      <c r="F4574" s="1"/>
      <c r="G4574" s="1"/>
      <c r="H4574" s="1"/>
    </row>
    <row r="4575" spans="1:8" ht="13.2" x14ac:dyDescent="0.25">
      <c r="A4575" s="1"/>
      <c r="B4575" s="1"/>
      <c r="C4575" s="1"/>
      <c r="D4575" s="1"/>
      <c r="E4575" s="1"/>
      <c r="F4575" s="1"/>
      <c r="G4575" s="1"/>
      <c r="H4575" s="1"/>
    </row>
    <row r="4576" spans="1:8" ht="13.2" x14ac:dyDescent="0.25">
      <c r="A4576" s="1"/>
      <c r="B4576" s="1"/>
      <c r="C4576" s="1"/>
      <c r="D4576" s="1"/>
      <c r="E4576" s="1"/>
      <c r="F4576" s="1"/>
      <c r="G4576" s="1"/>
      <c r="H4576" s="1"/>
    </row>
    <row r="4577" spans="1:8" ht="13.2" x14ac:dyDescent="0.25">
      <c r="A4577" s="1"/>
      <c r="B4577" s="1"/>
      <c r="C4577" s="1"/>
      <c r="D4577" s="1"/>
      <c r="E4577" s="1"/>
      <c r="F4577" s="1"/>
      <c r="G4577" s="3"/>
      <c r="H4577" s="1"/>
    </row>
    <row r="4578" spans="1:8" ht="13.2" x14ac:dyDescent="0.25">
      <c r="A4578" s="1"/>
      <c r="B4578" s="1"/>
      <c r="C4578" s="1"/>
      <c r="D4578" s="1"/>
      <c r="E4578" s="1"/>
      <c r="F4578" s="1"/>
      <c r="G4578" s="1"/>
      <c r="H4578" s="1"/>
    </row>
    <row r="4579" spans="1:8" ht="13.2" x14ac:dyDescent="0.25">
      <c r="A4579" s="1"/>
      <c r="B4579" s="1"/>
      <c r="C4579" s="1"/>
      <c r="D4579" s="1"/>
      <c r="E4579" s="1"/>
      <c r="F4579" s="1"/>
      <c r="G4579" s="1"/>
      <c r="H4579" s="1"/>
    </row>
    <row r="4580" spans="1:8" ht="13.2" x14ac:dyDescent="0.25">
      <c r="A4580" s="1"/>
      <c r="B4580" s="1"/>
      <c r="C4580" s="1"/>
      <c r="D4580" s="1"/>
      <c r="E4580" s="1"/>
      <c r="F4580" s="1"/>
      <c r="G4580" s="1"/>
      <c r="H4580" s="1"/>
    </row>
    <row r="4581" spans="1:8" ht="13.2" x14ac:dyDescent="0.25">
      <c r="A4581" s="1"/>
      <c r="B4581" s="1"/>
      <c r="C4581" s="1"/>
      <c r="D4581" s="1"/>
      <c r="E4581" s="1"/>
      <c r="F4581" s="1"/>
      <c r="G4581" s="1"/>
      <c r="H4581" s="1"/>
    </row>
    <row r="4582" spans="1:8" ht="13.2" x14ac:dyDescent="0.25">
      <c r="A4582" s="1"/>
      <c r="B4582" s="1"/>
      <c r="C4582" s="1"/>
      <c r="D4582" s="1"/>
      <c r="E4582" s="1"/>
      <c r="F4582" s="1"/>
      <c r="G4582" s="1"/>
      <c r="H4582" s="1"/>
    </row>
    <row r="4583" spans="1:8" ht="13.2" x14ac:dyDescent="0.25">
      <c r="A4583" s="1"/>
      <c r="B4583" s="1"/>
      <c r="C4583" s="1"/>
      <c r="D4583" s="1"/>
      <c r="E4583" s="1"/>
      <c r="F4583" s="1"/>
      <c r="G4583" s="1"/>
      <c r="H4583" s="1"/>
    </row>
    <row r="4584" spans="1:8" ht="13.2" x14ac:dyDescent="0.25">
      <c r="A4584" s="1"/>
      <c r="B4584" s="1"/>
      <c r="C4584" s="1"/>
      <c r="D4584" s="1"/>
      <c r="E4584" s="1"/>
      <c r="F4584" s="1"/>
      <c r="G4584" s="1"/>
      <c r="H4584" s="1"/>
    </row>
    <row r="4585" spans="1:8" ht="13.2" x14ac:dyDescent="0.25">
      <c r="A4585" s="1"/>
      <c r="B4585" s="1"/>
      <c r="C4585" s="1"/>
      <c r="D4585" s="1"/>
      <c r="E4585" s="1"/>
      <c r="F4585" s="1"/>
      <c r="G4585" s="1"/>
      <c r="H4585" s="1"/>
    </row>
    <row r="4586" spans="1:8" ht="13.2" x14ac:dyDescent="0.25">
      <c r="A4586" s="1"/>
      <c r="B4586" s="1"/>
      <c r="C4586" s="1"/>
      <c r="D4586" s="1"/>
      <c r="E4586" s="1"/>
      <c r="F4586" s="1"/>
      <c r="G4586" s="1"/>
      <c r="H4586" s="1"/>
    </row>
    <row r="4587" spans="1:8" ht="13.2" x14ac:dyDescent="0.25">
      <c r="A4587" s="1"/>
      <c r="B4587" s="1"/>
      <c r="C4587" s="1"/>
      <c r="D4587" s="1"/>
      <c r="E4587" s="1"/>
      <c r="F4587" s="1"/>
      <c r="G4587" s="1"/>
      <c r="H4587" s="1"/>
    </row>
    <row r="4588" spans="1:8" ht="13.2" x14ac:dyDescent="0.25">
      <c r="A4588" s="1"/>
      <c r="B4588" s="1"/>
      <c r="C4588" s="1"/>
      <c r="D4588" s="1"/>
      <c r="E4588" s="1"/>
      <c r="F4588" s="1"/>
      <c r="G4588" s="1"/>
      <c r="H4588" s="1"/>
    </row>
    <row r="4589" spans="1:8" ht="13.2" x14ac:dyDescent="0.25">
      <c r="A4589" s="1"/>
      <c r="B4589" s="1"/>
      <c r="C4589" s="1"/>
      <c r="D4589" s="1"/>
      <c r="E4589" s="1"/>
      <c r="F4589" s="1"/>
      <c r="G4589" s="1"/>
      <c r="H4589" s="1"/>
    </row>
    <row r="4590" spans="1:8" ht="13.2" x14ac:dyDescent="0.25">
      <c r="A4590" s="1"/>
      <c r="B4590" s="1"/>
      <c r="C4590" s="1"/>
      <c r="D4590" s="1"/>
      <c r="E4590" s="1"/>
      <c r="F4590" s="1"/>
      <c r="G4590" s="1"/>
      <c r="H4590" s="1"/>
    </row>
    <row r="4591" spans="1:8" ht="13.2" x14ac:dyDescent="0.25">
      <c r="A4591" s="1"/>
      <c r="B4591" s="1"/>
      <c r="C4591" s="1"/>
      <c r="D4591" s="1"/>
      <c r="E4591" s="1"/>
      <c r="F4591" s="1"/>
      <c r="G4591" s="1"/>
      <c r="H4591" s="1"/>
    </row>
    <row r="4592" spans="1:8" ht="13.2" x14ac:dyDescent="0.25">
      <c r="A4592" s="1"/>
      <c r="B4592" s="1"/>
      <c r="C4592" s="1"/>
      <c r="D4592" s="1"/>
      <c r="E4592" s="1"/>
      <c r="F4592" s="1"/>
      <c r="G4592" s="3"/>
      <c r="H4592" s="1"/>
    </row>
    <row r="4593" spans="1:8" ht="13.2" x14ac:dyDescent="0.25">
      <c r="A4593" s="1"/>
      <c r="B4593" s="1"/>
      <c r="C4593" s="1"/>
      <c r="D4593" s="1"/>
      <c r="E4593" s="1"/>
      <c r="F4593" s="1"/>
      <c r="G4593" s="1"/>
      <c r="H4593" s="1"/>
    </row>
    <row r="4594" spans="1:8" ht="13.2" x14ac:dyDescent="0.25">
      <c r="A4594" s="1"/>
      <c r="B4594" s="1"/>
      <c r="C4594" s="1"/>
      <c r="D4594" s="1"/>
      <c r="E4594" s="1"/>
      <c r="F4594" s="1"/>
      <c r="G4594" s="1"/>
      <c r="H4594" s="1"/>
    </row>
    <row r="4595" spans="1:8" ht="13.2" x14ac:dyDescent="0.25">
      <c r="A4595" s="1"/>
      <c r="B4595" s="1"/>
      <c r="C4595" s="1"/>
      <c r="D4595" s="1"/>
      <c r="E4595" s="1"/>
      <c r="F4595" s="1"/>
      <c r="G4595" s="1"/>
      <c r="H4595" s="1"/>
    </row>
    <row r="4596" spans="1:8" ht="13.2" x14ac:dyDescent="0.25">
      <c r="A4596" s="1"/>
      <c r="B4596" s="1"/>
      <c r="C4596" s="1"/>
      <c r="D4596" s="1"/>
      <c r="E4596" s="1"/>
      <c r="F4596" s="1"/>
      <c r="G4596" s="1"/>
      <c r="H4596" s="1"/>
    </row>
    <row r="4597" spans="1:8" ht="13.2" x14ac:dyDescent="0.25">
      <c r="A4597" s="1"/>
      <c r="B4597" s="1"/>
      <c r="C4597" s="1"/>
      <c r="D4597" s="1"/>
      <c r="E4597" s="1"/>
      <c r="F4597" s="1"/>
      <c r="G4597" s="1"/>
      <c r="H4597" s="1"/>
    </row>
    <row r="4598" spans="1:8" ht="13.2" x14ac:dyDescent="0.25">
      <c r="A4598" s="1"/>
      <c r="B4598" s="1"/>
      <c r="C4598" s="1"/>
      <c r="D4598" s="1"/>
      <c r="E4598" s="1"/>
      <c r="F4598" s="1"/>
      <c r="G4598" s="1"/>
      <c r="H4598" s="1"/>
    </row>
    <row r="4599" spans="1:8" ht="13.2" x14ac:dyDescent="0.25">
      <c r="A4599" s="1"/>
      <c r="B4599" s="1"/>
      <c r="C4599" s="1"/>
      <c r="D4599" s="1"/>
      <c r="E4599" s="1"/>
      <c r="F4599" s="1"/>
      <c r="G4599" s="1"/>
      <c r="H4599" s="1"/>
    </row>
    <row r="4600" spans="1:8" ht="13.2" x14ac:dyDescent="0.25">
      <c r="A4600" s="1"/>
      <c r="B4600" s="1"/>
      <c r="C4600" s="1"/>
      <c r="D4600" s="1"/>
      <c r="E4600" s="1"/>
      <c r="F4600" s="1"/>
      <c r="G4600" s="1"/>
      <c r="H4600" s="1"/>
    </row>
    <row r="4601" spans="1:8" ht="13.2" x14ac:dyDescent="0.25">
      <c r="A4601" s="1"/>
      <c r="B4601" s="1"/>
      <c r="C4601" s="1"/>
      <c r="D4601" s="1"/>
      <c r="E4601" s="1"/>
      <c r="F4601" s="1"/>
      <c r="G4601" s="1"/>
      <c r="H4601" s="1"/>
    </row>
    <row r="4602" spans="1:8" ht="13.2" x14ac:dyDescent="0.25">
      <c r="A4602" s="1"/>
      <c r="B4602" s="1"/>
      <c r="C4602" s="1"/>
      <c r="D4602" s="1"/>
      <c r="E4602" s="1"/>
      <c r="F4602" s="1"/>
      <c r="G4602" s="1"/>
      <c r="H4602" s="1"/>
    </row>
    <row r="4603" spans="1:8" ht="13.2" x14ac:dyDescent="0.25">
      <c r="A4603" s="1"/>
      <c r="B4603" s="1"/>
      <c r="C4603" s="1"/>
      <c r="D4603" s="1"/>
      <c r="E4603" s="1"/>
      <c r="F4603" s="1"/>
      <c r="G4603" s="1"/>
      <c r="H4603" s="1"/>
    </row>
    <row r="4604" spans="1:8" ht="13.2" x14ac:dyDescent="0.25">
      <c r="A4604" s="1"/>
      <c r="B4604" s="1"/>
      <c r="C4604" s="1"/>
      <c r="D4604" s="1"/>
      <c r="E4604" s="1"/>
      <c r="F4604" s="1"/>
      <c r="G4604" s="1"/>
      <c r="H4604" s="1"/>
    </row>
    <row r="4605" spans="1:8" ht="13.2" x14ac:dyDescent="0.25">
      <c r="A4605" s="1"/>
      <c r="B4605" s="1"/>
      <c r="C4605" s="1"/>
      <c r="D4605" s="1"/>
      <c r="E4605" s="1"/>
      <c r="F4605" s="1"/>
      <c r="G4605" s="1"/>
      <c r="H4605" s="1"/>
    </row>
    <row r="4606" spans="1:8" ht="13.2" x14ac:dyDescent="0.25">
      <c r="A4606" s="1"/>
      <c r="B4606" s="1"/>
      <c r="C4606" s="1"/>
      <c r="D4606" s="1"/>
      <c r="E4606" s="1"/>
      <c r="F4606" s="1"/>
      <c r="G4606" s="1"/>
      <c r="H4606" s="1"/>
    </row>
    <row r="4607" spans="1:8" ht="13.2" x14ac:dyDescent="0.25">
      <c r="A4607" s="1"/>
      <c r="B4607" s="1"/>
      <c r="C4607" s="1"/>
      <c r="D4607" s="1"/>
      <c r="E4607" s="1"/>
      <c r="F4607" s="1"/>
      <c r="G4607" s="1"/>
      <c r="H4607" s="1"/>
    </row>
    <row r="4608" spans="1:8" ht="13.2" x14ac:dyDescent="0.25">
      <c r="A4608" s="1"/>
      <c r="B4608" s="1"/>
      <c r="C4608" s="1"/>
      <c r="D4608" s="1"/>
      <c r="E4608" s="1"/>
      <c r="F4608" s="1"/>
      <c r="G4608" s="1"/>
      <c r="H4608" s="1"/>
    </row>
    <row r="4609" spans="1:8" ht="13.2" x14ac:dyDescent="0.25">
      <c r="A4609" s="1"/>
      <c r="B4609" s="1"/>
      <c r="C4609" s="1"/>
      <c r="D4609" s="1"/>
      <c r="E4609" s="1"/>
      <c r="F4609" s="1"/>
      <c r="G4609" s="1"/>
      <c r="H4609" s="1"/>
    </row>
    <row r="4610" spans="1:8" ht="13.2" x14ac:dyDescent="0.25">
      <c r="A4610" s="1"/>
      <c r="B4610" s="1"/>
      <c r="C4610" s="1"/>
      <c r="D4610" s="1"/>
      <c r="E4610" s="1"/>
      <c r="F4610" s="1"/>
      <c r="G4610" s="1"/>
      <c r="H4610" s="1"/>
    </row>
    <row r="4611" spans="1:8" ht="13.2" x14ac:dyDescent="0.25">
      <c r="A4611" s="1"/>
      <c r="B4611" s="1"/>
      <c r="C4611" s="1"/>
      <c r="D4611" s="1"/>
      <c r="E4611" s="1"/>
      <c r="F4611" s="1"/>
      <c r="G4611" s="1"/>
      <c r="H4611" s="1"/>
    </row>
    <row r="4612" spans="1:8" ht="13.2" x14ac:dyDescent="0.25">
      <c r="A4612" s="1"/>
      <c r="B4612" s="1"/>
      <c r="C4612" s="1"/>
      <c r="D4612" s="1"/>
      <c r="E4612" s="1"/>
      <c r="F4612" s="1"/>
      <c r="G4612" s="1"/>
      <c r="H4612" s="1"/>
    </row>
    <row r="4613" spans="1:8" ht="13.2" x14ac:dyDescent="0.25">
      <c r="A4613" s="1"/>
      <c r="B4613" s="1"/>
      <c r="C4613" s="1"/>
      <c r="D4613" s="1"/>
      <c r="E4613" s="1"/>
      <c r="F4613" s="1"/>
      <c r="G4613" s="1"/>
      <c r="H4613" s="1"/>
    </row>
    <row r="4614" spans="1:8" ht="13.2" x14ac:dyDescent="0.25">
      <c r="A4614" s="1"/>
      <c r="B4614" s="1"/>
      <c r="C4614" s="1"/>
      <c r="D4614" s="1"/>
      <c r="E4614" s="1"/>
      <c r="F4614" s="1"/>
      <c r="G4614" s="1"/>
      <c r="H4614" s="1"/>
    </row>
    <row r="4615" spans="1:8" ht="13.2" x14ac:dyDescent="0.25">
      <c r="A4615" s="1"/>
      <c r="B4615" s="1"/>
      <c r="C4615" s="1"/>
      <c r="D4615" s="1"/>
      <c r="E4615" s="1"/>
      <c r="F4615" s="1"/>
      <c r="G4615" s="1"/>
      <c r="H4615" s="1"/>
    </row>
    <row r="4616" spans="1:8" ht="13.2" x14ac:dyDescent="0.25">
      <c r="A4616" s="1"/>
      <c r="B4616" s="1"/>
      <c r="C4616" s="1"/>
      <c r="D4616" s="1"/>
      <c r="E4616" s="1"/>
      <c r="F4616" s="1"/>
      <c r="G4616" s="1"/>
      <c r="H4616" s="1"/>
    </row>
    <row r="4617" spans="1:8" ht="13.2" x14ac:dyDescent="0.25">
      <c r="A4617" s="1"/>
      <c r="B4617" s="1"/>
      <c r="C4617" s="1"/>
      <c r="D4617" s="1"/>
      <c r="E4617" s="1"/>
      <c r="F4617" s="1"/>
      <c r="G4617" s="1"/>
      <c r="H4617" s="1"/>
    </row>
    <row r="4618" spans="1:8" ht="13.2" x14ac:dyDescent="0.25">
      <c r="A4618" s="1"/>
      <c r="B4618" s="1"/>
      <c r="C4618" s="1"/>
      <c r="D4618" s="1"/>
      <c r="E4618" s="1"/>
      <c r="F4618" s="1"/>
      <c r="G4618" s="1"/>
      <c r="H4618" s="1"/>
    </row>
    <row r="4619" spans="1:8" ht="13.2" x14ac:dyDescent="0.25">
      <c r="A4619" s="1"/>
      <c r="B4619" s="1"/>
      <c r="C4619" s="1"/>
      <c r="D4619" s="1"/>
      <c r="E4619" s="1"/>
      <c r="F4619" s="1"/>
      <c r="G4619" s="1"/>
      <c r="H4619" s="1"/>
    </row>
    <row r="4620" spans="1:8" ht="13.2" x14ac:dyDescent="0.25">
      <c r="A4620" s="1"/>
      <c r="B4620" s="1"/>
      <c r="C4620" s="1"/>
      <c r="D4620" s="1"/>
      <c r="E4620" s="1"/>
      <c r="F4620" s="1"/>
      <c r="G4620" s="1"/>
      <c r="H4620" s="1"/>
    </row>
    <row r="4621" spans="1:8" ht="13.2" x14ac:dyDescent="0.25">
      <c r="A4621" s="1"/>
      <c r="B4621" s="1"/>
      <c r="C4621" s="1"/>
      <c r="D4621" s="1"/>
      <c r="E4621" s="1"/>
      <c r="F4621" s="1"/>
      <c r="G4621" s="1"/>
      <c r="H4621" s="1"/>
    </row>
    <row r="4622" spans="1:8" ht="13.2" x14ac:dyDescent="0.25">
      <c r="A4622" s="1"/>
      <c r="B4622" s="1"/>
      <c r="C4622" s="1"/>
      <c r="D4622" s="1"/>
      <c r="E4622" s="1"/>
      <c r="F4622" s="1"/>
      <c r="G4622" s="1"/>
      <c r="H4622" s="1"/>
    </row>
    <row r="4623" spans="1:8" ht="13.2" x14ac:dyDescent="0.25">
      <c r="A4623" s="1"/>
      <c r="B4623" s="1"/>
      <c r="C4623" s="1"/>
      <c r="D4623" s="1"/>
      <c r="E4623" s="1"/>
      <c r="F4623" s="1"/>
      <c r="G4623" s="1"/>
      <c r="H4623" s="1"/>
    </row>
    <row r="4624" spans="1:8" ht="13.2" x14ac:dyDescent="0.25">
      <c r="A4624" s="1"/>
      <c r="B4624" s="1"/>
      <c r="C4624" s="1"/>
      <c r="D4624" s="1"/>
      <c r="E4624" s="1"/>
      <c r="F4624" s="1"/>
      <c r="G4624" s="1"/>
      <c r="H4624" s="1"/>
    </row>
    <row r="4625" spans="1:8" ht="13.2" x14ac:dyDescent="0.25">
      <c r="A4625" s="1"/>
      <c r="B4625" s="1"/>
      <c r="C4625" s="1"/>
      <c r="D4625" s="1"/>
      <c r="E4625" s="1"/>
      <c r="F4625" s="1"/>
      <c r="G4625" s="1"/>
      <c r="H4625" s="1"/>
    </row>
    <row r="4626" spans="1:8" ht="13.2" x14ac:dyDescent="0.25">
      <c r="A4626" s="1"/>
      <c r="B4626" s="1"/>
      <c r="C4626" s="1"/>
      <c r="D4626" s="1"/>
      <c r="E4626" s="1"/>
      <c r="F4626" s="1"/>
      <c r="G4626" s="1"/>
      <c r="H4626" s="1"/>
    </row>
    <row r="4627" spans="1:8" ht="13.2" x14ac:dyDescent="0.25">
      <c r="A4627" s="1"/>
      <c r="B4627" s="1"/>
      <c r="C4627" s="1"/>
      <c r="D4627" s="1"/>
      <c r="E4627" s="1"/>
      <c r="F4627" s="1"/>
      <c r="G4627" s="1"/>
      <c r="H4627" s="1"/>
    </row>
    <row r="4628" spans="1:8" ht="13.2" x14ac:dyDescent="0.25">
      <c r="A4628" s="1"/>
      <c r="B4628" s="1"/>
      <c r="C4628" s="1"/>
      <c r="D4628" s="1"/>
      <c r="E4628" s="1"/>
      <c r="F4628" s="1"/>
      <c r="G4628" s="1"/>
      <c r="H4628" s="1"/>
    </row>
    <row r="4629" spans="1:8" ht="13.2" x14ac:dyDescent="0.25">
      <c r="A4629" s="1"/>
      <c r="B4629" s="1"/>
      <c r="C4629" s="1"/>
      <c r="D4629" s="1"/>
      <c r="E4629" s="1"/>
      <c r="F4629" s="1"/>
      <c r="G4629" s="1"/>
      <c r="H4629" s="1"/>
    </row>
    <row r="4630" spans="1:8" ht="13.2" x14ac:dyDescent="0.25">
      <c r="A4630" s="1"/>
      <c r="B4630" s="1"/>
      <c r="C4630" s="1"/>
      <c r="D4630" s="1"/>
      <c r="E4630" s="1"/>
      <c r="F4630" s="1"/>
      <c r="G4630" s="1"/>
      <c r="H4630" s="1"/>
    </row>
    <row r="4631" spans="1:8" ht="13.2" x14ac:dyDescent="0.25">
      <c r="A4631" s="1"/>
      <c r="B4631" s="1"/>
      <c r="C4631" s="1"/>
      <c r="D4631" s="1"/>
      <c r="E4631" s="1"/>
      <c r="F4631" s="1"/>
      <c r="G4631" s="1"/>
      <c r="H4631" s="1"/>
    </row>
    <row r="4632" spans="1:8" ht="13.2" x14ac:dyDescent="0.25">
      <c r="A4632" s="1"/>
      <c r="B4632" s="1"/>
      <c r="C4632" s="1"/>
      <c r="D4632" s="1"/>
      <c r="E4632" s="1"/>
      <c r="F4632" s="1"/>
      <c r="G4632" s="1"/>
      <c r="H4632" s="1"/>
    </row>
    <row r="4633" spans="1:8" ht="13.2" x14ac:dyDescent="0.25">
      <c r="A4633" s="1"/>
      <c r="B4633" s="1"/>
      <c r="C4633" s="1"/>
      <c r="D4633" s="1"/>
      <c r="E4633" s="1"/>
      <c r="F4633" s="1"/>
      <c r="G4633" s="1"/>
      <c r="H4633" s="1"/>
    </row>
    <row r="4634" spans="1:8" ht="13.2" x14ac:dyDescent="0.25">
      <c r="A4634" s="1"/>
      <c r="B4634" s="1"/>
      <c r="C4634" s="1"/>
      <c r="D4634" s="1"/>
      <c r="E4634" s="1"/>
      <c r="F4634" s="1"/>
      <c r="G4634" s="1"/>
      <c r="H4634" s="1"/>
    </row>
    <row r="4635" spans="1:8" ht="13.2" x14ac:dyDescent="0.25">
      <c r="A4635" s="1"/>
      <c r="B4635" s="1"/>
      <c r="C4635" s="1"/>
      <c r="D4635" s="1"/>
      <c r="E4635" s="1"/>
      <c r="F4635" s="1"/>
      <c r="G4635" s="1"/>
      <c r="H4635" s="1"/>
    </row>
    <row r="4636" spans="1:8" ht="13.2" x14ac:dyDescent="0.25">
      <c r="A4636" s="1"/>
      <c r="B4636" s="1"/>
      <c r="C4636" s="1"/>
      <c r="D4636" s="1"/>
      <c r="E4636" s="1"/>
      <c r="F4636" s="1"/>
      <c r="G4636" s="1"/>
      <c r="H4636" s="1"/>
    </row>
    <row r="4637" spans="1:8" ht="13.2" x14ac:dyDescent="0.25">
      <c r="A4637" s="1"/>
      <c r="B4637" s="1"/>
      <c r="C4637" s="1"/>
      <c r="D4637" s="1"/>
      <c r="E4637" s="1"/>
      <c r="F4637" s="1"/>
      <c r="G4637" s="1"/>
      <c r="H4637" s="1"/>
    </row>
    <row r="4638" spans="1:8" ht="13.2" x14ac:dyDescent="0.25">
      <c r="A4638" s="1"/>
      <c r="B4638" s="1"/>
      <c r="C4638" s="1"/>
      <c r="D4638" s="1"/>
      <c r="E4638" s="1"/>
      <c r="F4638" s="1"/>
      <c r="G4638" s="1"/>
      <c r="H4638" s="1"/>
    </row>
    <row r="4639" spans="1:8" ht="13.2" x14ac:dyDescent="0.25">
      <c r="A4639" s="1"/>
      <c r="B4639" s="1"/>
      <c r="C4639" s="1"/>
      <c r="D4639" s="1"/>
      <c r="E4639" s="1"/>
      <c r="F4639" s="1"/>
      <c r="G4639" s="1"/>
      <c r="H4639" s="1"/>
    </row>
    <row r="4640" spans="1:8" ht="13.2" x14ac:dyDescent="0.25">
      <c r="A4640" s="1"/>
      <c r="B4640" s="1"/>
      <c r="C4640" s="1"/>
      <c r="D4640" s="1"/>
      <c r="E4640" s="1"/>
      <c r="F4640" s="1"/>
      <c r="G4640" s="1"/>
      <c r="H4640" s="1"/>
    </row>
    <row r="4641" spans="1:8" ht="13.2" x14ac:dyDescent="0.25">
      <c r="A4641" s="1"/>
      <c r="B4641" s="1"/>
      <c r="C4641" s="1"/>
      <c r="D4641" s="1"/>
      <c r="E4641" s="1"/>
      <c r="F4641" s="1"/>
      <c r="G4641" s="1"/>
      <c r="H4641" s="1"/>
    </row>
    <row r="4642" spans="1:8" ht="13.2" x14ac:dyDescent="0.25">
      <c r="A4642" s="1"/>
      <c r="B4642" s="1"/>
      <c r="C4642" s="1"/>
      <c r="D4642" s="1"/>
      <c r="E4642" s="1"/>
      <c r="F4642" s="1"/>
      <c r="G4642" s="1"/>
      <c r="H4642" s="1"/>
    </row>
    <row r="4643" spans="1:8" ht="13.2" x14ac:dyDescent="0.25">
      <c r="A4643" s="1"/>
      <c r="B4643" s="1"/>
      <c r="C4643" s="1"/>
      <c r="D4643" s="1"/>
      <c r="E4643" s="1"/>
      <c r="F4643" s="1"/>
      <c r="G4643" s="1"/>
      <c r="H4643" s="1"/>
    </row>
    <row r="4644" spans="1:8" ht="13.2" x14ac:dyDescent="0.25">
      <c r="A4644" s="1"/>
      <c r="B4644" s="1"/>
      <c r="C4644" s="1"/>
      <c r="D4644" s="1"/>
      <c r="E4644" s="1"/>
      <c r="F4644" s="1"/>
      <c r="G4644" s="1"/>
      <c r="H4644" s="1"/>
    </row>
    <row r="4645" spans="1:8" ht="13.2" x14ac:dyDescent="0.25">
      <c r="A4645" s="1"/>
      <c r="B4645" s="1"/>
      <c r="C4645" s="1"/>
      <c r="D4645" s="1"/>
      <c r="E4645" s="1"/>
      <c r="F4645" s="1"/>
      <c r="G4645" s="1"/>
      <c r="H4645" s="1"/>
    </row>
    <row r="4646" spans="1:8" ht="13.2" x14ac:dyDescent="0.25">
      <c r="A4646" s="1"/>
      <c r="B4646" s="1"/>
      <c r="C4646" s="1"/>
      <c r="D4646" s="1"/>
      <c r="E4646" s="1"/>
      <c r="F4646" s="1"/>
      <c r="G4646" s="1"/>
      <c r="H4646" s="1"/>
    </row>
    <row r="4647" spans="1:8" ht="13.2" x14ac:dyDescent="0.25">
      <c r="A4647" s="1"/>
      <c r="B4647" s="1"/>
      <c r="C4647" s="1"/>
      <c r="D4647" s="1"/>
      <c r="E4647" s="1"/>
      <c r="F4647" s="1"/>
      <c r="G4647" s="1"/>
      <c r="H4647" s="1"/>
    </row>
    <row r="4648" spans="1:8" ht="13.2" x14ac:dyDescent="0.25">
      <c r="A4648" s="1"/>
      <c r="B4648" s="1"/>
      <c r="C4648" s="1"/>
      <c r="D4648" s="1"/>
      <c r="E4648" s="1"/>
      <c r="F4648" s="1"/>
      <c r="G4648" s="1"/>
      <c r="H4648" s="1"/>
    </row>
    <row r="4649" spans="1:8" ht="13.2" x14ac:dyDescent="0.25">
      <c r="A4649" s="1"/>
      <c r="B4649" s="1"/>
      <c r="C4649" s="1"/>
      <c r="D4649" s="1"/>
      <c r="E4649" s="1"/>
      <c r="F4649" s="1"/>
      <c r="G4649" s="1"/>
      <c r="H4649" s="1"/>
    </row>
    <row r="4650" spans="1:8" ht="13.2" x14ac:dyDescent="0.25">
      <c r="A4650" s="1"/>
      <c r="B4650" s="1"/>
      <c r="C4650" s="1"/>
      <c r="D4650" s="1"/>
      <c r="E4650" s="1"/>
      <c r="F4650" s="1"/>
      <c r="G4650" s="1"/>
      <c r="H4650" s="1"/>
    </row>
    <row r="4651" spans="1:8" ht="13.2" x14ac:dyDescent="0.25">
      <c r="A4651" s="1"/>
      <c r="B4651" s="1"/>
      <c r="C4651" s="1"/>
      <c r="D4651" s="1"/>
      <c r="E4651" s="1"/>
      <c r="F4651" s="1"/>
      <c r="G4651" s="1"/>
      <c r="H4651" s="1"/>
    </row>
    <row r="4652" spans="1:8" ht="13.2" x14ac:dyDescent="0.25">
      <c r="A4652" s="1"/>
      <c r="B4652" s="1"/>
      <c r="C4652" s="1"/>
      <c r="D4652" s="1"/>
      <c r="E4652" s="1"/>
      <c r="F4652" s="1"/>
      <c r="G4652" s="1"/>
      <c r="H4652" s="1"/>
    </row>
    <row r="4653" spans="1:8" ht="13.2" x14ac:dyDescent="0.25">
      <c r="A4653" s="1"/>
      <c r="B4653" s="1"/>
      <c r="C4653" s="1"/>
      <c r="D4653" s="1"/>
      <c r="E4653" s="1"/>
      <c r="F4653" s="1"/>
      <c r="G4653" s="1"/>
      <c r="H4653" s="1"/>
    </row>
    <row r="4654" spans="1:8" ht="13.2" x14ac:dyDescent="0.25">
      <c r="A4654" s="1"/>
      <c r="B4654" s="1"/>
      <c r="C4654" s="1"/>
      <c r="D4654" s="1"/>
      <c r="E4654" s="1"/>
      <c r="F4654" s="1"/>
      <c r="G4654" s="1"/>
      <c r="H4654" s="1"/>
    </row>
    <row r="4655" spans="1:8" ht="13.2" x14ac:dyDescent="0.25">
      <c r="A4655" s="1"/>
      <c r="B4655" s="1"/>
      <c r="C4655" s="1"/>
      <c r="D4655" s="1"/>
      <c r="E4655" s="1"/>
      <c r="F4655" s="1"/>
      <c r="G4655" s="1"/>
      <c r="H4655" s="1"/>
    </row>
    <row r="4656" spans="1:8" ht="13.2" x14ac:dyDescent="0.25">
      <c r="A4656" s="1"/>
      <c r="B4656" s="1"/>
      <c r="C4656" s="1"/>
      <c r="D4656" s="1"/>
      <c r="E4656" s="1"/>
      <c r="F4656" s="1"/>
      <c r="G4656" s="1"/>
      <c r="H4656" s="1"/>
    </row>
    <row r="4657" spans="1:8" ht="13.2" x14ac:dyDescent="0.25">
      <c r="A4657" s="1"/>
      <c r="B4657" s="1"/>
      <c r="C4657" s="1"/>
      <c r="D4657" s="1"/>
      <c r="E4657" s="1"/>
      <c r="F4657" s="1"/>
      <c r="G4657" s="1"/>
      <c r="H4657" s="1"/>
    </row>
    <row r="4658" spans="1:8" ht="13.2" x14ac:dyDescent="0.25">
      <c r="A4658" s="1"/>
      <c r="B4658" s="1"/>
      <c r="C4658" s="1"/>
      <c r="D4658" s="1"/>
      <c r="E4658" s="1"/>
      <c r="F4658" s="1"/>
      <c r="G4658" s="1"/>
      <c r="H4658" s="1"/>
    </row>
    <row r="4659" spans="1:8" ht="13.2" x14ac:dyDescent="0.25">
      <c r="A4659" s="1"/>
      <c r="B4659" s="1"/>
      <c r="C4659" s="1"/>
      <c r="D4659" s="1"/>
      <c r="E4659" s="1"/>
      <c r="F4659" s="1"/>
      <c r="G4659" s="1"/>
      <c r="H4659" s="1"/>
    </row>
    <row r="4660" spans="1:8" ht="13.2" x14ac:dyDescent="0.25">
      <c r="A4660" s="1"/>
      <c r="B4660" s="1"/>
      <c r="C4660" s="1"/>
      <c r="D4660" s="1"/>
      <c r="E4660" s="1"/>
      <c r="F4660" s="1"/>
      <c r="G4660" s="1"/>
      <c r="H4660" s="1"/>
    </row>
    <row r="4661" spans="1:8" ht="13.2" x14ac:dyDescent="0.25">
      <c r="A4661" s="1"/>
      <c r="B4661" s="1"/>
      <c r="C4661" s="1"/>
      <c r="D4661" s="1"/>
      <c r="E4661" s="1"/>
      <c r="F4661" s="1"/>
      <c r="G4661" s="1"/>
      <c r="H4661" s="1"/>
    </row>
    <row r="4662" spans="1:8" ht="13.2" x14ac:dyDescent="0.25">
      <c r="A4662" s="1"/>
      <c r="B4662" s="1"/>
      <c r="C4662" s="1"/>
      <c r="D4662" s="1"/>
      <c r="E4662" s="1"/>
      <c r="F4662" s="1"/>
      <c r="G4662" s="1"/>
      <c r="H4662" s="1"/>
    </row>
    <row r="4663" spans="1:8" ht="13.2" x14ac:dyDescent="0.25">
      <c r="A4663" s="1"/>
      <c r="B4663" s="1"/>
      <c r="C4663" s="1"/>
      <c r="D4663" s="1"/>
      <c r="E4663" s="1"/>
      <c r="F4663" s="1"/>
      <c r="G4663" s="1"/>
      <c r="H4663" s="1"/>
    </row>
    <row r="4664" spans="1:8" ht="13.2" x14ac:dyDescent="0.25">
      <c r="A4664" s="1"/>
      <c r="B4664" s="1"/>
      <c r="C4664" s="1"/>
      <c r="D4664" s="1"/>
      <c r="E4664" s="1"/>
      <c r="F4664" s="1"/>
      <c r="G4664" s="1"/>
      <c r="H4664" s="1"/>
    </row>
    <row r="4665" spans="1:8" ht="13.2" x14ac:dyDescent="0.25">
      <c r="A4665" s="1"/>
      <c r="B4665" s="1"/>
      <c r="C4665" s="1"/>
      <c r="D4665" s="1"/>
      <c r="E4665" s="1"/>
      <c r="F4665" s="1"/>
      <c r="G4665" s="3"/>
      <c r="H4665" s="1"/>
    </row>
    <row r="4666" spans="1:8" ht="13.2" x14ac:dyDescent="0.25">
      <c r="A4666" s="1"/>
      <c r="B4666" s="1"/>
      <c r="C4666" s="1"/>
      <c r="D4666" s="1"/>
      <c r="E4666" s="1"/>
      <c r="F4666" s="1"/>
      <c r="G4666" s="1"/>
      <c r="H4666" s="1"/>
    </row>
    <row r="4667" spans="1:8" ht="13.2" x14ac:dyDescent="0.25">
      <c r="A4667" s="1"/>
      <c r="B4667" s="1"/>
      <c r="C4667" s="1"/>
      <c r="D4667" s="1"/>
      <c r="E4667" s="1"/>
      <c r="F4667" s="1"/>
      <c r="G4667" s="1"/>
      <c r="H4667" s="1"/>
    </row>
    <row r="4668" spans="1:8" ht="13.2" x14ac:dyDescent="0.25">
      <c r="A4668" s="1"/>
      <c r="B4668" s="1"/>
      <c r="C4668" s="1"/>
      <c r="D4668" s="1"/>
      <c r="E4668" s="1"/>
      <c r="F4668" s="1"/>
      <c r="G4668" s="1"/>
      <c r="H4668" s="1"/>
    </row>
    <row r="4669" spans="1:8" ht="13.2" x14ac:dyDescent="0.25">
      <c r="A4669" s="1"/>
      <c r="B4669" s="1"/>
      <c r="C4669" s="1"/>
      <c r="D4669" s="1"/>
      <c r="E4669" s="1"/>
      <c r="F4669" s="1"/>
      <c r="G4669" s="1"/>
      <c r="H4669" s="1"/>
    </row>
    <row r="4670" spans="1:8" ht="13.2" x14ac:dyDescent="0.25">
      <c r="A4670" s="1"/>
      <c r="B4670" s="1"/>
      <c r="C4670" s="1"/>
      <c r="D4670" s="1"/>
      <c r="E4670" s="1"/>
      <c r="F4670" s="1"/>
      <c r="G4670" s="1"/>
      <c r="H4670" s="1"/>
    </row>
    <row r="4671" spans="1:8" ht="13.2" x14ac:dyDescent="0.25">
      <c r="A4671" s="1"/>
      <c r="B4671" s="1"/>
      <c r="C4671" s="1"/>
      <c r="D4671" s="1"/>
      <c r="E4671" s="1"/>
      <c r="F4671" s="1"/>
      <c r="G4671" s="1"/>
      <c r="H4671" s="1"/>
    </row>
    <row r="4672" spans="1:8" ht="13.2" x14ac:dyDescent="0.25">
      <c r="A4672" s="1"/>
      <c r="B4672" s="1"/>
      <c r="C4672" s="1"/>
      <c r="D4672" s="1"/>
      <c r="E4672" s="1"/>
      <c r="F4672" s="1"/>
      <c r="G4672" s="1"/>
      <c r="H4672" s="1"/>
    </row>
    <row r="4673" spans="1:8" ht="13.2" x14ac:dyDescent="0.25">
      <c r="A4673" s="1"/>
      <c r="B4673" s="1"/>
      <c r="C4673" s="1"/>
      <c r="D4673" s="1"/>
      <c r="E4673" s="1"/>
      <c r="F4673" s="1"/>
      <c r="G4673" s="1"/>
      <c r="H4673" s="1"/>
    </row>
    <row r="4674" spans="1:8" ht="13.2" x14ac:dyDescent="0.25">
      <c r="A4674" s="1"/>
      <c r="B4674" s="1"/>
      <c r="C4674" s="1"/>
      <c r="D4674" s="1"/>
      <c r="E4674" s="1"/>
      <c r="F4674" s="1"/>
      <c r="G4674" s="3"/>
      <c r="H4674" s="1"/>
    </row>
    <row r="4675" spans="1:8" ht="13.2" x14ac:dyDescent="0.25">
      <c r="A4675" s="1"/>
      <c r="B4675" s="1"/>
      <c r="C4675" s="1"/>
      <c r="D4675" s="1"/>
      <c r="E4675" s="1"/>
      <c r="F4675" s="1"/>
      <c r="G4675" s="1"/>
      <c r="H4675" s="1"/>
    </row>
    <row r="4676" spans="1:8" ht="13.2" x14ac:dyDescent="0.25">
      <c r="A4676" s="1"/>
      <c r="B4676" s="1"/>
      <c r="C4676" s="1"/>
      <c r="D4676" s="1"/>
      <c r="E4676" s="1"/>
      <c r="F4676" s="1"/>
      <c r="G4676" s="1"/>
      <c r="H4676" s="1"/>
    </row>
    <row r="4677" spans="1:8" ht="13.2" x14ac:dyDescent="0.25">
      <c r="A4677" s="1"/>
      <c r="B4677" s="1"/>
      <c r="C4677" s="1"/>
      <c r="D4677" s="1"/>
      <c r="E4677" s="1"/>
      <c r="F4677" s="1"/>
      <c r="G4677" s="1"/>
      <c r="H4677" s="1"/>
    </row>
    <row r="4678" spans="1:8" ht="13.2" x14ac:dyDescent="0.25">
      <c r="A4678" s="1"/>
      <c r="B4678" s="1"/>
      <c r="C4678" s="1"/>
      <c r="D4678" s="1"/>
      <c r="E4678" s="1"/>
      <c r="F4678" s="1"/>
      <c r="G4678" s="1"/>
      <c r="H4678" s="1"/>
    </row>
    <row r="4679" spans="1:8" ht="13.2" x14ac:dyDescent="0.25">
      <c r="A4679" s="1"/>
      <c r="B4679" s="1"/>
      <c r="C4679" s="1"/>
      <c r="D4679" s="1"/>
      <c r="E4679" s="1"/>
      <c r="F4679" s="1"/>
      <c r="G4679" s="1"/>
      <c r="H4679" s="1"/>
    </row>
    <row r="4680" spans="1:8" ht="13.2" x14ac:dyDescent="0.25">
      <c r="A4680" s="1"/>
      <c r="B4680" s="1"/>
      <c r="C4680" s="1"/>
      <c r="D4680" s="1"/>
      <c r="E4680" s="1"/>
      <c r="F4680" s="1"/>
      <c r="G4680" s="1"/>
      <c r="H4680" s="1"/>
    </row>
    <row r="4681" spans="1:8" ht="13.2" x14ac:dyDescent="0.25">
      <c r="A4681" s="1"/>
      <c r="B4681" s="1"/>
      <c r="C4681" s="1"/>
      <c r="D4681" s="1"/>
      <c r="E4681" s="1"/>
      <c r="F4681" s="1"/>
      <c r="G4681" s="1"/>
      <c r="H4681" s="1"/>
    </row>
    <row r="4682" spans="1:8" ht="13.2" x14ac:dyDescent="0.25">
      <c r="A4682" s="1"/>
      <c r="B4682" s="1"/>
      <c r="C4682" s="1"/>
      <c r="D4682" s="1"/>
      <c r="E4682" s="1"/>
      <c r="F4682" s="1"/>
      <c r="G4682" s="1"/>
      <c r="H4682" s="1"/>
    </row>
    <row r="4683" spans="1:8" ht="13.2" x14ac:dyDescent="0.25">
      <c r="A4683" s="1"/>
      <c r="B4683" s="1"/>
      <c r="C4683" s="1"/>
      <c r="D4683" s="1"/>
      <c r="E4683" s="1"/>
      <c r="F4683" s="1"/>
      <c r="G4683" s="1"/>
      <c r="H4683" s="1"/>
    </row>
    <row r="4684" spans="1:8" ht="13.2" x14ac:dyDescent="0.25">
      <c r="A4684" s="1"/>
      <c r="B4684" s="1"/>
      <c r="C4684" s="1"/>
      <c r="D4684" s="1"/>
      <c r="E4684" s="1"/>
      <c r="F4684" s="1"/>
      <c r="G4684" s="1"/>
      <c r="H4684" s="1"/>
    </row>
    <row r="4685" spans="1:8" ht="13.2" x14ac:dyDescent="0.25">
      <c r="A4685" s="1"/>
      <c r="B4685" s="1"/>
      <c r="C4685" s="1"/>
      <c r="D4685" s="1"/>
      <c r="E4685" s="1"/>
      <c r="F4685" s="1"/>
      <c r="G4685" s="1"/>
      <c r="H4685" s="1"/>
    </row>
    <row r="4686" spans="1:8" ht="13.2" x14ac:dyDescent="0.25">
      <c r="A4686" s="1"/>
      <c r="B4686" s="1"/>
      <c r="C4686" s="1"/>
      <c r="D4686" s="1"/>
      <c r="E4686" s="1"/>
      <c r="F4686" s="1"/>
      <c r="G4686" s="1"/>
      <c r="H4686" s="1"/>
    </row>
    <row r="4687" spans="1:8" ht="13.2" x14ac:dyDescent="0.25">
      <c r="A4687" s="1"/>
      <c r="B4687" s="1"/>
      <c r="C4687" s="1"/>
      <c r="D4687" s="1"/>
      <c r="E4687" s="1"/>
      <c r="F4687" s="1"/>
      <c r="G4687" s="1"/>
      <c r="H4687" s="1"/>
    </row>
    <row r="4688" spans="1:8" ht="13.2" x14ac:dyDescent="0.25">
      <c r="A4688" s="1"/>
      <c r="B4688" s="1"/>
      <c r="C4688" s="1"/>
      <c r="D4688" s="1"/>
      <c r="E4688" s="1"/>
      <c r="F4688" s="1"/>
      <c r="G4688" s="1"/>
      <c r="H4688" s="1"/>
    </row>
    <row r="4689" spans="1:8" ht="13.2" x14ac:dyDescent="0.25">
      <c r="A4689" s="1"/>
      <c r="B4689" s="1"/>
      <c r="C4689" s="1"/>
      <c r="D4689" s="1"/>
      <c r="E4689" s="1"/>
      <c r="F4689" s="1"/>
      <c r="G4689" s="1"/>
      <c r="H4689" s="1"/>
    </row>
    <row r="4690" spans="1:8" ht="13.2" x14ac:dyDescent="0.25">
      <c r="A4690" s="1"/>
      <c r="B4690" s="1"/>
      <c r="C4690" s="1"/>
      <c r="D4690" s="1"/>
      <c r="E4690" s="1"/>
      <c r="F4690" s="1"/>
      <c r="G4690" s="1"/>
      <c r="H4690" s="1"/>
    </row>
    <row r="4691" spans="1:8" ht="13.2" x14ac:dyDescent="0.25">
      <c r="A4691" s="1"/>
      <c r="B4691" s="1"/>
      <c r="C4691" s="1"/>
      <c r="D4691" s="1"/>
      <c r="E4691" s="1"/>
      <c r="F4691" s="1"/>
      <c r="G4691" s="1"/>
      <c r="H4691" s="1"/>
    </row>
    <row r="4692" spans="1:8" ht="13.2" x14ac:dyDescent="0.25">
      <c r="A4692" s="1"/>
      <c r="B4692" s="1"/>
      <c r="C4692" s="1"/>
      <c r="D4692" s="1"/>
      <c r="E4692" s="1"/>
      <c r="F4692" s="1"/>
      <c r="G4692" s="1"/>
      <c r="H4692" s="1"/>
    </row>
    <row r="4693" spans="1:8" ht="13.2" x14ac:dyDescent="0.25">
      <c r="A4693" s="1"/>
      <c r="B4693" s="1"/>
      <c r="C4693" s="1"/>
      <c r="D4693" s="1"/>
      <c r="E4693" s="1"/>
      <c r="F4693" s="1"/>
      <c r="G4693" s="1"/>
      <c r="H4693" s="1"/>
    </row>
    <row r="4694" spans="1:8" ht="13.2" x14ac:dyDescent="0.25">
      <c r="A4694" s="1"/>
      <c r="B4694" s="1"/>
      <c r="C4694" s="1"/>
      <c r="D4694" s="1"/>
      <c r="E4694" s="1"/>
      <c r="F4694" s="1"/>
      <c r="G4694" s="1"/>
      <c r="H4694" s="1"/>
    </row>
    <row r="4695" spans="1:8" ht="13.2" x14ac:dyDescent="0.25">
      <c r="A4695" s="1"/>
      <c r="B4695" s="1"/>
      <c r="C4695" s="1"/>
      <c r="D4695" s="1"/>
      <c r="E4695" s="1"/>
      <c r="F4695" s="1"/>
      <c r="G4695" s="1"/>
      <c r="H4695" s="1"/>
    </row>
    <row r="4696" spans="1:8" ht="13.2" x14ac:dyDescent="0.25">
      <c r="A4696" s="1"/>
      <c r="B4696" s="1"/>
      <c r="C4696" s="1"/>
      <c r="D4696" s="1"/>
      <c r="E4696" s="1"/>
      <c r="F4696" s="1"/>
      <c r="G4696" s="1"/>
      <c r="H4696" s="1"/>
    </row>
    <row r="4697" spans="1:8" ht="13.2" x14ac:dyDescent="0.25">
      <c r="A4697" s="1"/>
      <c r="B4697" s="1"/>
      <c r="C4697" s="1"/>
      <c r="D4697" s="1"/>
      <c r="E4697" s="1"/>
      <c r="F4697" s="1"/>
      <c r="G4697" s="1"/>
      <c r="H4697" s="1"/>
    </row>
    <row r="4698" spans="1:8" ht="13.2" x14ac:dyDescent="0.25">
      <c r="A4698" s="1"/>
      <c r="B4698" s="1"/>
      <c r="C4698" s="1"/>
      <c r="D4698" s="1"/>
      <c r="E4698" s="1"/>
      <c r="F4698" s="1"/>
      <c r="G4698" s="1"/>
      <c r="H4698" s="1"/>
    </row>
    <row r="4699" spans="1:8" ht="13.2" x14ac:dyDescent="0.25">
      <c r="A4699" s="1"/>
      <c r="B4699" s="1"/>
      <c r="C4699" s="1"/>
      <c r="D4699" s="1"/>
      <c r="E4699" s="1"/>
      <c r="F4699" s="1"/>
      <c r="G4699" s="1"/>
      <c r="H4699" s="1"/>
    </row>
    <row r="4700" spans="1:8" ht="13.2" x14ac:dyDescent="0.25">
      <c r="A4700" s="1"/>
      <c r="B4700" s="1"/>
      <c r="C4700" s="1"/>
      <c r="D4700" s="1"/>
      <c r="E4700" s="1"/>
      <c r="F4700" s="1"/>
      <c r="G4700" s="1"/>
      <c r="H4700" s="1"/>
    </row>
    <row r="4701" spans="1:8" ht="13.2" x14ac:dyDescent="0.25">
      <c r="A4701" s="1"/>
      <c r="B4701" s="1"/>
      <c r="C4701" s="1"/>
      <c r="D4701" s="1"/>
      <c r="E4701" s="1"/>
      <c r="F4701" s="1"/>
      <c r="G4701" s="1"/>
      <c r="H4701" s="1"/>
    </row>
    <row r="4702" spans="1:8" ht="13.2" x14ac:dyDescent="0.25">
      <c r="A4702" s="1"/>
      <c r="B4702" s="1"/>
      <c r="C4702" s="1"/>
      <c r="D4702" s="1"/>
      <c r="E4702" s="1"/>
      <c r="F4702" s="1"/>
      <c r="G4702" s="1"/>
      <c r="H4702" s="1"/>
    </row>
    <row r="4703" spans="1:8" ht="13.2" x14ac:dyDescent="0.25">
      <c r="A4703" s="1"/>
      <c r="B4703" s="1"/>
      <c r="C4703" s="1"/>
      <c r="D4703" s="1"/>
      <c r="E4703" s="1"/>
      <c r="F4703" s="1"/>
      <c r="G4703" s="1"/>
      <c r="H4703" s="1"/>
    </row>
    <row r="4704" spans="1:8" ht="13.2" x14ac:dyDescent="0.25">
      <c r="A4704" s="1"/>
      <c r="B4704" s="1"/>
      <c r="C4704" s="1"/>
      <c r="D4704" s="1"/>
      <c r="E4704" s="1"/>
      <c r="F4704" s="1"/>
      <c r="G4704" s="1"/>
      <c r="H4704" s="1"/>
    </row>
    <row r="4705" spans="1:8" ht="13.2" x14ac:dyDescent="0.25">
      <c r="A4705" s="1"/>
      <c r="B4705" s="1"/>
      <c r="C4705" s="1"/>
      <c r="D4705" s="1"/>
      <c r="E4705" s="1"/>
      <c r="F4705" s="1"/>
      <c r="G4705" s="1"/>
      <c r="H4705" s="1"/>
    </row>
    <row r="4706" spans="1:8" ht="13.2" x14ac:dyDescent="0.25">
      <c r="A4706" s="1"/>
      <c r="B4706" s="1"/>
      <c r="C4706" s="1"/>
      <c r="D4706" s="1"/>
      <c r="E4706" s="1"/>
      <c r="F4706" s="1"/>
      <c r="G4706" s="1"/>
      <c r="H4706" s="1"/>
    </row>
    <row r="4707" spans="1:8" ht="13.2" x14ac:dyDescent="0.25">
      <c r="A4707" s="1"/>
      <c r="B4707" s="1"/>
      <c r="C4707" s="1"/>
      <c r="D4707" s="1"/>
      <c r="E4707" s="1"/>
      <c r="F4707" s="1"/>
      <c r="G4707" s="3"/>
      <c r="H4707" s="1"/>
    </row>
    <row r="4708" spans="1:8" ht="13.2" x14ac:dyDescent="0.25">
      <c r="A4708" s="1"/>
      <c r="B4708" s="1"/>
      <c r="C4708" s="1"/>
      <c r="D4708" s="1"/>
      <c r="E4708" s="1"/>
      <c r="F4708" s="1"/>
      <c r="G4708" s="1"/>
      <c r="H4708" s="1"/>
    </row>
    <row r="4709" spans="1:8" ht="13.2" x14ac:dyDescent="0.25">
      <c r="A4709" s="1"/>
      <c r="B4709" s="1"/>
      <c r="C4709" s="1"/>
      <c r="D4709" s="1"/>
      <c r="E4709" s="1"/>
      <c r="F4709" s="1"/>
      <c r="G4709" s="1"/>
      <c r="H4709" s="1"/>
    </row>
    <row r="4710" spans="1:8" ht="13.2" x14ac:dyDescent="0.25">
      <c r="A4710" s="1"/>
      <c r="B4710" s="1"/>
      <c r="C4710" s="1"/>
      <c r="D4710" s="1"/>
      <c r="E4710" s="1"/>
      <c r="F4710" s="1"/>
      <c r="G4710" s="1"/>
      <c r="H4710" s="1"/>
    </row>
    <row r="4711" spans="1:8" ht="13.2" x14ac:dyDescent="0.25">
      <c r="A4711" s="1"/>
      <c r="B4711" s="1"/>
      <c r="C4711" s="1"/>
      <c r="D4711" s="1"/>
      <c r="E4711" s="1"/>
      <c r="F4711" s="1"/>
      <c r="G4711" s="1"/>
      <c r="H4711" s="1"/>
    </row>
    <row r="4712" spans="1:8" ht="13.2" x14ac:dyDescent="0.25">
      <c r="A4712" s="1"/>
      <c r="B4712" s="1"/>
      <c r="C4712" s="1"/>
      <c r="D4712" s="1"/>
      <c r="E4712" s="1"/>
      <c r="F4712" s="1"/>
      <c r="G4712" s="1"/>
      <c r="H4712" s="1"/>
    </row>
    <row r="4713" spans="1:8" ht="13.2" x14ac:dyDescent="0.25">
      <c r="A4713" s="1"/>
      <c r="B4713" s="1"/>
      <c r="C4713" s="1"/>
      <c r="D4713" s="1"/>
      <c r="E4713" s="1"/>
      <c r="F4713" s="1"/>
      <c r="G4713" s="1"/>
      <c r="H4713" s="1"/>
    </row>
    <row r="4714" spans="1:8" ht="13.2" x14ac:dyDescent="0.25">
      <c r="A4714" s="1"/>
      <c r="B4714" s="1"/>
      <c r="C4714" s="1"/>
      <c r="D4714" s="1"/>
      <c r="E4714" s="1"/>
      <c r="F4714" s="1"/>
      <c r="G4714" s="1"/>
      <c r="H4714" s="1"/>
    </row>
    <row r="4715" spans="1:8" ht="13.2" x14ac:dyDescent="0.25">
      <c r="A4715" s="1"/>
      <c r="B4715" s="1"/>
      <c r="C4715" s="1"/>
      <c r="D4715" s="1"/>
      <c r="E4715" s="1"/>
      <c r="F4715" s="1"/>
      <c r="G4715" s="1"/>
      <c r="H4715" s="1"/>
    </row>
    <row r="4716" spans="1:8" ht="13.2" x14ac:dyDescent="0.25">
      <c r="A4716" s="1"/>
      <c r="B4716" s="1"/>
      <c r="C4716" s="1"/>
      <c r="D4716" s="1"/>
      <c r="E4716" s="1"/>
      <c r="F4716" s="1"/>
      <c r="G4716" s="1"/>
      <c r="H4716" s="1"/>
    </row>
    <row r="4717" spans="1:8" ht="13.2" x14ac:dyDescent="0.25">
      <c r="A4717" s="1"/>
      <c r="B4717" s="1"/>
      <c r="C4717" s="1"/>
      <c r="D4717" s="1"/>
      <c r="E4717" s="1"/>
      <c r="F4717" s="1"/>
      <c r="G4717" s="1"/>
      <c r="H4717" s="1"/>
    </row>
    <row r="4718" spans="1:8" ht="13.2" x14ac:dyDescent="0.25">
      <c r="A4718" s="1"/>
      <c r="B4718" s="1"/>
      <c r="C4718" s="1"/>
      <c r="D4718" s="1"/>
      <c r="E4718" s="1"/>
      <c r="F4718" s="1"/>
      <c r="G4718" s="1"/>
      <c r="H4718" s="1"/>
    </row>
    <row r="4719" spans="1:8" ht="13.2" x14ac:dyDescent="0.25">
      <c r="A4719" s="1"/>
      <c r="B4719" s="1"/>
      <c r="C4719" s="1"/>
      <c r="D4719" s="1"/>
      <c r="E4719" s="1"/>
      <c r="F4719" s="1"/>
      <c r="G4719" s="1"/>
      <c r="H4719" s="1"/>
    </row>
    <row r="4720" spans="1:8" ht="13.2" x14ac:dyDescent="0.25">
      <c r="A4720" s="1"/>
      <c r="B4720" s="1"/>
      <c r="C4720" s="1"/>
      <c r="D4720" s="1"/>
      <c r="E4720" s="1"/>
      <c r="F4720" s="1"/>
      <c r="G4720" s="1"/>
      <c r="H4720" s="1"/>
    </row>
    <row r="4721" spans="1:8" ht="13.2" x14ac:dyDescent="0.25">
      <c r="A4721" s="1"/>
      <c r="B4721" s="1"/>
      <c r="C4721" s="1"/>
      <c r="D4721" s="1"/>
      <c r="E4721" s="1"/>
      <c r="F4721" s="1"/>
      <c r="G4721" s="1"/>
      <c r="H4721" s="1"/>
    </row>
    <row r="4722" spans="1:8" ht="13.2" x14ac:dyDescent="0.25">
      <c r="A4722" s="1"/>
      <c r="B4722" s="1"/>
      <c r="C4722" s="1"/>
      <c r="D4722" s="1"/>
      <c r="E4722" s="1"/>
      <c r="F4722" s="1"/>
      <c r="G4722" s="1"/>
      <c r="H4722" s="1"/>
    </row>
    <row r="4723" spans="1:8" ht="13.2" x14ac:dyDescent="0.25">
      <c r="A4723" s="1"/>
      <c r="B4723" s="1"/>
      <c r="C4723" s="1"/>
      <c r="D4723" s="1"/>
      <c r="E4723" s="1"/>
      <c r="F4723" s="1"/>
      <c r="G4723" s="1"/>
      <c r="H4723" s="1"/>
    </row>
    <row r="4724" spans="1:8" ht="13.2" x14ac:dyDescent="0.25">
      <c r="A4724" s="1"/>
      <c r="B4724" s="1"/>
      <c r="C4724" s="1"/>
      <c r="D4724" s="1"/>
      <c r="E4724" s="1"/>
      <c r="F4724" s="1"/>
      <c r="G4724" s="1"/>
      <c r="H4724" s="1"/>
    </row>
    <row r="4725" spans="1:8" ht="13.2" x14ac:dyDescent="0.25">
      <c r="A4725" s="1"/>
      <c r="B4725" s="1"/>
      <c r="C4725" s="1"/>
      <c r="D4725" s="1"/>
      <c r="E4725" s="1"/>
      <c r="F4725" s="1"/>
      <c r="G4725" s="1"/>
      <c r="H4725" s="1"/>
    </row>
    <row r="4726" spans="1:8" ht="13.2" x14ac:dyDescent="0.25">
      <c r="A4726" s="1"/>
      <c r="B4726" s="1"/>
      <c r="C4726" s="1"/>
      <c r="D4726" s="1"/>
      <c r="E4726" s="1"/>
      <c r="F4726" s="1"/>
      <c r="G4726" s="3"/>
      <c r="H4726" s="1"/>
    </row>
    <row r="4727" spans="1:8" ht="13.2" x14ac:dyDescent="0.25">
      <c r="A4727" s="1"/>
      <c r="B4727" s="1"/>
      <c r="C4727" s="1"/>
      <c r="D4727" s="1"/>
      <c r="E4727" s="1"/>
      <c r="F4727" s="1"/>
      <c r="G4727" s="1"/>
      <c r="H4727" s="1"/>
    </row>
    <row r="4728" spans="1:8" ht="13.2" x14ac:dyDescent="0.25">
      <c r="A4728" s="1"/>
      <c r="B4728" s="1"/>
      <c r="C4728" s="1"/>
      <c r="D4728" s="1"/>
      <c r="E4728" s="1"/>
      <c r="F4728" s="1"/>
      <c r="G4728" s="1"/>
      <c r="H4728" s="1"/>
    </row>
    <row r="4729" spans="1:8" ht="13.2" x14ac:dyDescent="0.25">
      <c r="A4729" s="1"/>
      <c r="B4729" s="1"/>
      <c r="C4729" s="1"/>
      <c r="D4729" s="1"/>
      <c r="E4729" s="1"/>
      <c r="F4729" s="1"/>
      <c r="G4729" s="1"/>
      <c r="H4729" s="1"/>
    </row>
    <row r="4730" spans="1:8" ht="13.2" x14ac:dyDescent="0.25">
      <c r="A4730" s="1"/>
      <c r="B4730" s="1"/>
      <c r="C4730" s="1"/>
      <c r="D4730" s="1"/>
      <c r="E4730" s="1"/>
      <c r="F4730" s="1"/>
      <c r="G4730" s="1"/>
      <c r="H4730" s="1"/>
    </row>
    <row r="4731" spans="1:8" ht="13.2" x14ac:dyDescent="0.25">
      <c r="A4731" s="1"/>
      <c r="B4731" s="1"/>
      <c r="C4731" s="1"/>
      <c r="D4731" s="1"/>
      <c r="E4731" s="1"/>
      <c r="F4731" s="1"/>
      <c r="G4731" s="1"/>
      <c r="H4731" s="1"/>
    </row>
    <row r="4732" spans="1:8" ht="13.2" x14ac:dyDescent="0.25">
      <c r="A4732" s="1"/>
      <c r="B4732" s="1"/>
      <c r="C4732" s="1"/>
      <c r="D4732" s="1"/>
      <c r="E4732" s="1"/>
      <c r="F4732" s="1"/>
      <c r="G4732" s="1"/>
      <c r="H4732" s="1"/>
    </row>
    <row r="4733" spans="1:8" ht="13.2" x14ac:dyDescent="0.25">
      <c r="A4733" s="1"/>
      <c r="B4733" s="1"/>
      <c r="C4733" s="1"/>
      <c r="D4733" s="1"/>
      <c r="E4733" s="1"/>
      <c r="F4733" s="1"/>
      <c r="G4733" s="1"/>
      <c r="H4733" s="1"/>
    </row>
    <row r="4734" spans="1:8" ht="13.2" x14ac:dyDescent="0.25">
      <c r="A4734" s="1"/>
      <c r="B4734" s="1"/>
      <c r="C4734" s="1"/>
      <c r="D4734" s="1"/>
      <c r="E4734" s="1"/>
      <c r="F4734" s="1"/>
      <c r="G4734" s="1"/>
      <c r="H4734" s="1"/>
    </row>
    <row r="4735" spans="1:8" ht="13.2" x14ac:dyDescent="0.25">
      <c r="A4735" s="1"/>
      <c r="B4735" s="1"/>
      <c r="C4735" s="1"/>
      <c r="D4735" s="1"/>
      <c r="E4735" s="1"/>
      <c r="F4735" s="1"/>
      <c r="G4735" s="1"/>
      <c r="H4735" s="1"/>
    </row>
    <row r="4736" spans="1:8" ht="13.2" x14ac:dyDescent="0.25">
      <c r="A4736" s="1"/>
      <c r="B4736" s="1"/>
      <c r="C4736" s="1"/>
      <c r="D4736" s="1"/>
      <c r="E4736" s="1"/>
      <c r="F4736" s="1"/>
      <c r="G4736" s="1"/>
      <c r="H4736" s="1"/>
    </row>
    <row r="4737" spans="1:8" ht="13.2" x14ac:dyDescent="0.25">
      <c r="A4737" s="1"/>
      <c r="B4737" s="1"/>
      <c r="C4737" s="1"/>
      <c r="D4737" s="1"/>
      <c r="E4737" s="1"/>
      <c r="F4737" s="1"/>
      <c r="G4737" s="1"/>
      <c r="H4737" s="1"/>
    </row>
    <row r="4738" spans="1:8" ht="13.2" x14ac:dyDescent="0.25">
      <c r="A4738" s="1"/>
      <c r="B4738" s="1"/>
      <c r="C4738" s="1"/>
      <c r="D4738" s="1"/>
      <c r="E4738" s="1"/>
      <c r="F4738" s="1"/>
      <c r="G4738" s="1"/>
      <c r="H4738" s="1"/>
    </row>
    <row r="4739" spans="1:8" ht="13.2" x14ac:dyDescent="0.25">
      <c r="A4739" s="1"/>
      <c r="B4739" s="1"/>
      <c r="C4739" s="1"/>
      <c r="D4739" s="1"/>
      <c r="E4739" s="1"/>
      <c r="F4739" s="1"/>
      <c r="G4739" s="1"/>
      <c r="H4739" s="1"/>
    </row>
    <row r="4740" spans="1:8" ht="13.2" x14ac:dyDescent="0.25">
      <c r="A4740" s="1"/>
      <c r="B4740" s="1"/>
      <c r="C4740" s="1"/>
      <c r="D4740" s="1"/>
      <c r="E4740" s="1"/>
      <c r="F4740" s="1"/>
      <c r="G4740" s="1"/>
      <c r="H4740" s="1"/>
    </row>
    <row r="4741" spans="1:8" ht="13.2" x14ac:dyDescent="0.25">
      <c r="A4741" s="1"/>
      <c r="B4741" s="1"/>
      <c r="C4741" s="1"/>
      <c r="D4741" s="1"/>
      <c r="E4741" s="1"/>
      <c r="F4741" s="1"/>
      <c r="G4741" s="1"/>
      <c r="H4741" s="1"/>
    </row>
    <row r="4742" spans="1:8" ht="13.2" x14ac:dyDescent="0.25">
      <c r="A4742" s="1"/>
      <c r="B4742" s="1"/>
      <c r="C4742" s="1"/>
      <c r="D4742" s="1"/>
      <c r="E4742" s="1"/>
      <c r="F4742" s="1"/>
      <c r="G4742" s="1"/>
      <c r="H4742" s="1"/>
    </row>
    <row r="4743" spans="1:8" ht="13.2" x14ac:dyDescent="0.25">
      <c r="A4743" s="1"/>
      <c r="B4743" s="1"/>
      <c r="C4743" s="1"/>
      <c r="D4743" s="1"/>
      <c r="E4743" s="1"/>
      <c r="F4743" s="1"/>
      <c r="G4743" s="1"/>
      <c r="H4743" s="1"/>
    </row>
    <row r="4744" spans="1:8" ht="13.2" x14ac:dyDescent="0.25">
      <c r="A4744" s="1"/>
      <c r="B4744" s="1"/>
      <c r="C4744" s="1"/>
      <c r="D4744" s="1"/>
      <c r="E4744" s="1"/>
      <c r="F4744" s="1"/>
      <c r="G4744" s="1"/>
      <c r="H4744" s="1"/>
    </row>
    <row r="4745" spans="1:8" ht="13.2" x14ac:dyDescent="0.25">
      <c r="A4745" s="1"/>
      <c r="B4745" s="1"/>
      <c r="C4745" s="1"/>
      <c r="D4745" s="1"/>
      <c r="E4745" s="1"/>
      <c r="F4745" s="1"/>
      <c r="G4745" s="1"/>
      <c r="H4745" s="1"/>
    </row>
    <row r="4746" spans="1:8" ht="13.2" x14ac:dyDescent="0.25">
      <c r="A4746" s="1"/>
      <c r="B4746" s="1"/>
      <c r="C4746" s="1"/>
      <c r="D4746" s="1"/>
      <c r="E4746" s="1"/>
      <c r="F4746" s="1"/>
      <c r="G4746" s="1"/>
      <c r="H4746" s="1"/>
    </row>
    <row r="4747" spans="1:8" ht="13.2" x14ac:dyDescent="0.25">
      <c r="A4747" s="1"/>
      <c r="B4747" s="1"/>
      <c r="C4747" s="1"/>
      <c r="D4747" s="1"/>
      <c r="E4747" s="1"/>
      <c r="F4747" s="1"/>
      <c r="G4747" s="1"/>
      <c r="H4747" s="1"/>
    </row>
    <row r="4748" spans="1:8" ht="13.2" x14ac:dyDescent="0.25">
      <c r="A4748" s="1"/>
      <c r="B4748" s="1"/>
      <c r="C4748" s="1"/>
      <c r="D4748" s="1"/>
      <c r="E4748" s="1"/>
      <c r="F4748" s="1"/>
      <c r="G4748" s="1"/>
      <c r="H4748" s="1"/>
    </row>
    <row r="4749" spans="1:8" ht="13.2" x14ac:dyDescent="0.25">
      <c r="A4749" s="1"/>
      <c r="B4749" s="1"/>
      <c r="C4749" s="1"/>
      <c r="D4749" s="1"/>
      <c r="E4749" s="1"/>
      <c r="F4749" s="1"/>
      <c r="G4749" s="1"/>
      <c r="H4749" s="1"/>
    </row>
    <row r="4750" spans="1:8" ht="13.2" x14ac:dyDescent="0.25">
      <c r="A4750" s="1"/>
      <c r="B4750" s="1"/>
      <c r="C4750" s="1"/>
      <c r="D4750" s="1"/>
      <c r="E4750" s="1"/>
      <c r="F4750" s="1"/>
      <c r="G4750" s="1"/>
      <c r="H4750" s="1"/>
    </row>
    <row r="4751" spans="1:8" ht="13.2" x14ac:dyDescent="0.25">
      <c r="A4751" s="1"/>
      <c r="B4751" s="1"/>
      <c r="C4751" s="1"/>
      <c r="D4751" s="1"/>
      <c r="E4751" s="1"/>
      <c r="F4751" s="1"/>
      <c r="G4751" s="1"/>
      <c r="H4751" s="1"/>
    </row>
    <row r="4752" spans="1:8" ht="13.2" x14ac:dyDescent="0.25">
      <c r="A4752" s="1"/>
      <c r="B4752" s="1"/>
      <c r="C4752" s="1"/>
      <c r="D4752" s="1"/>
      <c r="E4752" s="1"/>
      <c r="F4752" s="1"/>
      <c r="G4752" s="1"/>
      <c r="H4752" s="1"/>
    </row>
    <row r="4753" spans="1:8" ht="13.2" x14ac:dyDescent="0.25">
      <c r="A4753" s="1"/>
      <c r="B4753" s="1"/>
      <c r="C4753" s="1"/>
      <c r="D4753" s="1"/>
      <c r="E4753" s="1"/>
      <c r="F4753" s="1"/>
      <c r="G4753" s="1"/>
      <c r="H4753" s="1"/>
    </row>
    <row r="4754" spans="1:8" ht="13.2" x14ac:dyDescent="0.25">
      <c r="A4754" s="1"/>
      <c r="B4754" s="1"/>
      <c r="C4754" s="1"/>
      <c r="D4754" s="1"/>
      <c r="E4754" s="1"/>
      <c r="F4754" s="1"/>
      <c r="G4754" s="1"/>
      <c r="H4754" s="1"/>
    </row>
    <row r="4755" spans="1:8" ht="13.2" x14ac:dyDescent="0.25">
      <c r="A4755" s="1"/>
      <c r="B4755" s="1"/>
      <c r="C4755" s="1"/>
      <c r="D4755" s="1"/>
      <c r="E4755" s="1"/>
      <c r="F4755" s="1"/>
      <c r="G4755" s="1"/>
      <c r="H4755" s="1"/>
    </row>
    <row r="4756" spans="1:8" ht="13.2" x14ac:dyDescent="0.25">
      <c r="A4756" s="1"/>
      <c r="B4756" s="1"/>
      <c r="C4756" s="1"/>
      <c r="D4756" s="1"/>
      <c r="E4756" s="1"/>
      <c r="F4756" s="1"/>
      <c r="G4756" s="1"/>
      <c r="H4756" s="1"/>
    </row>
    <row r="4757" spans="1:8" ht="13.2" x14ac:dyDescent="0.25">
      <c r="A4757" s="1"/>
      <c r="B4757" s="1"/>
      <c r="C4757" s="1"/>
      <c r="D4757" s="1"/>
      <c r="E4757" s="1"/>
      <c r="F4757" s="1"/>
      <c r="G4757" s="1"/>
      <c r="H4757" s="1"/>
    </row>
    <row r="4758" spans="1:8" ht="13.2" x14ac:dyDescent="0.25">
      <c r="A4758" s="1"/>
      <c r="B4758" s="1"/>
      <c r="C4758" s="1"/>
      <c r="D4758" s="1"/>
      <c r="E4758" s="1"/>
      <c r="F4758" s="1"/>
      <c r="G4758" s="1"/>
      <c r="H4758" s="1"/>
    </row>
    <row r="4759" spans="1:8" ht="13.2" x14ac:dyDescent="0.25">
      <c r="A4759" s="1"/>
      <c r="B4759" s="1"/>
      <c r="C4759" s="1"/>
      <c r="D4759" s="1"/>
      <c r="E4759" s="1"/>
      <c r="F4759" s="1"/>
      <c r="G4759" s="1"/>
      <c r="H4759" s="1"/>
    </row>
    <row r="4760" spans="1:8" ht="13.2" x14ac:dyDescent="0.25">
      <c r="A4760" s="1"/>
      <c r="B4760" s="1"/>
      <c r="C4760" s="1"/>
      <c r="D4760" s="1"/>
      <c r="E4760" s="1"/>
      <c r="F4760" s="1"/>
      <c r="G4760" s="1"/>
      <c r="H4760" s="1"/>
    </row>
    <row r="4761" spans="1:8" ht="13.2" x14ac:dyDescent="0.25">
      <c r="A4761" s="1"/>
      <c r="B4761" s="1"/>
      <c r="C4761" s="1"/>
      <c r="D4761" s="1"/>
      <c r="E4761" s="1"/>
      <c r="F4761" s="1"/>
      <c r="G4761" s="1"/>
      <c r="H4761" s="1"/>
    </row>
    <row r="4762" spans="1:8" ht="13.2" x14ac:dyDescent="0.25">
      <c r="A4762" s="1"/>
      <c r="B4762" s="1"/>
      <c r="C4762" s="1"/>
      <c r="D4762" s="1"/>
      <c r="E4762" s="1"/>
      <c r="F4762" s="1"/>
      <c r="G4762" s="1"/>
      <c r="H4762" s="1"/>
    </row>
    <row r="4763" spans="1:8" ht="13.2" x14ac:dyDescent="0.25">
      <c r="A4763" s="1"/>
      <c r="B4763" s="1"/>
      <c r="C4763" s="1"/>
      <c r="D4763" s="1"/>
      <c r="E4763" s="1"/>
      <c r="F4763" s="1"/>
      <c r="G4763" s="1"/>
      <c r="H4763" s="1"/>
    </row>
    <row r="4764" spans="1:8" ht="13.2" x14ac:dyDescent="0.25">
      <c r="A4764" s="1"/>
      <c r="B4764" s="1"/>
      <c r="C4764" s="1"/>
      <c r="D4764" s="1"/>
      <c r="E4764" s="1"/>
      <c r="F4764" s="1"/>
      <c r="G4764" s="1"/>
      <c r="H4764" s="1"/>
    </row>
    <row r="4765" spans="1:8" ht="13.2" x14ac:dyDescent="0.25">
      <c r="A4765" s="1"/>
      <c r="B4765" s="1"/>
      <c r="C4765" s="1"/>
      <c r="D4765" s="1"/>
      <c r="E4765" s="1"/>
      <c r="F4765" s="1"/>
      <c r="G4765" s="1"/>
      <c r="H4765" s="1"/>
    </row>
    <row r="4766" spans="1:8" ht="13.2" x14ac:dyDescent="0.25">
      <c r="A4766" s="1"/>
      <c r="B4766" s="1"/>
      <c r="C4766" s="1"/>
      <c r="D4766" s="1"/>
      <c r="E4766" s="1"/>
      <c r="F4766" s="1"/>
      <c r="G4766" s="1"/>
      <c r="H4766" s="1"/>
    </row>
    <row r="4767" spans="1:8" ht="13.2" x14ac:dyDescent="0.25">
      <c r="A4767" s="1"/>
      <c r="B4767" s="1"/>
      <c r="C4767" s="1"/>
      <c r="D4767" s="1"/>
      <c r="E4767" s="1"/>
      <c r="F4767" s="1"/>
      <c r="G4767" s="1"/>
      <c r="H4767" s="1"/>
    </row>
    <row r="4768" spans="1:8" ht="13.2" x14ac:dyDescent="0.25">
      <c r="A4768" s="1"/>
      <c r="B4768" s="1"/>
      <c r="C4768" s="1"/>
      <c r="D4768" s="1"/>
      <c r="E4768" s="1"/>
      <c r="F4768" s="1"/>
      <c r="G4768" s="1"/>
      <c r="H4768" s="1"/>
    </row>
    <row r="4769" spans="1:8" ht="13.2" x14ac:dyDescent="0.25">
      <c r="A4769" s="1"/>
      <c r="B4769" s="1"/>
      <c r="C4769" s="1"/>
      <c r="D4769" s="1"/>
      <c r="E4769" s="1"/>
      <c r="F4769" s="1"/>
      <c r="G4769" s="1"/>
      <c r="H4769" s="1"/>
    </row>
    <row r="4770" spans="1:8" ht="13.2" x14ac:dyDescent="0.25">
      <c r="A4770" s="1"/>
      <c r="B4770" s="1"/>
      <c r="C4770" s="1"/>
      <c r="D4770" s="1"/>
      <c r="E4770" s="1"/>
      <c r="F4770" s="1"/>
      <c r="G4770" s="1"/>
      <c r="H4770" s="1"/>
    </row>
    <row r="4771" spans="1:8" ht="13.2" x14ac:dyDescent="0.25">
      <c r="A4771" s="1"/>
      <c r="B4771" s="1"/>
      <c r="C4771" s="1"/>
      <c r="D4771" s="1"/>
      <c r="E4771" s="1"/>
      <c r="F4771" s="1"/>
      <c r="G4771" s="1"/>
      <c r="H4771" s="1"/>
    </row>
    <row r="4772" spans="1:8" ht="13.2" x14ac:dyDescent="0.25">
      <c r="A4772" s="1"/>
      <c r="B4772" s="1"/>
      <c r="C4772" s="1"/>
      <c r="D4772" s="1"/>
      <c r="E4772" s="1"/>
      <c r="F4772" s="1"/>
      <c r="G4772" s="1"/>
      <c r="H4772" s="1"/>
    </row>
    <row r="4773" spans="1:8" ht="13.2" x14ac:dyDescent="0.25">
      <c r="A4773" s="1"/>
      <c r="B4773" s="1"/>
      <c r="C4773" s="1"/>
      <c r="D4773" s="1"/>
      <c r="E4773" s="1"/>
      <c r="F4773" s="1"/>
      <c r="G4773" s="1"/>
      <c r="H4773" s="1"/>
    </row>
    <row r="4774" spans="1:8" ht="13.2" x14ac:dyDescent="0.25">
      <c r="A4774" s="1"/>
      <c r="B4774" s="1"/>
      <c r="C4774" s="1"/>
      <c r="D4774" s="1"/>
      <c r="E4774" s="1"/>
      <c r="F4774" s="1"/>
      <c r="G4774" s="1"/>
      <c r="H4774" s="1"/>
    </row>
    <row r="4775" spans="1:8" ht="13.2" x14ac:dyDescent="0.25">
      <c r="A4775" s="1"/>
      <c r="B4775" s="1"/>
      <c r="C4775" s="1"/>
      <c r="D4775" s="1"/>
      <c r="E4775" s="1"/>
      <c r="F4775" s="1"/>
      <c r="G4775" s="1"/>
      <c r="H4775" s="1"/>
    </row>
    <row r="4776" spans="1:8" ht="13.2" x14ac:dyDescent="0.25">
      <c r="A4776" s="1"/>
      <c r="B4776" s="1"/>
      <c r="C4776" s="1"/>
      <c r="D4776" s="1"/>
      <c r="E4776" s="1"/>
      <c r="F4776" s="1"/>
      <c r="G4776" s="1"/>
      <c r="H4776" s="1"/>
    </row>
    <row r="4777" spans="1:8" ht="13.2" x14ac:dyDescent="0.25">
      <c r="A4777" s="1"/>
      <c r="B4777" s="1"/>
      <c r="C4777" s="1"/>
      <c r="D4777" s="1"/>
      <c r="E4777" s="1"/>
      <c r="F4777" s="1"/>
      <c r="G4777" s="1"/>
      <c r="H4777" s="1"/>
    </row>
    <row r="4778" spans="1:8" ht="13.2" x14ac:dyDescent="0.25">
      <c r="A4778" s="1"/>
      <c r="B4778" s="1"/>
      <c r="C4778" s="1"/>
      <c r="D4778" s="1"/>
      <c r="E4778" s="1"/>
      <c r="F4778" s="1"/>
      <c r="G4778" s="1"/>
      <c r="H4778" s="1"/>
    </row>
    <row r="4779" spans="1:8" ht="13.2" x14ac:dyDescent="0.25">
      <c r="A4779" s="1"/>
      <c r="B4779" s="1"/>
      <c r="C4779" s="1"/>
      <c r="D4779" s="1"/>
      <c r="E4779" s="1"/>
      <c r="F4779" s="1"/>
      <c r="G4779" s="1"/>
      <c r="H4779" s="1"/>
    </row>
    <row r="4780" spans="1:8" ht="13.2" x14ac:dyDescent="0.25">
      <c r="A4780" s="1"/>
      <c r="B4780" s="1"/>
      <c r="C4780" s="1"/>
      <c r="D4780" s="1"/>
      <c r="E4780" s="1"/>
      <c r="F4780" s="1"/>
      <c r="G4780" s="1"/>
      <c r="H4780" s="1"/>
    </row>
    <row r="4781" spans="1:8" ht="13.2" x14ac:dyDescent="0.25">
      <c r="A4781" s="1"/>
      <c r="B4781" s="1"/>
      <c r="C4781" s="1"/>
      <c r="D4781" s="1"/>
      <c r="E4781" s="1"/>
      <c r="F4781" s="1"/>
      <c r="G4781" s="1"/>
      <c r="H4781" s="1"/>
    </row>
    <row r="4782" spans="1:8" ht="13.2" x14ac:dyDescent="0.25">
      <c r="A4782" s="1"/>
      <c r="B4782" s="1"/>
      <c r="C4782" s="1"/>
      <c r="D4782" s="1"/>
      <c r="E4782" s="1"/>
      <c r="F4782" s="1"/>
      <c r="G4782" s="1"/>
      <c r="H4782" s="1"/>
    </row>
    <row r="4783" spans="1:8" ht="13.2" x14ac:dyDescent="0.25">
      <c r="A4783" s="1"/>
      <c r="B4783" s="1"/>
      <c r="C4783" s="1"/>
      <c r="D4783" s="1"/>
      <c r="E4783" s="1"/>
      <c r="F4783" s="1"/>
      <c r="G4783" s="1"/>
      <c r="H4783" s="1"/>
    </row>
    <row r="4784" spans="1:8" ht="13.2" x14ac:dyDescent="0.25">
      <c r="A4784" s="1"/>
      <c r="B4784" s="1"/>
      <c r="C4784" s="1"/>
      <c r="D4784" s="1"/>
      <c r="E4784" s="1"/>
      <c r="F4784" s="1"/>
      <c r="G4784" s="1"/>
      <c r="H4784" s="1"/>
    </row>
    <row r="4785" spans="1:8" ht="13.2" x14ac:dyDescent="0.25">
      <c r="A4785" s="1"/>
      <c r="B4785" s="1"/>
      <c r="C4785" s="1"/>
      <c r="D4785" s="1"/>
      <c r="E4785" s="1"/>
      <c r="F4785" s="1"/>
      <c r="G4785" s="1"/>
      <c r="H4785" s="1"/>
    </row>
    <row r="4786" spans="1:8" ht="13.2" x14ac:dyDescent="0.25">
      <c r="A4786" s="1"/>
      <c r="B4786" s="1"/>
      <c r="C4786" s="1"/>
      <c r="D4786" s="1"/>
      <c r="E4786" s="1"/>
      <c r="F4786" s="1"/>
      <c r="G4786" s="1"/>
      <c r="H4786" s="1"/>
    </row>
    <row r="4787" spans="1:8" ht="13.2" x14ac:dyDescent="0.25">
      <c r="A4787" s="1"/>
      <c r="B4787" s="1"/>
      <c r="C4787" s="1"/>
      <c r="D4787" s="1"/>
      <c r="E4787" s="1"/>
      <c r="F4787" s="1"/>
      <c r="G4787" s="1"/>
      <c r="H4787" s="1"/>
    </row>
    <row r="4788" spans="1:8" ht="13.2" x14ac:dyDescent="0.25">
      <c r="A4788" s="1"/>
      <c r="B4788" s="1"/>
      <c r="C4788" s="1"/>
      <c r="D4788" s="1"/>
      <c r="E4788" s="1"/>
      <c r="F4788" s="1"/>
      <c r="G4788" s="1"/>
      <c r="H4788" s="1"/>
    </row>
    <row r="4789" spans="1:8" ht="13.2" x14ac:dyDescent="0.25">
      <c r="A4789" s="1"/>
      <c r="B4789" s="1"/>
      <c r="C4789" s="1"/>
      <c r="D4789" s="1"/>
      <c r="E4789" s="1"/>
      <c r="F4789" s="1"/>
      <c r="G4789" s="1"/>
      <c r="H4789" s="1"/>
    </row>
    <row r="4790" spans="1:8" ht="13.2" x14ac:dyDescent="0.25">
      <c r="A4790" s="1"/>
      <c r="B4790" s="1"/>
      <c r="C4790" s="1"/>
      <c r="D4790" s="1"/>
      <c r="E4790" s="1"/>
      <c r="F4790" s="1"/>
      <c r="G4790" s="1"/>
      <c r="H4790" s="1"/>
    </row>
    <row r="4791" spans="1:8" ht="13.2" x14ac:dyDescent="0.25">
      <c r="A4791" s="1"/>
      <c r="B4791" s="1"/>
      <c r="C4791" s="1"/>
      <c r="D4791" s="1"/>
      <c r="E4791" s="1"/>
      <c r="F4791" s="1"/>
      <c r="G4791" s="1"/>
      <c r="H4791" s="1"/>
    </row>
    <row r="4792" spans="1:8" ht="13.2" x14ac:dyDescent="0.25">
      <c r="A4792" s="1"/>
      <c r="B4792" s="1"/>
      <c r="C4792" s="1"/>
      <c r="D4792" s="1"/>
      <c r="E4792" s="1"/>
      <c r="F4792" s="1"/>
      <c r="G4792" s="3"/>
      <c r="H4792" s="1"/>
    </row>
    <row r="4793" spans="1:8" ht="13.2" x14ac:dyDescent="0.25">
      <c r="A4793" s="1"/>
      <c r="B4793" s="1"/>
      <c r="C4793" s="1"/>
      <c r="D4793" s="1"/>
      <c r="E4793" s="1"/>
      <c r="F4793" s="1"/>
      <c r="G4793" s="1"/>
      <c r="H4793" s="1"/>
    </row>
    <row r="4794" spans="1:8" ht="13.2" x14ac:dyDescent="0.25">
      <c r="A4794" s="1"/>
      <c r="B4794" s="1"/>
      <c r="C4794" s="1"/>
      <c r="D4794" s="1"/>
      <c r="E4794" s="1"/>
      <c r="F4794" s="1"/>
      <c r="G4794" s="1"/>
      <c r="H4794" s="1"/>
    </row>
    <row r="4795" spans="1:8" ht="13.2" x14ac:dyDescent="0.25">
      <c r="A4795" s="1"/>
      <c r="B4795" s="1"/>
      <c r="C4795" s="1"/>
      <c r="D4795" s="1"/>
      <c r="E4795" s="1"/>
      <c r="F4795" s="1"/>
      <c r="G4795" s="1"/>
      <c r="H4795" s="1"/>
    </row>
    <row r="4796" spans="1:8" ht="13.2" x14ac:dyDescent="0.25">
      <c r="A4796" s="1"/>
      <c r="B4796" s="1"/>
      <c r="C4796" s="1"/>
      <c r="D4796" s="1"/>
      <c r="E4796" s="1"/>
      <c r="F4796" s="1"/>
      <c r="G4796" s="1"/>
      <c r="H4796" s="1"/>
    </row>
    <row r="4797" spans="1:8" ht="13.2" x14ac:dyDescent="0.25">
      <c r="A4797" s="1"/>
      <c r="B4797" s="1"/>
      <c r="C4797" s="1"/>
      <c r="D4797" s="1"/>
      <c r="E4797" s="1"/>
      <c r="F4797" s="1"/>
      <c r="G4797" s="1"/>
      <c r="H4797" s="1"/>
    </row>
    <row r="4798" spans="1:8" ht="13.2" x14ac:dyDescent="0.25">
      <c r="A4798" s="1"/>
      <c r="B4798" s="1"/>
      <c r="C4798" s="1"/>
      <c r="D4798" s="1"/>
      <c r="E4798" s="1"/>
      <c r="F4798" s="1"/>
      <c r="G4798" s="1"/>
      <c r="H4798" s="1"/>
    </row>
    <row r="4799" spans="1:8" ht="13.2" x14ac:dyDescent="0.25">
      <c r="A4799" s="1"/>
      <c r="B4799" s="1"/>
      <c r="C4799" s="1"/>
      <c r="D4799" s="1"/>
      <c r="E4799" s="1"/>
      <c r="F4799" s="1"/>
      <c r="G4799" s="1"/>
      <c r="H4799" s="1"/>
    </row>
    <row r="4800" spans="1:8" ht="13.2" x14ac:dyDescent="0.25">
      <c r="A4800" s="1"/>
      <c r="B4800" s="1"/>
      <c r="C4800" s="1"/>
      <c r="D4800" s="1"/>
      <c r="E4800" s="1"/>
      <c r="F4800" s="1"/>
      <c r="G4800" s="1"/>
      <c r="H4800" s="1"/>
    </row>
    <row r="4801" spans="1:8" ht="13.2" x14ac:dyDescent="0.25">
      <c r="A4801" s="1"/>
      <c r="B4801" s="1"/>
      <c r="C4801" s="1"/>
      <c r="D4801" s="1"/>
      <c r="E4801" s="1"/>
      <c r="F4801" s="1"/>
      <c r="G4801" s="1"/>
      <c r="H4801" s="1"/>
    </row>
    <row r="4802" spans="1:8" ht="13.2" x14ac:dyDescent="0.25">
      <c r="A4802" s="1"/>
      <c r="B4802" s="1"/>
      <c r="C4802" s="1"/>
      <c r="D4802" s="1"/>
      <c r="E4802" s="1"/>
      <c r="F4802" s="1"/>
      <c r="G4802" s="1"/>
      <c r="H4802" s="1"/>
    </row>
    <row r="4803" spans="1:8" ht="13.2" x14ac:dyDescent="0.25">
      <c r="A4803" s="1"/>
      <c r="B4803" s="1"/>
      <c r="C4803" s="1"/>
      <c r="D4803" s="1"/>
      <c r="E4803" s="1"/>
      <c r="F4803" s="1"/>
      <c r="G4803" s="1"/>
      <c r="H4803" s="1"/>
    </row>
    <row r="4804" spans="1:8" ht="13.2" x14ac:dyDescent="0.25">
      <c r="A4804" s="1"/>
      <c r="B4804" s="1"/>
      <c r="C4804" s="1"/>
      <c r="D4804" s="1"/>
      <c r="E4804" s="1"/>
      <c r="F4804" s="1"/>
      <c r="G4804" s="1"/>
      <c r="H4804" s="1"/>
    </row>
    <row r="4805" spans="1:8" ht="13.2" x14ac:dyDescent="0.25">
      <c r="A4805" s="1"/>
      <c r="B4805" s="1"/>
      <c r="C4805" s="1"/>
      <c r="D4805" s="1"/>
      <c r="E4805" s="1"/>
      <c r="F4805" s="1"/>
      <c r="G4805" s="1"/>
      <c r="H4805" s="1"/>
    </row>
    <row r="4806" spans="1:8" ht="13.2" x14ac:dyDescent="0.25">
      <c r="A4806" s="1"/>
      <c r="B4806" s="1"/>
      <c r="C4806" s="1"/>
      <c r="D4806" s="1"/>
      <c r="E4806" s="1"/>
      <c r="F4806" s="1"/>
      <c r="G4806" s="1"/>
      <c r="H4806" s="1"/>
    </row>
    <row r="4807" spans="1:8" ht="13.2" x14ac:dyDescent="0.25">
      <c r="A4807" s="1"/>
      <c r="B4807" s="1"/>
      <c r="C4807" s="1"/>
      <c r="D4807" s="1"/>
      <c r="E4807" s="1"/>
      <c r="F4807" s="1"/>
      <c r="G4807" s="3"/>
      <c r="H4807" s="1"/>
    </row>
    <row r="4808" spans="1:8" ht="13.2" x14ac:dyDescent="0.25">
      <c r="A4808" s="1"/>
      <c r="B4808" s="1"/>
      <c r="C4808" s="1"/>
      <c r="D4808" s="1"/>
      <c r="E4808" s="1"/>
      <c r="F4808" s="1"/>
      <c r="G4808" s="3"/>
      <c r="H4808" s="1"/>
    </row>
    <row r="4809" spans="1:8" ht="13.2" x14ac:dyDescent="0.25">
      <c r="A4809" s="1"/>
      <c r="B4809" s="1"/>
      <c r="C4809" s="1"/>
      <c r="D4809" s="1"/>
      <c r="E4809" s="1"/>
      <c r="F4809" s="1"/>
      <c r="G4809" s="3"/>
      <c r="H4809" s="1"/>
    </row>
    <row r="4810" spans="1:8" ht="13.2" x14ac:dyDescent="0.25">
      <c r="A4810" s="1"/>
      <c r="B4810" s="1"/>
      <c r="C4810" s="1"/>
      <c r="D4810" s="1"/>
      <c r="E4810" s="1"/>
      <c r="F4810" s="1"/>
      <c r="G4810" s="3"/>
      <c r="H4810" s="1"/>
    </row>
    <row r="4811" spans="1:8" ht="13.2" x14ac:dyDescent="0.25">
      <c r="A4811" s="1"/>
      <c r="B4811" s="1"/>
      <c r="C4811" s="1"/>
      <c r="D4811" s="1"/>
      <c r="E4811" s="1"/>
      <c r="F4811" s="1"/>
      <c r="G4811" s="3"/>
      <c r="H4811" s="1"/>
    </row>
    <row r="4812" spans="1:8" ht="13.2" x14ac:dyDescent="0.25">
      <c r="A4812" s="1"/>
      <c r="B4812" s="1"/>
      <c r="C4812" s="1"/>
      <c r="D4812" s="1"/>
      <c r="E4812" s="1"/>
      <c r="F4812" s="1"/>
      <c r="G4812" s="3"/>
      <c r="H4812" s="1"/>
    </row>
    <row r="4813" spans="1:8" ht="13.2" x14ac:dyDescent="0.25">
      <c r="A4813" s="1"/>
      <c r="B4813" s="1"/>
      <c r="C4813" s="1"/>
      <c r="D4813" s="1"/>
      <c r="E4813" s="1"/>
      <c r="F4813" s="1"/>
      <c r="G4813" s="3"/>
      <c r="H4813" s="1"/>
    </row>
    <row r="4814" spans="1:8" ht="13.2" x14ac:dyDescent="0.25">
      <c r="A4814" s="1"/>
      <c r="B4814" s="1"/>
      <c r="C4814" s="1"/>
      <c r="D4814" s="1"/>
      <c r="E4814" s="1"/>
      <c r="F4814" s="1"/>
      <c r="G4814" s="3"/>
      <c r="H4814" s="1"/>
    </row>
    <row r="4815" spans="1:8" ht="13.2" x14ac:dyDescent="0.25">
      <c r="A4815" s="1"/>
      <c r="B4815" s="1"/>
      <c r="C4815" s="1"/>
      <c r="D4815" s="1"/>
      <c r="E4815" s="1"/>
      <c r="F4815" s="1"/>
      <c r="G4815" s="3"/>
      <c r="H4815" s="1"/>
    </row>
    <row r="4816" spans="1:8" ht="13.2" x14ac:dyDescent="0.25">
      <c r="A4816" s="1"/>
      <c r="B4816" s="1"/>
      <c r="C4816" s="1"/>
      <c r="D4816" s="1"/>
      <c r="E4816" s="1"/>
      <c r="F4816" s="1"/>
      <c r="G4816" s="3"/>
      <c r="H4816" s="1"/>
    </row>
    <row r="4817" spans="1:8" ht="13.2" x14ac:dyDescent="0.25">
      <c r="A4817" s="1"/>
      <c r="B4817" s="1"/>
      <c r="C4817" s="1"/>
      <c r="D4817" s="1"/>
      <c r="E4817" s="1"/>
      <c r="F4817" s="1"/>
      <c r="G4817" s="1"/>
      <c r="H4817" s="1"/>
    </row>
    <row r="4818" spans="1:8" ht="13.2" x14ac:dyDescent="0.25">
      <c r="A4818" s="1"/>
      <c r="B4818" s="1"/>
      <c r="C4818" s="1"/>
      <c r="D4818" s="1"/>
      <c r="E4818" s="1"/>
      <c r="F4818" s="1"/>
      <c r="G4818" s="1"/>
      <c r="H4818" s="1"/>
    </row>
    <row r="4819" spans="1:8" ht="13.2" x14ac:dyDescent="0.25">
      <c r="A4819" s="1"/>
      <c r="B4819" s="1"/>
      <c r="C4819" s="1"/>
      <c r="D4819" s="1"/>
      <c r="E4819" s="1"/>
      <c r="F4819" s="1"/>
      <c r="G4819" s="1"/>
      <c r="H4819" s="1"/>
    </row>
    <row r="4820" spans="1:8" ht="13.2" x14ac:dyDescent="0.25">
      <c r="A4820" s="1"/>
      <c r="B4820" s="1"/>
      <c r="C4820" s="1"/>
      <c r="D4820" s="1"/>
      <c r="E4820" s="1"/>
      <c r="F4820" s="1"/>
      <c r="G4820" s="1"/>
      <c r="H4820" s="1"/>
    </row>
    <row r="4821" spans="1:8" ht="13.2" x14ac:dyDescent="0.25">
      <c r="A4821" s="1"/>
      <c r="B4821" s="1"/>
      <c r="C4821" s="1"/>
      <c r="D4821" s="1"/>
      <c r="E4821" s="1"/>
      <c r="F4821" s="1"/>
      <c r="G4821" s="1"/>
      <c r="H4821" s="1"/>
    </row>
    <row r="4822" spans="1:8" ht="13.2" x14ac:dyDescent="0.25">
      <c r="A4822" s="1"/>
      <c r="B4822" s="1"/>
      <c r="C4822" s="1"/>
      <c r="D4822" s="1"/>
      <c r="E4822" s="1"/>
      <c r="F4822" s="1"/>
      <c r="G4822" s="1"/>
      <c r="H4822" s="1"/>
    </row>
    <row r="4823" spans="1:8" ht="13.2" x14ac:dyDescent="0.25">
      <c r="A4823" s="1"/>
      <c r="B4823" s="1"/>
      <c r="C4823" s="1"/>
      <c r="D4823" s="1"/>
      <c r="E4823" s="1"/>
      <c r="F4823" s="1"/>
      <c r="G4823" s="1"/>
      <c r="H4823" s="1"/>
    </row>
    <row r="4824" spans="1:8" ht="13.2" x14ac:dyDescent="0.25">
      <c r="A4824" s="1"/>
      <c r="B4824" s="1"/>
      <c r="C4824" s="1"/>
      <c r="D4824" s="1"/>
      <c r="E4824" s="1"/>
      <c r="F4824" s="1"/>
      <c r="G4824" s="1"/>
      <c r="H4824" s="1"/>
    </row>
    <row r="4825" spans="1:8" ht="13.2" x14ac:dyDescent="0.25">
      <c r="A4825" s="1"/>
      <c r="B4825" s="1"/>
      <c r="C4825" s="1"/>
      <c r="D4825" s="1"/>
      <c r="E4825" s="1"/>
      <c r="F4825" s="1"/>
      <c r="G4825" s="1"/>
      <c r="H4825" s="1"/>
    </row>
    <row r="4826" spans="1:8" ht="13.2" x14ac:dyDescent="0.25">
      <c r="A4826" s="1"/>
      <c r="B4826" s="1"/>
      <c r="C4826" s="1"/>
      <c r="D4826" s="1"/>
      <c r="E4826" s="1"/>
      <c r="F4826" s="1"/>
      <c r="G4826" s="1"/>
      <c r="H4826" s="1"/>
    </row>
    <row r="4827" spans="1:8" ht="13.2" x14ac:dyDescent="0.25">
      <c r="A4827" s="1"/>
      <c r="B4827" s="1"/>
      <c r="C4827" s="1"/>
      <c r="D4827" s="1"/>
      <c r="E4827" s="1"/>
      <c r="F4827" s="1"/>
      <c r="G4827" s="1"/>
      <c r="H4827" s="1"/>
    </row>
    <row r="4828" spans="1:8" ht="13.2" x14ac:dyDescent="0.25">
      <c r="A4828" s="1"/>
      <c r="B4828" s="1"/>
      <c r="C4828" s="1"/>
      <c r="D4828" s="1"/>
      <c r="E4828" s="1"/>
      <c r="F4828" s="1"/>
      <c r="G4828" s="1"/>
      <c r="H4828" s="1"/>
    </row>
    <row r="4829" spans="1:8" ht="13.2" x14ac:dyDescent="0.25">
      <c r="A4829" s="1"/>
      <c r="B4829" s="1"/>
      <c r="C4829" s="1"/>
      <c r="D4829" s="1"/>
      <c r="E4829" s="1"/>
      <c r="F4829" s="1"/>
      <c r="G4829" s="1"/>
      <c r="H4829" s="1"/>
    </row>
    <row r="4830" spans="1:8" ht="13.2" x14ac:dyDescent="0.25">
      <c r="A4830" s="1"/>
      <c r="B4830" s="1"/>
      <c r="C4830" s="1"/>
      <c r="D4830" s="1"/>
      <c r="E4830" s="1"/>
      <c r="F4830" s="1"/>
      <c r="G4830" s="1"/>
      <c r="H4830" s="1"/>
    </row>
    <row r="4831" spans="1:8" ht="13.2" x14ac:dyDescent="0.25">
      <c r="A4831" s="1"/>
      <c r="B4831" s="1"/>
      <c r="C4831" s="1"/>
      <c r="D4831" s="1"/>
      <c r="E4831" s="1"/>
      <c r="F4831" s="1"/>
      <c r="G4831" s="1"/>
      <c r="H4831" s="1"/>
    </row>
    <row r="4832" spans="1:8" ht="13.2" x14ac:dyDescent="0.25">
      <c r="A4832" s="1"/>
      <c r="B4832" s="1"/>
      <c r="C4832" s="1"/>
      <c r="D4832" s="1"/>
      <c r="E4832" s="1"/>
      <c r="F4832" s="1"/>
      <c r="G4832" s="1"/>
      <c r="H4832" s="1"/>
    </row>
    <row r="4833" spans="1:8" ht="13.2" x14ac:dyDescent="0.25">
      <c r="A4833" s="1"/>
      <c r="B4833" s="1"/>
      <c r="C4833" s="1"/>
      <c r="D4833" s="1"/>
      <c r="E4833" s="1"/>
      <c r="F4833" s="1"/>
      <c r="G4833" s="1"/>
      <c r="H4833" s="1"/>
    </row>
    <row r="4834" spans="1:8" ht="13.2" x14ac:dyDescent="0.25">
      <c r="A4834" s="1"/>
      <c r="B4834" s="1"/>
      <c r="C4834" s="1"/>
      <c r="D4834" s="1"/>
      <c r="E4834" s="1"/>
      <c r="F4834" s="1"/>
      <c r="G4834" s="1"/>
      <c r="H4834" s="1"/>
    </row>
    <row r="4835" spans="1:8" ht="13.2" x14ac:dyDescent="0.25">
      <c r="A4835" s="1"/>
      <c r="B4835" s="1"/>
      <c r="C4835" s="1"/>
      <c r="D4835" s="1"/>
      <c r="E4835" s="1"/>
      <c r="F4835" s="1"/>
      <c r="G4835" s="1"/>
      <c r="H4835" s="1"/>
    </row>
    <row r="4836" spans="1:8" ht="13.2" x14ac:dyDescent="0.25">
      <c r="A4836" s="1"/>
      <c r="B4836" s="1"/>
      <c r="C4836" s="1"/>
      <c r="D4836" s="1"/>
      <c r="E4836" s="1"/>
      <c r="F4836" s="1"/>
      <c r="G4836" s="1"/>
      <c r="H4836" s="1"/>
    </row>
    <row r="4837" spans="1:8" ht="13.2" x14ac:dyDescent="0.25">
      <c r="A4837" s="1"/>
      <c r="B4837" s="1"/>
      <c r="C4837" s="1"/>
      <c r="D4837" s="1"/>
      <c r="E4837" s="1"/>
      <c r="F4837" s="1"/>
      <c r="G4837" s="1"/>
      <c r="H4837" s="1"/>
    </row>
    <row r="4838" spans="1:8" ht="13.2" x14ac:dyDescent="0.25">
      <c r="A4838" s="1"/>
      <c r="B4838" s="1"/>
      <c r="C4838" s="1"/>
      <c r="D4838" s="1"/>
      <c r="E4838" s="1"/>
      <c r="F4838" s="1"/>
      <c r="G4838" s="1"/>
      <c r="H4838" s="1"/>
    </row>
    <row r="4839" spans="1:8" ht="13.2" x14ac:dyDescent="0.25">
      <c r="A4839" s="1"/>
      <c r="B4839" s="1"/>
      <c r="C4839" s="1"/>
      <c r="D4839" s="1"/>
      <c r="E4839" s="1"/>
      <c r="F4839" s="1"/>
      <c r="G4839" s="1"/>
      <c r="H4839" s="1"/>
    </row>
    <row r="4840" spans="1:8" ht="13.2" x14ac:dyDescent="0.25">
      <c r="A4840" s="1"/>
      <c r="B4840" s="1"/>
      <c r="C4840" s="1"/>
      <c r="D4840" s="1"/>
      <c r="E4840" s="1"/>
      <c r="F4840" s="1"/>
      <c r="G4840" s="1"/>
      <c r="H4840" s="1"/>
    </row>
    <row r="4841" spans="1:8" ht="13.2" x14ac:dyDescent="0.25">
      <c r="A4841" s="1"/>
      <c r="B4841" s="1"/>
      <c r="C4841" s="1"/>
      <c r="D4841" s="1"/>
      <c r="E4841" s="1"/>
      <c r="F4841" s="1"/>
      <c r="G4841" s="1"/>
      <c r="H4841" s="1"/>
    </row>
    <row r="4842" spans="1:8" ht="13.2" x14ac:dyDescent="0.25">
      <c r="A4842" s="1"/>
      <c r="B4842" s="1"/>
      <c r="C4842" s="1"/>
      <c r="D4842" s="1"/>
      <c r="E4842" s="1"/>
      <c r="F4842" s="1"/>
      <c r="G4842" s="1"/>
      <c r="H4842" s="1"/>
    </row>
    <row r="4843" spans="1:8" ht="13.2" x14ac:dyDescent="0.25">
      <c r="A4843" s="1"/>
      <c r="B4843" s="1"/>
      <c r="C4843" s="1"/>
      <c r="D4843" s="1"/>
      <c r="E4843" s="1"/>
      <c r="F4843" s="1"/>
      <c r="G4843" s="1"/>
      <c r="H4843" s="1"/>
    </row>
    <row r="4844" spans="1:8" ht="13.2" x14ac:dyDescent="0.25">
      <c r="A4844" s="1"/>
      <c r="B4844" s="1"/>
      <c r="C4844" s="1"/>
      <c r="D4844" s="1"/>
      <c r="E4844" s="1"/>
      <c r="F4844" s="1"/>
      <c r="G4844" s="1"/>
      <c r="H4844" s="1"/>
    </row>
    <row r="4845" spans="1:8" ht="13.2" x14ac:dyDescent="0.25">
      <c r="A4845" s="1"/>
      <c r="B4845" s="1"/>
      <c r="C4845" s="1"/>
      <c r="D4845" s="1"/>
      <c r="E4845" s="1"/>
      <c r="F4845" s="1"/>
      <c r="G4845" s="1"/>
      <c r="H4845" s="1"/>
    </row>
    <row r="4846" spans="1:8" ht="13.2" x14ac:dyDescent="0.25">
      <c r="A4846" s="1"/>
      <c r="B4846" s="1"/>
      <c r="C4846" s="1"/>
      <c r="D4846" s="1"/>
      <c r="E4846" s="1"/>
      <c r="F4846" s="1"/>
      <c r="G4846" s="1"/>
      <c r="H4846" s="1"/>
    </row>
    <row r="4847" spans="1:8" ht="13.2" x14ac:dyDescent="0.25">
      <c r="A4847" s="1"/>
      <c r="B4847" s="1"/>
      <c r="C4847" s="1"/>
      <c r="D4847" s="1"/>
      <c r="E4847" s="1"/>
      <c r="F4847" s="1"/>
      <c r="G4847" s="1"/>
      <c r="H4847" s="1"/>
    </row>
    <row r="4848" spans="1:8" ht="13.2" x14ac:dyDescent="0.25">
      <c r="A4848" s="1"/>
      <c r="B4848" s="1"/>
      <c r="C4848" s="1"/>
      <c r="D4848" s="1"/>
      <c r="E4848" s="1"/>
      <c r="F4848" s="1"/>
      <c r="G4848" s="1"/>
      <c r="H4848" s="1"/>
    </row>
    <row r="4849" spans="1:8" ht="13.2" x14ac:dyDescent="0.25">
      <c r="A4849" s="1"/>
      <c r="B4849" s="1"/>
      <c r="C4849" s="1"/>
      <c r="D4849" s="1"/>
      <c r="E4849" s="1"/>
      <c r="F4849" s="1"/>
      <c r="G4849" s="1"/>
      <c r="H4849" s="1"/>
    </row>
    <row r="4850" spans="1:8" ht="13.2" x14ac:dyDescent="0.25">
      <c r="A4850" s="1"/>
      <c r="B4850" s="1"/>
      <c r="C4850" s="1"/>
      <c r="D4850" s="1"/>
      <c r="E4850" s="1"/>
      <c r="F4850" s="1"/>
      <c r="G4850" s="1"/>
      <c r="H4850" s="1"/>
    </row>
    <row r="4851" spans="1:8" ht="13.2" x14ac:dyDescent="0.25">
      <c r="A4851" s="1"/>
      <c r="B4851" s="1"/>
      <c r="C4851" s="1"/>
      <c r="D4851" s="1"/>
      <c r="E4851" s="1"/>
      <c r="F4851" s="1"/>
      <c r="G4851" s="1"/>
      <c r="H4851" s="1"/>
    </row>
    <row r="4852" spans="1:8" ht="13.2" x14ac:dyDescent="0.25">
      <c r="A4852" s="1"/>
      <c r="B4852" s="1"/>
      <c r="C4852" s="1"/>
      <c r="D4852" s="1"/>
      <c r="E4852" s="1"/>
      <c r="F4852" s="1"/>
      <c r="G4852" s="1"/>
      <c r="H4852" s="1"/>
    </row>
    <row r="4853" spans="1:8" ht="13.2" x14ac:dyDescent="0.25">
      <c r="A4853" s="1"/>
      <c r="B4853" s="1"/>
      <c r="C4853" s="1"/>
      <c r="D4853" s="1"/>
      <c r="E4853" s="1"/>
      <c r="F4853" s="1"/>
      <c r="G4853" s="1"/>
      <c r="H4853" s="1"/>
    </row>
    <row r="4854" spans="1:8" ht="13.2" x14ac:dyDescent="0.25">
      <c r="A4854" s="1"/>
      <c r="B4854" s="1"/>
      <c r="C4854" s="1"/>
      <c r="D4854" s="1"/>
      <c r="E4854" s="1"/>
      <c r="F4854" s="1"/>
      <c r="G4854" s="1"/>
      <c r="H4854" s="1"/>
    </row>
    <row r="4855" spans="1:8" ht="13.2" x14ac:dyDescent="0.25">
      <c r="A4855" s="1"/>
      <c r="B4855" s="1"/>
      <c r="C4855" s="1"/>
      <c r="D4855" s="1"/>
      <c r="E4855" s="1"/>
      <c r="F4855" s="1"/>
      <c r="G4855" s="1"/>
      <c r="H4855" s="1"/>
    </row>
    <row r="4856" spans="1:8" ht="13.2" x14ac:dyDescent="0.25">
      <c r="A4856" s="1"/>
      <c r="B4856" s="1"/>
      <c r="C4856" s="1"/>
      <c r="D4856" s="1"/>
      <c r="E4856" s="1"/>
      <c r="F4856" s="1"/>
      <c r="G4856" s="1"/>
      <c r="H4856" s="1"/>
    </row>
    <row r="4857" spans="1:8" ht="13.2" x14ac:dyDescent="0.25">
      <c r="A4857" s="1"/>
      <c r="B4857" s="1"/>
      <c r="C4857" s="1"/>
      <c r="D4857" s="1"/>
      <c r="E4857" s="1"/>
      <c r="F4857" s="1"/>
      <c r="G4857" s="1"/>
      <c r="H4857" s="1"/>
    </row>
    <row r="4858" spans="1:8" ht="13.2" x14ac:dyDescent="0.25">
      <c r="A4858" s="1"/>
      <c r="B4858" s="1"/>
      <c r="C4858" s="1"/>
      <c r="D4858" s="1"/>
      <c r="E4858" s="1"/>
      <c r="F4858" s="1"/>
      <c r="G4858" s="1"/>
      <c r="H4858" s="1"/>
    </row>
    <row r="4859" spans="1:8" ht="13.2" x14ac:dyDescent="0.25">
      <c r="A4859" s="1"/>
      <c r="B4859" s="1"/>
      <c r="C4859" s="1"/>
      <c r="D4859" s="1"/>
      <c r="E4859" s="1"/>
      <c r="F4859" s="1"/>
      <c r="G4859" s="1"/>
      <c r="H4859" s="1"/>
    </row>
    <row r="4860" spans="1:8" ht="13.2" x14ac:dyDescent="0.25">
      <c r="A4860" s="1"/>
      <c r="B4860" s="1"/>
      <c r="C4860" s="1"/>
      <c r="D4860" s="1"/>
      <c r="E4860" s="1"/>
      <c r="F4860" s="1"/>
      <c r="G4860" s="1"/>
      <c r="H4860" s="1"/>
    </row>
    <row r="4861" spans="1:8" ht="13.2" x14ac:dyDescent="0.25">
      <c r="A4861" s="1"/>
      <c r="B4861" s="1"/>
      <c r="C4861" s="1"/>
      <c r="D4861" s="1"/>
      <c r="E4861" s="1"/>
      <c r="F4861" s="1"/>
      <c r="G4861" s="1"/>
      <c r="H4861" s="1"/>
    </row>
    <row r="4862" spans="1:8" ht="13.2" x14ac:dyDescent="0.25">
      <c r="A4862" s="1"/>
      <c r="B4862" s="1"/>
      <c r="C4862" s="1"/>
      <c r="D4862" s="1"/>
      <c r="E4862" s="1"/>
      <c r="F4862" s="1"/>
      <c r="G4862" s="1"/>
      <c r="H4862" s="1"/>
    </row>
    <row r="4863" spans="1:8" ht="13.2" x14ac:dyDescent="0.25">
      <c r="A4863" s="1"/>
      <c r="B4863" s="1"/>
      <c r="C4863" s="1"/>
      <c r="D4863" s="1"/>
      <c r="E4863" s="1"/>
      <c r="F4863" s="1"/>
      <c r="G4863" s="1"/>
      <c r="H4863" s="1"/>
    </row>
    <row r="4864" spans="1:8" ht="13.2" x14ac:dyDescent="0.25">
      <c r="A4864" s="1"/>
      <c r="B4864" s="1"/>
      <c r="C4864" s="1"/>
      <c r="D4864" s="1"/>
      <c r="E4864" s="1"/>
      <c r="F4864" s="1"/>
      <c r="G4864" s="1"/>
      <c r="H4864" s="1"/>
    </row>
    <row r="4865" spans="1:8" ht="13.2" x14ac:dyDescent="0.25">
      <c r="A4865" s="1"/>
      <c r="B4865" s="1"/>
      <c r="C4865" s="1"/>
      <c r="D4865" s="1"/>
      <c r="E4865" s="1"/>
      <c r="F4865" s="1"/>
      <c r="G4865" s="1"/>
      <c r="H4865" s="1"/>
    </row>
    <row r="4866" spans="1:8" ht="13.2" x14ac:dyDescent="0.25">
      <c r="A4866" s="1"/>
      <c r="B4866" s="1"/>
      <c r="C4866" s="1"/>
      <c r="D4866" s="1"/>
      <c r="E4866" s="1"/>
      <c r="F4866" s="1"/>
      <c r="G4866" s="1"/>
      <c r="H4866" s="1"/>
    </row>
    <row r="4867" spans="1:8" ht="13.2" x14ac:dyDescent="0.25">
      <c r="A4867" s="1"/>
      <c r="B4867" s="1"/>
      <c r="C4867" s="1"/>
      <c r="D4867" s="1"/>
      <c r="E4867" s="1"/>
      <c r="F4867" s="1"/>
      <c r="G4867" s="1"/>
      <c r="H4867" s="1"/>
    </row>
    <row r="4868" spans="1:8" ht="13.2" x14ac:dyDescent="0.25">
      <c r="A4868" s="1"/>
      <c r="B4868" s="1"/>
      <c r="C4868" s="1"/>
      <c r="D4868" s="1"/>
      <c r="E4868" s="1"/>
      <c r="F4868" s="1"/>
      <c r="G4868" s="1"/>
      <c r="H4868" s="1"/>
    </row>
    <row r="4869" spans="1:8" ht="13.2" x14ac:dyDescent="0.25">
      <c r="A4869" s="1"/>
      <c r="B4869" s="1"/>
      <c r="C4869" s="1"/>
      <c r="D4869" s="1"/>
      <c r="E4869" s="1"/>
      <c r="F4869" s="1"/>
      <c r="G4869" s="1"/>
      <c r="H4869" s="1"/>
    </row>
    <row r="4870" spans="1:8" ht="13.2" x14ac:dyDescent="0.25">
      <c r="A4870" s="1"/>
      <c r="B4870" s="1"/>
      <c r="C4870" s="1"/>
      <c r="D4870" s="1"/>
      <c r="E4870" s="1"/>
      <c r="F4870" s="1"/>
      <c r="G4870" s="1"/>
      <c r="H4870" s="1"/>
    </row>
    <row r="4871" spans="1:8" ht="13.2" x14ac:dyDescent="0.25">
      <c r="A4871" s="1"/>
      <c r="B4871" s="1"/>
      <c r="C4871" s="1"/>
      <c r="D4871" s="1"/>
      <c r="E4871" s="1"/>
      <c r="F4871" s="1"/>
      <c r="G4871" s="1"/>
      <c r="H4871" s="1"/>
    </row>
    <row r="4872" spans="1:8" ht="13.2" x14ac:dyDescent="0.25">
      <c r="A4872" s="1"/>
      <c r="B4872" s="1"/>
      <c r="C4872" s="1"/>
      <c r="D4872" s="1"/>
      <c r="E4872" s="1"/>
      <c r="F4872" s="1"/>
      <c r="G4872" s="1"/>
      <c r="H4872" s="1"/>
    </row>
    <row r="4873" spans="1:8" ht="13.2" x14ac:dyDescent="0.25">
      <c r="A4873" s="1"/>
      <c r="B4873" s="1"/>
      <c r="C4873" s="1"/>
      <c r="D4873" s="1"/>
      <c r="E4873" s="1"/>
      <c r="F4873" s="1"/>
      <c r="G4873" s="1"/>
      <c r="H4873" s="1"/>
    </row>
    <row r="4874" spans="1:8" ht="13.2" x14ac:dyDescent="0.25">
      <c r="A4874" s="1"/>
      <c r="B4874" s="1"/>
      <c r="C4874" s="1"/>
      <c r="D4874" s="1"/>
      <c r="E4874" s="1"/>
      <c r="F4874" s="1"/>
      <c r="G4874" s="1"/>
      <c r="H4874" s="1"/>
    </row>
    <row r="4875" spans="1:8" ht="13.2" x14ac:dyDescent="0.25">
      <c r="A4875" s="1"/>
      <c r="B4875" s="1"/>
      <c r="C4875" s="1"/>
      <c r="D4875" s="1"/>
      <c r="E4875" s="1"/>
      <c r="F4875" s="1"/>
      <c r="G4875" s="1"/>
      <c r="H4875" s="1"/>
    </row>
    <row r="4876" spans="1:8" ht="13.2" x14ac:dyDescent="0.25">
      <c r="A4876" s="1"/>
      <c r="B4876" s="1"/>
      <c r="C4876" s="1"/>
      <c r="D4876" s="1"/>
      <c r="E4876" s="1"/>
      <c r="F4876" s="1"/>
      <c r="G4876" s="1"/>
      <c r="H4876" s="1"/>
    </row>
    <row r="4877" spans="1:8" ht="13.2" x14ac:dyDescent="0.25">
      <c r="A4877" s="1"/>
      <c r="B4877" s="1"/>
      <c r="C4877" s="1"/>
      <c r="D4877" s="1"/>
      <c r="E4877" s="1"/>
      <c r="F4877" s="1"/>
      <c r="G4877" s="1"/>
      <c r="H4877" s="1"/>
    </row>
    <row r="4878" spans="1:8" ht="13.2" x14ac:dyDescent="0.25">
      <c r="A4878" s="1"/>
      <c r="B4878" s="1"/>
      <c r="C4878" s="1"/>
      <c r="D4878" s="1"/>
      <c r="E4878" s="1"/>
      <c r="F4878" s="1"/>
      <c r="G4878" s="1"/>
      <c r="H4878" s="1"/>
    </row>
    <row r="4879" spans="1:8" ht="13.2" x14ac:dyDescent="0.25">
      <c r="A4879" s="1"/>
      <c r="B4879" s="1"/>
      <c r="C4879" s="1"/>
      <c r="D4879" s="1"/>
      <c r="E4879" s="1"/>
      <c r="F4879" s="1"/>
      <c r="G4879" s="1"/>
      <c r="H4879" s="1"/>
    </row>
    <row r="4880" spans="1:8" ht="13.2" x14ac:dyDescent="0.25">
      <c r="A4880" s="1"/>
      <c r="B4880" s="1"/>
      <c r="C4880" s="1"/>
      <c r="D4880" s="1"/>
      <c r="E4880" s="1"/>
      <c r="F4880" s="1"/>
      <c r="G4880" s="1"/>
      <c r="H4880" s="1"/>
    </row>
    <row r="4881" spans="1:8" ht="13.2" x14ac:dyDescent="0.25">
      <c r="A4881" s="1"/>
      <c r="B4881" s="1"/>
      <c r="C4881" s="1"/>
      <c r="D4881" s="1"/>
      <c r="E4881" s="1"/>
      <c r="F4881" s="1"/>
      <c r="G4881" s="1"/>
      <c r="H4881" s="1"/>
    </row>
    <row r="4882" spans="1:8" ht="13.2" x14ac:dyDescent="0.25">
      <c r="A4882" s="1"/>
      <c r="B4882" s="1"/>
      <c r="C4882" s="1"/>
      <c r="D4882" s="1"/>
      <c r="E4882" s="1"/>
      <c r="F4882" s="1"/>
      <c r="G4882" s="1"/>
      <c r="H4882" s="1"/>
    </row>
    <row r="4883" spans="1:8" ht="13.2" x14ac:dyDescent="0.25">
      <c r="A4883" s="1"/>
      <c r="B4883" s="1"/>
      <c r="C4883" s="1"/>
      <c r="D4883" s="1"/>
      <c r="E4883" s="1"/>
      <c r="F4883" s="1"/>
      <c r="G4883" s="1"/>
      <c r="H4883" s="1"/>
    </row>
    <row r="4884" spans="1:8" ht="13.2" x14ac:dyDescent="0.25">
      <c r="A4884" s="1"/>
      <c r="B4884" s="1"/>
      <c r="C4884" s="1"/>
      <c r="D4884" s="1"/>
      <c r="E4884" s="1"/>
      <c r="F4884" s="1"/>
      <c r="G4884" s="1"/>
      <c r="H4884" s="1"/>
    </row>
    <row r="4885" spans="1:8" ht="13.2" x14ac:dyDescent="0.25">
      <c r="A4885" s="1"/>
      <c r="B4885" s="1"/>
      <c r="C4885" s="1"/>
      <c r="D4885" s="1"/>
      <c r="E4885" s="1"/>
      <c r="F4885" s="1"/>
      <c r="G4885" s="1"/>
      <c r="H4885" s="1"/>
    </row>
    <row r="4886" spans="1:8" ht="13.2" x14ac:dyDescent="0.25">
      <c r="A4886" s="1"/>
      <c r="B4886" s="1"/>
      <c r="C4886" s="1"/>
      <c r="D4886" s="1"/>
      <c r="E4886" s="1"/>
      <c r="F4886" s="1"/>
      <c r="G4886" s="1"/>
      <c r="H4886" s="1"/>
    </row>
    <row r="4887" spans="1:8" ht="13.2" x14ac:dyDescent="0.25">
      <c r="A4887" s="1"/>
      <c r="B4887" s="1"/>
      <c r="C4887" s="1"/>
      <c r="D4887" s="1"/>
      <c r="E4887" s="1"/>
      <c r="F4887" s="1"/>
      <c r="G4887" s="1"/>
      <c r="H4887" s="1"/>
    </row>
    <row r="4888" spans="1:8" ht="13.2" x14ac:dyDescent="0.25">
      <c r="A4888" s="1"/>
      <c r="B4888" s="1"/>
      <c r="C4888" s="1"/>
      <c r="D4888" s="1"/>
      <c r="E4888" s="1"/>
      <c r="F4888" s="1"/>
      <c r="G4888" s="1"/>
      <c r="H4888" s="1"/>
    </row>
    <row r="4889" spans="1:8" ht="13.2" x14ac:dyDescent="0.25">
      <c r="A4889" s="1"/>
      <c r="B4889" s="1"/>
      <c r="C4889" s="1"/>
      <c r="D4889" s="1"/>
      <c r="E4889" s="1"/>
      <c r="F4889" s="1"/>
      <c r="G4889" s="1"/>
      <c r="H4889" s="1"/>
    </row>
    <row r="4890" spans="1:8" ht="13.2" x14ac:dyDescent="0.25">
      <c r="A4890" s="1"/>
      <c r="B4890" s="1"/>
      <c r="C4890" s="1"/>
      <c r="D4890" s="1"/>
      <c r="E4890" s="1"/>
      <c r="F4890" s="1"/>
      <c r="G4890" s="1"/>
      <c r="H4890" s="1"/>
    </row>
    <row r="4891" spans="1:8" ht="13.2" x14ac:dyDescent="0.25">
      <c r="A4891" s="1"/>
      <c r="B4891" s="1"/>
      <c r="C4891" s="1"/>
      <c r="D4891" s="1"/>
      <c r="E4891" s="1"/>
      <c r="F4891" s="1"/>
      <c r="G4891" s="1"/>
      <c r="H4891" s="1"/>
    </row>
    <row r="4892" spans="1:8" ht="13.2" x14ac:dyDescent="0.25">
      <c r="A4892" s="1"/>
      <c r="B4892" s="1"/>
      <c r="C4892" s="1"/>
      <c r="D4892" s="1"/>
      <c r="E4892" s="1"/>
      <c r="F4892" s="1"/>
      <c r="G4892" s="1"/>
      <c r="H4892" s="1"/>
    </row>
    <row r="4893" spans="1:8" ht="13.2" x14ac:dyDescent="0.25">
      <c r="A4893" s="1"/>
      <c r="B4893" s="1"/>
      <c r="C4893" s="1"/>
      <c r="D4893" s="1"/>
      <c r="E4893" s="1"/>
      <c r="F4893" s="1"/>
      <c r="G4893" s="1"/>
      <c r="H4893" s="1"/>
    </row>
    <row r="4894" spans="1:8" ht="13.2" x14ac:dyDescent="0.25">
      <c r="A4894" s="1"/>
      <c r="B4894" s="1"/>
      <c r="C4894" s="1"/>
      <c r="D4894" s="1"/>
      <c r="E4894" s="1"/>
      <c r="F4894" s="1"/>
      <c r="G4894" s="1"/>
      <c r="H4894" s="1"/>
    </row>
    <row r="4895" spans="1:8" ht="13.2" x14ac:dyDescent="0.25">
      <c r="A4895" s="1"/>
      <c r="B4895" s="1"/>
      <c r="C4895" s="1"/>
      <c r="D4895" s="1"/>
      <c r="E4895" s="1"/>
      <c r="F4895" s="1"/>
      <c r="G4895" s="1"/>
      <c r="H4895" s="1"/>
    </row>
    <row r="4896" spans="1:8" ht="13.2" x14ac:dyDescent="0.25">
      <c r="A4896" s="1"/>
      <c r="B4896" s="1"/>
      <c r="C4896" s="1"/>
      <c r="D4896" s="1"/>
      <c r="E4896" s="1"/>
      <c r="F4896" s="1"/>
      <c r="G4896" s="1"/>
      <c r="H4896" s="1"/>
    </row>
    <row r="4897" spans="1:8" ht="13.2" x14ac:dyDescent="0.25">
      <c r="A4897" s="1"/>
      <c r="B4897" s="1"/>
      <c r="C4897" s="1"/>
      <c r="D4897" s="1"/>
      <c r="E4897" s="1"/>
      <c r="F4897" s="1"/>
      <c r="G4897" s="1"/>
      <c r="H4897" s="1"/>
    </row>
    <row r="4898" spans="1:8" ht="13.2" x14ac:dyDescent="0.25">
      <c r="A4898" s="1"/>
      <c r="B4898" s="1"/>
      <c r="C4898" s="1"/>
      <c r="D4898" s="1"/>
      <c r="E4898" s="1"/>
      <c r="F4898" s="1"/>
      <c r="G4898" s="1"/>
      <c r="H4898" s="1"/>
    </row>
    <row r="4899" spans="1:8" ht="13.2" x14ac:dyDescent="0.25">
      <c r="A4899" s="1"/>
      <c r="B4899" s="1"/>
      <c r="C4899" s="1"/>
      <c r="D4899" s="1"/>
      <c r="E4899" s="1"/>
      <c r="F4899" s="1"/>
      <c r="G4899" s="1"/>
      <c r="H4899" s="1"/>
    </row>
    <row r="4900" spans="1:8" ht="13.2" x14ac:dyDescent="0.25">
      <c r="A4900" s="1"/>
      <c r="B4900" s="1"/>
      <c r="C4900" s="1"/>
      <c r="D4900" s="1"/>
      <c r="E4900" s="1"/>
      <c r="F4900" s="1"/>
      <c r="G4900" s="1"/>
      <c r="H4900" s="1"/>
    </row>
    <row r="4901" spans="1:8" ht="13.2" x14ac:dyDescent="0.25">
      <c r="A4901" s="1"/>
      <c r="B4901" s="1"/>
      <c r="C4901" s="1"/>
      <c r="D4901" s="1"/>
      <c r="E4901" s="1"/>
      <c r="F4901" s="1"/>
      <c r="G4901" s="1"/>
      <c r="H4901" s="1"/>
    </row>
    <row r="4902" spans="1:8" ht="13.2" x14ac:dyDescent="0.25">
      <c r="A4902" s="1"/>
      <c r="B4902" s="1"/>
      <c r="C4902" s="1"/>
      <c r="D4902" s="1"/>
      <c r="E4902" s="1"/>
      <c r="F4902" s="1"/>
      <c r="G4902" s="1"/>
      <c r="H4902" s="1"/>
    </row>
    <row r="4903" spans="1:8" ht="13.2" x14ac:dyDescent="0.25">
      <c r="A4903" s="1"/>
      <c r="B4903" s="1"/>
      <c r="C4903" s="1"/>
      <c r="D4903" s="1"/>
      <c r="E4903" s="1"/>
      <c r="F4903" s="1"/>
      <c r="G4903" s="1"/>
      <c r="H4903" s="1"/>
    </row>
    <row r="4904" spans="1:8" ht="13.2" x14ac:dyDescent="0.25">
      <c r="A4904" s="1"/>
      <c r="B4904" s="1"/>
      <c r="C4904" s="1"/>
      <c r="D4904" s="1"/>
      <c r="E4904" s="1"/>
      <c r="F4904" s="1"/>
      <c r="G4904" s="1"/>
      <c r="H4904" s="1"/>
    </row>
    <row r="4905" spans="1:8" ht="13.2" x14ac:dyDescent="0.25">
      <c r="A4905" s="1"/>
      <c r="B4905" s="1"/>
      <c r="C4905" s="1"/>
      <c r="D4905" s="1"/>
      <c r="E4905" s="1"/>
      <c r="F4905" s="1"/>
      <c r="G4905" s="1"/>
      <c r="H4905" s="1"/>
    </row>
    <row r="4906" spans="1:8" ht="13.2" x14ac:dyDescent="0.25">
      <c r="A4906" s="1"/>
      <c r="B4906" s="1"/>
      <c r="C4906" s="1"/>
      <c r="D4906" s="1"/>
      <c r="E4906" s="1"/>
      <c r="F4906" s="1"/>
      <c r="G4906" s="1"/>
      <c r="H4906" s="1"/>
    </row>
    <row r="4907" spans="1:8" ht="13.2" x14ac:dyDescent="0.25">
      <c r="A4907" s="1"/>
      <c r="B4907" s="1"/>
      <c r="C4907" s="1"/>
      <c r="D4907" s="1"/>
      <c r="E4907" s="1"/>
      <c r="F4907" s="1"/>
      <c r="G4907" s="1"/>
      <c r="H4907" s="1"/>
    </row>
    <row r="4908" spans="1:8" ht="13.2" x14ac:dyDescent="0.25">
      <c r="A4908" s="1"/>
      <c r="B4908" s="1"/>
      <c r="C4908" s="1"/>
      <c r="D4908" s="1"/>
      <c r="E4908" s="1"/>
      <c r="F4908" s="1"/>
      <c r="G4908" s="1"/>
      <c r="H4908" s="1"/>
    </row>
    <row r="4909" spans="1:8" ht="13.2" x14ac:dyDescent="0.25">
      <c r="A4909" s="1"/>
      <c r="B4909" s="1"/>
      <c r="C4909" s="1"/>
      <c r="D4909" s="1"/>
      <c r="E4909" s="1"/>
      <c r="F4909" s="1"/>
      <c r="G4909" s="1"/>
      <c r="H4909" s="1"/>
    </row>
    <row r="4910" spans="1:8" ht="13.2" x14ac:dyDescent="0.25">
      <c r="A4910" s="1"/>
      <c r="B4910" s="1"/>
      <c r="C4910" s="1"/>
      <c r="D4910" s="1"/>
      <c r="E4910" s="1"/>
      <c r="F4910" s="1"/>
      <c r="G4910" s="1"/>
      <c r="H4910" s="1"/>
    </row>
    <row r="4911" spans="1:8" ht="13.2" x14ac:dyDescent="0.25">
      <c r="A4911" s="1"/>
      <c r="B4911" s="1"/>
      <c r="C4911" s="1"/>
      <c r="D4911" s="1"/>
      <c r="E4911" s="1"/>
      <c r="F4911" s="1"/>
      <c r="G4911" s="1"/>
      <c r="H4911" s="1"/>
    </row>
    <row r="4912" spans="1:8" ht="13.2" x14ac:dyDescent="0.25">
      <c r="A4912" s="1"/>
      <c r="B4912" s="1"/>
      <c r="C4912" s="1"/>
      <c r="D4912" s="1"/>
      <c r="E4912" s="1"/>
      <c r="F4912" s="1"/>
      <c r="G4912" s="1"/>
      <c r="H4912" s="1"/>
    </row>
    <row r="4913" spans="1:8" ht="13.2" x14ac:dyDescent="0.25">
      <c r="A4913" s="1"/>
      <c r="B4913" s="1"/>
      <c r="C4913" s="1"/>
      <c r="D4913" s="1"/>
      <c r="E4913" s="1"/>
      <c r="F4913" s="1"/>
      <c r="G4913" s="1"/>
      <c r="H4913" s="1"/>
    </row>
    <row r="4914" spans="1:8" ht="13.2" x14ac:dyDescent="0.25">
      <c r="A4914" s="1"/>
      <c r="B4914" s="1"/>
      <c r="C4914" s="1"/>
      <c r="D4914" s="1"/>
      <c r="E4914" s="1"/>
      <c r="F4914" s="1"/>
      <c r="G4914" s="1"/>
      <c r="H4914" s="1"/>
    </row>
    <row r="4915" spans="1:8" ht="13.2" x14ac:dyDescent="0.25">
      <c r="A4915" s="1"/>
      <c r="B4915" s="1"/>
      <c r="C4915" s="1"/>
      <c r="D4915" s="1"/>
      <c r="E4915" s="1"/>
      <c r="F4915" s="1"/>
      <c r="G4915" s="1"/>
      <c r="H4915" s="1"/>
    </row>
    <row r="4916" spans="1:8" ht="13.2" x14ac:dyDescent="0.25">
      <c r="A4916" s="1"/>
      <c r="B4916" s="1"/>
      <c r="C4916" s="1"/>
      <c r="D4916" s="1"/>
      <c r="E4916" s="1"/>
      <c r="F4916" s="1"/>
      <c r="G4916" s="1"/>
      <c r="H4916" s="1"/>
    </row>
    <row r="4917" spans="1:8" ht="13.2" x14ac:dyDescent="0.25">
      <c r="A4917" s="1"/>
      <c r="B4917" s="1"/>
      <c r="C4917" s="1"/>
      <c r="D4917" s="1"/>
      <c r="E4917" s="1"/>
      <c r="F4917" s="1"/>
      <c r="G4917" s="1"/>
      <c r="H4917" s="1"/>
    </row>
    <row r="4918" spans="1:8" ht="13.2" x14ac:dyDescent="0.25">
      <c r="A4918" s="1"/>
      <c r="B4918" s="1"/>
      <c r="C4918" s="1"/>
      <c r="D4918" s="1"/>
      <c r="E4918" s="1"/>
      <c r="F4918" s="1"/>
      <c r="G4918" s="1"/>
      <c r="H4918" s="1"/>
    </row>
    <row r="4919" spans="1:8" ht="13.2" x14ac:dyDescent="0.25">
      <c r="A4919" s="1"/>
      <c r="B4919" s="1"/>
      <c r="C4919" s="1"/>
      <c r="D4919" s="1"/>
      <c r="E4919" s="1"/>
      <c r="F4919" s="1"/>
      <c r="G4919" s="1"/>
      <c r="H4919" s="1"/>
    </row>
    <row r="4920" spans="1:8" ht="13.2" x14ac:dyDescent="0.25">
      <c r="A4920" s="1"/>
      <c r="B4920" s="1"/>
      <c r="C4920" s="1"/>
      <c r="D4920" s="1"/>
      <c r="E4920" s="1"/>
      <c r="F4920" s="1"/>
      <c r="G4920" s="1"/>
      <c r="H4920" s="1"/>
    </row>
    <row r="4921" spans="1:8" ht="13.2" x14ac:dyDescent="0.25">
      <c r="A4921" s="1"/>
      <c r="B4921" s="1"/>
      <c r="C4921" s="1"/>
      <c r="D4921" s="1"/>
      <c r="E4921" s="1"/>
      <c r="F4921" s="1"/>
      <c r="G4921" s="1"/>
      <c r="H4921" s="1"/>
    </row>
    <row r="4922" spans="1:8" ht="13.2" x14ac:dyDescent="0.25">
      <c r="A4922" s="1"/>
      <c r="B4922" s="1"/>
      <c r="C4922" s="1"/>
      <c r="D4922" s="1"/>
      <c r="E4922" s="1"/>
      <c r="F4922" s="1"/>
      <c r="G4922" s="1"/>
      <c r="H4922" s="1"/>
    </row>
    <row r="4923" spans="1:8" ht="13.2" x14ac:dyDescent="0.25">
      <c r="A4923" s="1"/>
      <c r="B4923" s="1"/>
      <c r="C4923" s="1"/>
      <c r="D4923" s="1"/>
      <c r="E4923" s="1"/>
      <c r="F4923" s="1"/>
      <c r="G4923" s="1"/>
      <c r="H4923" s="1"/>
    </row>
    <row r="4924" spans="1:8" ht="13.2" x14ac:dyDescent="0.25">
      <c r="A4924" s="1"/>
      <c r="B4924" s="1"/>
      <c r="C4924" s="1"/>
      <c r="D4924" s="1"/>
      <c r="E4924" s="1"/>
      <c r="F4924" s="1"/>
      <c r="G4924" s="1"/>
      <c r="H4924" s="1"/>
    </row>
    <row r="4925" spans="1:8" ht="13.2" x14ac:dyDescent="0.25">
      <c r="A4925" s="1"/>
      <c r="B4925" s="1"/>
      <c r="C4925" s="1"/>
      <c r="D4925" s="1"/>
      <c r="E4925" s="1"/>
      <c r="F4925" s="1"/>
      <c r="G4925" s="1"/>
      <c r="H4925" s="1"/>
    </row>
    <row r="4926" spans="1:8" ht="13.2" x14ac:dyDescent="0.25">
      <c r="A4926" s="1"/>
      <c r="B4926" s="1"/>
      <c r="C4926" s="1"/>
      <c r="D4926" s="1"/>
      <c r="E4926" s="1"/>
      <c r="F4926" s="1"/>
      <c r="G4926" s="1"/>
      <c r="H4926" s="1"/>
    </row>
    <row r="4927" spans="1:8" ht="13.2" x14ac:dyDescent="0.25">
      <c r="A4927" s="1"/>
      <c r="B4927" s="1"/>
      <c r="C4927" s="1"/>
      <c r="D4927" s="1"/>
      <c r="E4927" s="1"/>
      <c r="F4927" s="1"/>
      <c r="G4927" s="1"/>
      <c r="H4927" s="1"/>
    </row>
    <row r="4928" spans="1:8" ht="13.2" x14ac:dyDescent="0.25">
      <c r="A4928" s="1"/>
      <c r="B4928" s="1"/>
      <c r="C4928" s="1"/>
      <c r="D4928" s="1"/>
      <c r="E4928" s="1"/>
      <c r="F4928" s="1"/>
      <c r="G4928" s="1"/>
      <c r="H4928" s="1"/>
    </row>
    <row r="4929" spans="1:8" ht="13.2" x14ac:dyDescent="0.25">
      <c r="A4929" s="1"/>
      <c r="B4929" s="1"/>
      <c r="C4929" s="1"/>
      <c r="D4929" s="1"/>
      <c r="E4929" s="1"/>
      <c r="F4929" s="1"/>
      <c r="G4929" s="1"/>
      <c r="H4929" s="1"/>
    </row>
    <row r="4930" spans="1:8" ht="13.2" x14ac:dyDescent="0.25">
      <c r="A4930" s="1"/>
      <c r="B4930" s="1"/>
      <c r="C4930" s="1"/>
      <c r="D4930" s="1"/>
      <c r="E4930" s="1"/>
      <c r="F4930" s="1"/>
      <c r="G4930" s="1"/>
      <c r="H4930" s="1"/>
    </row>
    <row r="4931" spans="1:8" ht="13.2" x14ac:dyDescent="0.25">
      <c r="A4931" s="1"/>
      <c r="B4931" s="1"/>
      <c r="C4931" s="1"/>
      <c r="D4931" s="1"/>
      <c r="E4931" s="1"/>
      <c r="F4931" s="1"/>
      <c r="G4931" s="1"/>
      <c r="H4931" s="1"/>
    </row>
    <row r="4932" spans="1:8" ht="13.2" x14ac:dyDescent="0.25">
      <c r="A4932" s="1"/>
      <c r="B4932" s="1"/>
      <c r="C4932" s="1"/>
      <c r="D4932" s="1"/>
      <c r="E4932" s="1"/>
      <c r="F4932" s="1"/>
      <c r="G4932" s="1"/>
      <c r="H4932" s="1"/>
    </row>
    <row r="4933" spans="1:8" ht="13.2" x14ac:dyDescent="0.25">
      <c r="A4933" s="1"/>
      <c r="B4933" s="1"/>
      <c r="C4933" s="1"/>
      <c r="D4933" s="1"/>
      <c r="E4933" s="1"/>
      <c r="F4933" s="1"/>
      <c r="G4933" s="1"/>
      <c r="H4933" s="1"/>
    </row>
    <row r="4934" spans="1:8" ht="13.2" x14ac:dyDescent="0.25">
      <c r="A4934" s="1"/>
      <c r="B4934" s="1"/>
      <c r="C4934" s="1"/>
      <c r="D4934" s="1"/>
      <c r="E4934" s="1"/>
      <c r="F4934" s="1"/>
      <c r="G4934" s="1"/>
      <c r="H4934" s="1"/>
    </row>
    <row r="4935" spans="1:8" ht="13.2" x14ac:dyDescent="0.25">
      <c r="A4935" s="1"/>
      <c r="B4935" s="1"/>
      <c r="C4935" s="1"/>
      <c r="D4935" s="1"/>
      <c r="E4935" s="1"/>
      <c r="F4935" s="1"/>
      <c r="G4935" s="1"/>
      <c r="H4935" s="1"/>
    </row>
    <row r="4936" spans="1:8" ht="13.2" x14ac:dyDescent="0.25">
      <c r="A4936" s="1"/>
      <c r="B4936" s="1"/>
      <c r="C4936" s="1"/>
      <c r="D4936" s="1"/>
      <c r="E4936" s="1"/>
      <c r="F4936" s="1"/>
      <c r="G4936" s="1"/>
      <c r="H4936" s="1"/>
    </row>
    <row r="4937" spans="1:8" ht="13.2" x14ac:dyDescent="0.25">
      <c r="A4937" s="1"/>
      <c r="B4937" s="1"/>
      <c r="C4937" s="1"/>
      <c r="D4937" s="1"/>
      <c r="E4937" s="1"/>
      <c r="F4937" s="1"/>
      <c r="G4937" s="1"/>
      <c r="H4937" s="1"/>
    </row>
    <row r="4938" spans="1:8" ht="13.2" x14ac:dyDescent="0.25">
      <c r="A4938" s="1"/>
      <c r="B4938" s="1"/>
      <c r="C4938" s="1"/>
      <c r="D4938" s="1"/>
      <c r="E4938" s="1"/>
      <c r="F4938" s="1"/>
      <c r="G4938" s="1"/>
      <c r="H4938" s="1"/>
    </row>
    <row r="4939" spans="1:8" ht="13.2" x14ac:dyDescent="0.25">
      <c r="A4939" s="1"/>
      <c r="B4939" s="1"/>
      <c r="C4939" s="1"/>
      <c r="D4939" s="1"/>
      <c r="E4939" s="1"/>
      <c r="F4939" s="1"/>
      <c r="G4939" s="1"/>
      <c r="H4939" s="1"/>
    </row>
    <row r="4940" spans="1:8" ht="13.2" x14ac:dyDescent="0.25">
      <c r="A4940" s="1"/>
      <c r="B4940" s="1"/>
      <c r="C4940" s="1"/>
      <c r="D4940" s="1"/>
      <c r="E4940" s="1"/>
      <c r="F4940" s="1"/>
      <c r="G4940" s="1"/>
      <c r="H4940" s="1"/>
    </row>
    <row r="4941" spans="1:8" ht="13.2" x14ac:dyDescent="0.25">
      <c r="A4941" s="1"/>
      <c r="B4941" s="1"/>
      <c r="C4941" s="1"/>
      <c r="D4941" s="1"/>
      <c r="E4941" s="1"/>
      <c r="F4941" s="1"/>
      <c r="G4941" s="1"/>
      <c r="H4941" s="1"/>
    </row>
    <row r="4942" spans="1:8" ht="13.2" x14ac:dyDescent="0.25">
      <c r="A4942" s="1"/>
      <c r="B4942" s="1"/>
      <c r="C4942" s="1"/>
      <c r="D4942" s="1"/>
      <c r="E4942" s="1"/>
      <c r="F4942" s="1"/>
      <c r="G4942" s="1"/>
      <c r="H4942" s="1"/>
    </row>
    <row r="4943" spans="1:8" ht="13.2" x14ac:dyDescent="0.25">
      <c r="A4943" s="1"/>
      <c r="B4943" s="1"/>
      <c r="C4943" s="1"/>
      <c r="D4943" s="1"/>
      <c r="E4943" s="1"/>
      <c r="F4943" s="1"/>
      <c r="G4943" s="1"/>
      <c r="H4943" s="1"/>
    </row>
    <row r="4944" spans="1:8" ht="13.2" x14ac:dyDescent="0.25">
      <c r="A4944" s="1"/>
      <c r="B4944" s="1"/>
      <c r="C4944" s="1"/>
      <c r="D4944" s="1"/>
      <c r="E4944" s="1"/>
      <c r="F4944" s="1"/>
      <c r="G4944" s="1"/>
      <c r="H4944" s="1"/>
    </row>
    <row r="4945" spans="1:8" ht="13.2" x14ac:dyDescent="0.25">
      <c r="A4945" s="1"/>
      <c r="B4945" s="1"/>
      <c r="C4945" s="1"/>
      <c r="D4945" s="1"/>
      <c r="E4945" s="1"/>
      <c r="F4945" s="1"/>
      <c r="G4945" s="1"/>
      <c r="H4945" s="1"/>
    </row>
    <row r="4946" spans="1:8" ht="13.2" x14ac:dyDescent="0.25">
      <c r="A4946" s="1"/>
      <c r="B4946" s="1"/>
      <c r="C4946" s="1"/>
      <c r="D4946" s="1"/>
      <c r="E4946" s="1"/>
      <c r="F4946" s="1"/>
      <c r="G4946" s="1"/>
      <c r="H4946" s="1"/>
    </row>
    <row r="4947" spans="1:8" ht="13.2" x14ac:dyDescent="0.25">
      <c r="A4947" s="1"/>
      <c r="B4947" s="1"/>
      <c r="C4947" s="1"/>
      <c r="D4947" s="1"/>
      <c r="E4947" s="1"/>
      <c r="F4947" s="1"/>
      <c r="G4947" s="1"/>
      <c r="H4947" s="1"/>
    </row>
    <row r="4948" spans="1:8" ht="13.2" x14ac:dyDescent="0.25">
      <c r="A4948" s="1"/>
      <c r="B4948" s="1"/>
      <c r="C4948" s="1"/>
      <c r="D4948" s="1"/>
      <c r="E4948" s="1"/>
      <c r="F4948" s="1"/>
      <c r="G4948" s="1"/>
      <c r="H4948" s="1"/>
    </row>
    <row r="4949" spans="1:8" ht="13.2" x14ac:dyDescent="0.25">
      <c r="A4949" s="1"/>
      <c r="B4949" s="1"/>
      <c r="C4949" s="1"/>
      <c r="D4949" s="1"/>
      <c r="E4949" s="1"/>
      <c r="F4949" s="1"/>
      <c r="G4949" s="1"/>
      <c r="H4949" s="1"/>
    </row>
    <row r="4950" spans="1:8" ht="13.2" x14ac:dyDescent="0.25">
      <c r="A4950" s="1"/>
      <c r="B4950" s="1"/>
      <c r="C4950" s="1"/>
      <c r="D4950" s="1"/>
      <c r="E4950" s="1"/>
      <c r="F4950" s="1"/>
      <c r="G4950" s="1"/>
      <c r="H4950" s="1"/>
    </row>
    <row r="4951" spans="1:8" ht="13.2" x14ac:dyDescent="0.25">
      <c r="A4951" s="1"/>
      <c r="B4951" s="1"/>
      <c r="C4951" s="1"/>
      <c r="D4951" s="1"/>
      <c r="E4951" s="1"/>
      <c r="F4951" s="1"/>
      <c r="G4951" s="1"/>
      <c r="H4951" s="1"/>
    </row>
    <row r="4952" spans="1:8" ht="13.2" x14ac:dyDescent="0.25">
      <c r="A4952" s="1"/>
      <c r="B4952" s="1"/>
      <c r="C4952" s="1"/>
      <c r="D4952" s="1"/>
      <c r="E4952" s="1"/>
      <c r="F4952" s="1"/>
      <c r="G4952" s="1"/>
      <c r="H4952" s="1"/>
    </row>
    <row r="4953" spans="1:8" ht="13.2" x14ac:dyDescent="0.25">
      <c r="A4953" s="1"/>
      <c r="B4953" s="1"/>
      <c r="C4953" s="1"/>
      <c r="D4953" s="1"/>
      <c r="E4953" s="1"/>
      <c r="F4953" s="1"/>
      <c r="G4953" s="1"/>
      <c r="H4953" s="1"/>
    </row>
    <row r="4954" spans="1:8" ht="13.2" x14ac:dyDescent="0.25">
      <c r="A4954" s="1"/>
      <c r="B4954" s="1"/>
      <c r="C4954" s="1"/>
      <c r="D4954" s="1"/>
      <c r="E4954" s="1"/>
      <c r="F4954" s="1"/>
      <c r="G4954" s="1"/>
      <c r="H4954" s="1"/>
    </row>
    <row r="4955" spans="1:8" ht="13.2" x14ac:dyDescent="0.25">
      <c r="A4955" s="1"/>
      <c r="B4955" s="1"/>
      <c r="C4955" s="1"/>
      <c r="D4955" s="1"/>
      <c r="E4955" s="1"/>
      <c r="F4955" s="1"/>
      <c r="G4955" s="1"/>
      <c r="H4955" s="1"/>
    </row>
    <row r="4956" spans="1:8" ht="13.2" x14ac:dyDescent="0.25">
      <c r="A4956" s="1"/>
      <c r="B4956" s="1"/>
      <c r="C4956" s="1"/>
      <c r="D4956" s="1"/>
      <c r="E4956" s="1"/>
      <c r="F4956" s="1"/>
      <c r="G4956" s="1"/>
      <c r="H4956" s="1"/>
    </row>
    <row r="4957" spans="1:8" ht="13.2" x14ac:dyDescent="0.25">
      <c r="A4957" s="1"/>
      <c r="B4957" s="1"/>
      <c r="C4957" s="1"/>
      <c r="D4957" s="1"/>
      <c r="E4957" s="1"/>
      <c r="F4957" s="1"/>
      <c r="G4957" s="1"/>
      <c r="H4957" s="1"/>
    </row>
    <row r="4958" spans="1:8" ht="13.2" x14ac:dyDescent="0.25">
      <c r="A4958" s="1"/>
      <c r="B4958" s="1"/>
      <c r="C4958" s="1"/>
      <c r="D4958" s="1"/>
      <c r="E4958" s="1"/>
      <c r="F4958" s="1"/>
      <c r="G4958" s="1"/>
      <c r="H4958" s="1"/>
    </row>
    <row r="4959" spans="1:8" ht="13.2" x14ac:dyDescent="0.25">
      <c r="A4959" s="1"/>
      <c r="B4959" s="1"/>
      <c r="C4959" s="1"/>
      <c r="D4959" s="1"/>
      <c r="E4959" s="1"/>
      <c r="F4959" s="1"/>
      <c r="G4959" s="1"/>
      <c r="H4959" s="1"/>
    </row>
    <row r="4960" spans="1:8" ht="13.2" x14ac:dyDescent="0.25">
      <c r="A4960" s="1"/>
      <c r="B4960" s="1"/>
      <c r="C4960" s="1"/>
      <c r="D4960" s="1"/>
      <c r="E4960" s="1"/>
      <c r="F4960" s="1"/>
      <c r="G4960" s="1"/>
      <c r="H4960" s="1"/>
    </row>
    <row r="4961" spans="1:8" ht="13.2" x14ac:dyDescent="0.25">
      <c r="A4961" s="1"/>
      <c r="B4961" s="1"/>
      <c r="C4961" s="1"/>
      <c r="D4961" s="1"/>
      <c r="E4961" s="1"/>
      <c r="F4961" s="1"/>
      <c r="G4961" s="1"/>
      <c r="H4961" s="1"/>
    </row>
    <row r="4962" spans="1:8" ht="13.2" x14ac:dyDescent="0.25">
      <c r="A4962" s="1"/>
      <c r="B4962" s="1"/>
      <c r="C4962" s="1"/>
      <c r="D4962" s="1"/>
      <c r="E4962" s="1"/>
      <c r="F4962" s="1"/>
      <c r="G4962" s="1"/>
      <c r="H4962" s="1"/>
    </row>
    <row r="4963" spans="1:8" ht="13.2" x14ac:dyDescent="0.25">
      <c r="A4963" s="1"/>
      <c r="B4963" s="1"/>
      <c r="C4963" s="1"/>
      <c r="D4963" s="1"/>
      <c r="E4963" s="1"/>
      <c r="F4963" s="1"/>
      <c r="G4963" s="1"/>
      <c r="H4963" s="1"/>
    </row>
    <row r="4964" spans="1:8" ht="13.2" x14ac:dyDescent="0.25">
      <c r="A4964" s="1"/>
      <c r="B4964" s="1"/>
      <c r="C4964" s="1"/>
      <c r="D4964" s="1"/>
      <c r="E4964" s="1"/>
      <c r="F4964" s="1"/>
      <c r="G4964" s="1"/>
      <c r="H4964" s="1"/>
    </row>
    <row r="4965" spans="1:8" ht="13.2" x14ac:dyDescent="0.25">
      <c r="A4965" s="1"/>
      <c r="B4965" s="1"/>
      <c r="C4965" s="1"/>
      <c r="D4965" s="1"/>
      <c r="E4965" s="1"/>
      <c r="F4965" s="1"/>
      <c r="G4965" s="1"/>
      <c r="H4965" s="1"/>
    </row>
    <row r="4966" spans="1:8" ht="13.2" x14ac:dyDescent="0.25">
      <c r="A4966" s="1"/>
      <c r="B4966" s="1"/>
      <c r="C4966" s="1"/>
      <c r="D4966" s="1"/>
      <c r="E4966" s="1"/>
      <c r="F4966" s="1"/>
      <c r="G4966" s="1"/>
      <c r="H4966" s="1"/>
    </row>
    <row r="4967" spans="1:8" ht="13.2" x14ac:dyDescent="0.25">
      <c r="A4967" s="1"/>
      <c r="B4967" s="1"/>
      <c r="C4967" s="1"/>
      <c r="D4967" s="1"/>
      <c r="E4967" s="1"/>
      <c r="F4967" s="1"/>
      <c r="G4967" s="1"/>
      <c r="H4967" s="1"/>
    </row>
    <row r="4968" spans="1:8" ht="13.2" x14ac:dyDescent="0.25">
      <c r="A4968" s="1"/>
      <c r="B4968" s="1"/>
      <c r="C4968" s="1"/>
      <c r="D4968" s="1"/>
      <c r="E4968" s="1"/>
      <c r="F4968" s="1"/>
      <c r="G4968" s="1"/>
      <c r="H4968" s="1"/>
    </row>
    <row r="4969" spans="1:8" ht="13.2" x14ac:dyDescent="0.25">
      <c r="A4969" s="1"/>
      <c r="B4969" s="1"/>
      <c r="C4969" s="1"/>
      <c r="D4969" s="1"/>
      <c r="E4969" s="1"/>
      <c r="F4969" s="1"/>
      <c r="G4969" s="1"/>
      <c r="H4969" s="1"/>
    </row>
    <row r="4970" spans="1:8" ht="13.2" x14ac:dyDescent="0.25">
      <c r="A4970" s="1"/>
      <c r="B4970" s="1"/>
      <c r="C4970" s="1"/>
      <c r="D4970" s="1"/>
      <c r="E4970" s="1"/>
      <c r="F4970" s="1"/>
      <c r="G4970" s="1"/>
      <c r="H4970" s="1"/>
    </row>
    <row r="4971" spans="1:8" ht="13.2" x14ac:dyDescent="0.25">
      <c r="A4971" s="1"/>
      <c r="B4971" s="1"/>
      <c r="C4971" s="1"/>
      <c r="D4971" s="1"/>
      <c r="E4971" s="1"/>
      <c r="F4971" s="1"/>
      <c r="G4971" s="1"/>
      <c r="H4971" s="1"/>
    </row>
    <row r="4972" spans="1:8" ht="13.2" x14ac:dyDescent="0.25">
      <c r="A4972" s="1"/>
      <c r="B4972" s="1"/>
      <c r="C4972" s="1"/>
      <c r="D4972" s="1"/>
      <c r="E4972" s="1"/>
      <c r="F4972" s="1"/>
      <c r="G4972" s="1"/>
      <c r="H4972" s="1"/>
    </row>
    <row r="4973" spans="1:8" ht="13.2" x14ac:dyDescent="0.25">
      <c r="A4973" s="1"/>
      <c r="B4973" s="1"/>
      <c r="C4973" s="1"/>
      <c r="D4973" s="1"/>
      <c r="E4973" s="1"/>
      <c r="F4973" s="1"/>
      <c r="G4973" s="1"/>
      <c r="H4973" s="1"/>
    </row>
    <row r="4974" spans="1:8" ht="13.2" x14ac:dyDescent="0.25">
      <c r="A4974" s="1"/>
      <c r="B4974" s="1"/>
      <c r="C4974" s="1"/>
      <c r="D4974" s="1"/>
      <c r="E4974" s="1"/>
      <c r="F4974" s="1"/>
      <c r="G4974" s="1"/>
      <c r="H4974" s="1"/>
    </row>
    <row r="4975" spans="1:8" ht="13.2" x14ac:dyDescent="0.25">
      <c r="A4975" s="1"/>
      <c r="B4975" s="1"/>
      <c r="C4975" s="1"/>
      <c r="D4975" s="1"/>
      <c r="E4975" s="1"/>
      <c r="F4975" s="1"/>
      <c r="G4975" s="1"/>
      <c r="H4975" s="1"/>
    </row>
    <row r="4976" spans="1:8" ht="13.2" x14ac:dyDescent="0.25">
      <c r="A4976" s="1"/>
      <c r="B4976" s="1"/>
      <c r="C4976" s="1"/>
      <c r="D4976" s="1"/>
      <c r="E4976" s="1"/>
      <c r="F4976" s="1"/>
      <c r="G4976" s="1"/>
      <c r="H4976" s="1"/>
    </row>
    <row r="4977" spans="1:8" ht="13.2" x14ac:dyDescent="0.25">
      <c r="A4977" s="1"/>
      <c r="B4977" s="1"/>
      <c r="C4977" s="1"/>
      <c r="D4977" s="1"/>
      <c r="E4977" s="1"/>
      <c r="F4977" s="1"/>
      <c r="G4977" s="1"/>
      <c r="H4977" s="1"/>
    </row>
    <row r="4978" spans="1:8" ht="13.2" x14ac:dyDescent="0.25">
      <c r="A4978" s="1"/>
      <c r="B4978" s="1"/>
      <c r="C4978" s="1"/>
      <c r="D4978" s="1"/>
      <c r="E4978" s="1"/>
      <c r="F4978" s="1"/>
      <c r="G4978" s="1"/>
      <c r="H4978" s="1"/>
    </row>
    <row r="4979" spans="1:8" ht="13.2" x14ac:dyDescent="0.25">
      <c r="A4979" s="1"/>
      <c r="B4979" s="1"/>
      <c r="C4979" s="1"/>
      <c r="D4979" s="1"/>
      <c r="E4979" s="1"/>
      <c r="F4979" s="1"/>
      <c r="G4979" s="1"/>
      <c r="H4979" s="1"/>
    </row>
    <row r="4980" spans="1:8" ht="13.2" x14ac:dyDescent="0.25">
      <c r="A4980" s="1"/>
      <c r="B4980" s="1"/>
      <c r="C4980" s="1"/>
      <c r="D4980" s="1"/>
      <c r="E4980" s="1"/>
      <c r="F4980" s="1"/>
      <c r="G4980" s="1"/>
      <c r="H4980" s="1"/>
    </row>
    <row r="4981" spans="1:8" ht="13.2" x14ac:dyDescent="0.25">
      <c r="A4981" s="1"/>
      <c r="B4981" s="1"/>
      <c r="C4981" s="1"/>
      <c r="D4981" s="1"/>
      <c r="E4981" s="1"/>
      <c r="F4981" s="1"/>
      <c r="G4981" s="1"/>
      <c r="H4981" s="1"/>
    </row>
    <row r="4982" spans="1:8" ht="13.2" x14ac:dyDescent="0.25">
      <c r="A4982" s="1"/>
      <c r="B4982" s="1"/>
      <c r="C4982" s="1"/>
      <c r="D4982" s="1"/>
      <c r="E4982" s="1"/>
      <c r="F4982" s="1"/>
      <c r="G4982" s="1"/>
      <c r="H4982" s="1"/>
    </row>
    <row r="4983" spans="1:8" ht="13.2" x14ac:dyDescent="0.25">
      <c r="A4983" s="1"/>
      <c r="B4983" s="1"/>
      <c r="C4983" s="1"/>
      <c r="D4983" s="1"/>
      <c r="E4983" s="1"/>
      <c r="F4983" s="1"/>
      <c r="G4983" s="1"/>
      <c r="H4983" s="1"/>
    </row>
    <row r="4984" spans="1:8" ht="13.2" x14ac:dyDescent="0.25">
      <c r="A4984" s="1"/>
      <c r="B4984" s="1"/>
      <c r="C4984" s="1"/>
      <c r="D4984" s="1"/>
      <c r="E4984" s="1"/>
      <c r="F4984" s="1"/>
      <c r="G4984" s="1"/>
      <c r="H4984" s="1"/>
    </row>
    <row r="4985" spans="1:8" ht="13.2" x14ac:dyDescent="0.25">
      <c r="A4985" s="1"/>
      <c r="B4985" s="1"/>
      <c r="C4985" s="1"/>
      <c r="D4985" s="1"/>
      <c r="E4985" s="1"/>
      <c r="F4985" s="1"/>
      <c r="G4985" s="1"/>
      <c r="H4985" s="1"/>
    </row>
    <row r="4986" spans="1:8" ht="13.2" x14ac:dyDescent="0.25">
      <c r="A4986" s="1"/>
      <c r="B4986" s="1"/>
      <c r="C4986" s="1"/>
      <c r="D4986" s="1"/>
      <c r="E4986" s="1"/>
      <c r="F4986" s="1"/>
      <c r="G4986" s="1"/>
      <c r="H4986" s="1"/>
    </row>
    <row r="4987" spans="1:8" ht="13.2" x14ac:dyDescent="0.25">
      <c r="A4987" s="1"/>
      <c r="B4987" s="1"/>
      <c r="C4987" s="1"/>
      <c r="D4987" s="1"/>
      <c r="E4987" s="1"/>
      <c r="F4987" s="1"/>
      <c r="G4987" s="1"/>
      <c r="H4987" s="1"/>
    </row>
    <row r="4988" spans="1:8" ht="13.2" x14ac:dyDescent="0.25">
      <c r="A4988" s="1"/>
      <c r="B4988" s="1"/>
      <c r="C4988" s="1"/>
      <c r="D4988" s="1"/>
      <c r="E4988" s="1"/>
      <c r="F4988" s="1"/>
      <c r="G4988" s="1"/>
      <c r="H4988" s="1"/>
    </row>
    <row r="4989" spans="1:8" ht="13.2" x14ac:dyDescent="0.25">
      <c r="A4989" s="1"/>
      <c r="B4989" s="1"/>
      <c r="C4989" s="1"/>
      <c r="D4989" s="1"/>
      <c r="E4989" s="1"/>
      <c r="F4989" s="1"/>
      <c r="G4989" s="1"/>
      <c r="H4989" s="1"/>
    </row>
    <row r="4990" spans="1:8" ht="13.2" x14ac:dyDescent="0.25">
      <c r="A4990" s="1"/>
      <c r="B4990" s="1"/>
      <c r="C4990" s="1"/>
      <c r="D4990" s="1"/>
      <c r="E4990" s="1"/>
      <c r="F4990" s="1"/>
      <c r="G4990" s="1"/>
      <c r="H4990" s="1"/>
    </row>
    <row r="4991" spans="1:8" ht="13.2" x14ac:dyDescent="0.25">
      <c r="A4991" s="1"/>
      <c r="B4991" s="1"/>
      <c r="C4991" s="1"/>
      <c r="D4991" s="1"/>
      <c r="E4991" s="1"/>
      <c r="F4991" s="1"/>
      <c r="G4991" s="1"/>
      <c r="H4991" s="1"/>
    </row>
    <row r="4992" spans="1:8" ht="13.2" x14ac:dyDescent="0.25">
      <c r="A4992" s="1"/>
      <c r="B4992" s="1"/>
      <c r="C4992" s="1"/>
      <c r="D4992" s="1"/>
      <c r="E4992" s="1"/>
      <c r="F4992" s="1"/>
      <c r="G4992" s="1"/>
      <c r="H4992" s="1"/>
    </row>
    <row r="4993" spans="1:8" ht="13.2" x14ac:dyDescent="0.25">
      <c r="A4993" s="1"/>
      <c r="B4993" s="1"/>
      <c r="C4993" s="1"/>
      <c r="D4993" s="1"/>
      <c r="E4993" s="1"/>
      <c r="F4993" s="1"/>
      <c r="G4993" s="1"/>
      <c r="H4993" s="1"/>
    </row>
    <row r="4994" spans="1:8" ht="13.2" x14ac:dyDescent="0.25">
      <c r="A4994" s="1"/>
      <c r="B4994" s="1"/>
      <c r="C4994" s="1"/>
      <c r="D4994" s="1"/>
      <c r="E4994" s="1"/>
      <c r="F4994" s="1"/>
      <c r="G4994" s="1"/>
      <c r="H4994" s="1"/>
    </row>
    <row r="4995" spans="1:8" ht="13.2" x14ac:dyDescent="0.25">
      <c r="A4995" s="1"/>
      <c r="B4995" s="1"/>
      <c r="C4995" s="1"/>
      <c r="D4995" s="1"/>
      <c r="E4995" s="1"/>
      <c r="F4995" s="1"/>
      <c r="G4995" s="1"/>
      <c r="H4995" s="1"/>
    </row>
    <row r="4996" spans="1:8" ht="13.2" x14ac:dyDescent="0.25">
      <c r="A4996" s="1"/>
      <c r="B4996" s="1"/>
      <c r="C4996" s="1"/>
      <c r="D4996" s="1"/>
      <c r="E4996" s="1"/>
      <c r="F4996" s="1"/>
      <c r="G4996" s="1"/>
      <c r="H4996" s="1"/>
    </row>
    <row r="4997" spans="1:8" ht="13.2" x14ac:dyDescent="0.25">
      <c r="A4997" s="1"/>
      <c r="B4997" s="1"/>
      <c r="C4997" s="1"/>
      <c r="D4997" s="1"/>
      <c r="E4997" s="1"/>
      <c r="F4997" s="1"/>
      <c r="G4997" s="1"/>
      <c r="H4997" s="1"/>
    </row>
    <row r="4998" spans="1:8" ht="13.2" x14ac:dyDescent="0.25">
      <c r="A4998" s="1"/>
      <c r="B4998" s="1"/>
      <c r="C4998" s="1"/>
      <c r="D4998" s="1"/>
      <c r="E4998" s="1"/>
      <c r="F4998" s="1"/>
      <c r="G4998" s="1"/>
      <c r="H4998" s="1"/>
    </row>
    <row r="4999" spans="1:8" ht="13.2" x14ac:dyDescent="0.25">
      <c r="A4999" s="1"/>
      <c r="B4999" s="1"/>
      <c r="C4999" s="1"/>
      <c r="D4999" s="1"/>
      <c r="E4999" s="1"/>
      <c r="F4999" s="1"/>
      <c r="G4999" s="1"/>
      <c r="H4999" s="1"/>
    </row>
    <row r="5000" spans="1:8" ht="13.2" x14ac:dyDescent="0.25">
      <c r="A5000" s="1"/>
      <c r="B5000" s="1"/>
      <c r="C5000" s="1"/>
      <c r="D5000" s="1"/>
      <c r="E5000" s="1"/>
      <c r="F5000" s="1"/>
      <c r="G5000" s="1"/>
      <c r="H5000" s="1"/>
    </row>
    <row r="5001" spans="1:8" ht="13.2" x14ac:dyDescent="0.25">
      <c r="A5001" s="1"/>
      <c r="B5001" s="1"/>
      <c r="C5001" s="1"/>
      <c r="D5001" s="1"/>
      <c r="E5001" s="1"/>
      <c r="F5001" s="1"/>
      <c r="G5001" s="1"/>
      <c r="H5001" s="1"/>
    </row>
    <row r="5002" spans="1:8" ht="13.2" x14ac:dyDescent="0.25">
      <c r="A5002" s="1"/>
      <c r="B5002" s="1"/>
      <c r="C5002" s="1"/>
      <c r="D5002" s="1"/>
      <c r="E5002" s="1"/>
      <c r="F5002" s="1"/>
      <c r="G5002" s="1"/>
      <c r="H5002" s="1"/>
    </row>
    <row r="5003" spans="1:8" ht="13.2" x14ac:dyDescent="0.25">
      <c r="A5003" s="1"/>
      <c r="B5003" s="1"/>
      <c r="C5003" s="1"/>
      <c r="D5003" s="1"/>
      <c r="E5003" s="1"/>
      <c r="F5003" s="1"/>
      <c r="G5003" s="1"/>
      <c r="H5003" s="1"/>
    </row>
    <row r="5004" spans="1:8" ht="13.2" x14ac:dyDescent="0.25">
      <c r="A5004" s="1"/>
      <c r="B5004" s="1"/>
      <c r="C5004" s="1"/>
      <c r="D5004" s="1"/>
      <c r="E5004" s="1"/>
      <c r="F5004" s="1"/>
      <c r="G5004" s="1"/>
      <c r="H5004" s="1"/>
    </row>
    <row r="5005" spans="1:8" ht="13.2" x14ac:dyDescent="0.25">
      <c r="A5005" s="1"/>
      <c r="B5005" s="1"/>
      <c r="C5005" s="1"/>
      <c r="D5005" s="1"/>
      <c r="E5005" s="1"/>
      <c r="F5005" s="1"/>
      <c r="G5005" s="1"/>
      <c r="H5005" s="1"/>
    </row>
    <row r="5006" spans="1:8" ht="13.2" x14ac:dyDescent="0.25">
      <c r="A5006" s="1"/>
      <c r="B5006" s="1"/>
      <c r="C5006" s="1"/>
      <c r="D5006" s="1"/>
      <c r="E5006" s="1"/>
      <c r="F5006" s="1"/>
      <c r="G5006" s="1"/>
      <c r="H5006" s="1"/>
    </row>
    <row r="5007" spans="1:8" ht="13.2" x14ac:dyDescent="0.25">
      <c r="A5007" s="1"/>
      <c r="B5007" s="1"/>
      <c r="C5007" s="1"/>
      <c r="D5007" s="1"/>
      <c r="E5007" s="1"/>
      <c r="F5007" s="1"/>
      <c r="G5007" s="1"/>
      <c r="H5007" s="1"/>
    </row>
    <row r="5008" spans="1:8" ht="13.2" x14ac:dyDescent="0.25">
      <c r="A5008" s="1"/>
      <c r="B5008" s="1"/>
      <c r="C5008" s="1"/>
      <c r="D5008" s="1"/>
      <c r="E5008" s="1"/>
      <c r="F5008" s="1"/>
      <c r="G5008" s="1"/>
      <c r="H5008" s="1"/>
    </row>
    <row r="5009" spans="1:8" ht="13.2" x14ac:dyDescent="0.25">
      <c r="A5009" s="1"/>
      <c r="B5009" s="1"/>
      <c r="C5009" s="1"/>
      <c r="D5009" s="1"/>
      <c r="E5009" s="1"/>
      <c r="F5009" s="1"/>
      <c r="G5009" s="1"/>
      <c r="H5009" s="1"/>
    </row>
    <row r="5010" spans="1:8" ht="13.2" x14ac:dyDescent="0.25">
      <c r="A5010" s="1"/>
      <c r="B5010" s="1"/>
      <c r="C5010" s="1"/>
      <c r="D5010" s="1"/>
      <c r="E5010" s="1"/>
      <c r="F5010" s="1"/>
      <c r="G5010" s="1"/>
      <c r="H5010" s="1"/>
    </row>
    <row r="5011" spans="1:8" ht="13.2" x14ac:dyDescent="0.25">
      <c r="A5011" s="1"/>
      <c r="B5011" s="1"/>
      <c r="C5011" s="1"/>
      <c r="D5011" s="1"/>
      <c r="E5011" s="1"/>
      <c r="F5011" s="1"/>
      <c r="G5011" s="1"/>
      <c r="H5011" s="1"/>
    </row>
    <row r="5012" spans="1:8" ht="13.2" x14ac:dyDescent="0.25">
      <c r="A5012" s="1"/>
      <c r="B5012" s="1"/>
      <c r="C5012" s="1"/>
      <c r="D5012" s="1"/>
      <c r="E5012" s="1"/>
      <c r="F5012" s="1"/>
      <c r="G5012" s="1"/>
      <c r="H5012" s="1"/>
    </row>
    <row r="5013" spans="1:8" ht="13.2" x14ac:dyDescent="0.25">
      <c r="A5013" s="1"/>
      <c r="B5013" s="1"/>
      <c r="C5013" s="1"/>
      <c r="D5013" s="1"/>
      <c r="E5013" s="1"/>
      <c r="F5013" s="1"/>
      <c r="G5013" s="1"/>
      <c r="H5013" s="1"/>
    </row>
    <row r="5014" spans="1:8" ht="13.2" x14ac:dyDescent="0.25">
      <c r="A5014" s="1"/>
      <c r="B5014" s="1"/>
      <c r="C5014" s="1"/>
      <c r="D5014" s="1"/>
      <c r="E5014" s="1"/>
      <c r="F5014" s="1"/>
      <c r="G5014" s="1"/>
      <c r="H5014" s="1"/>
    </row>
    <row r="5015" spans="1:8" ht="13.2" x14ac:dyDescent="0.25">
      <c r="A5015" s="1"/>
      <c r="B5015" s="1"/>
      <c r="C5015" s="1"/>
      <c r="D5015" s="1"/>
      <c r="E5015" s="1"/>
      <c r="F5015" s="1"/>
      <c r="G5015" s="1"/>
      <c r="H5015" s="1"/>
    </row>
    <row r="5016" spans="1:8" ht="13.2" x14ac:dyDescent="0.25">
      <c r="A5016" s="1"/>
      <c r="B5016" s="1"/>
      <c r="C5016" s="1"/>
      <c r="D5016" s="1"/>
      <c r="E5016" s="1"/>
      <c r="F5016" s="1"/>
      <c r="G5016" s="1"/>
      <c r="H5016" s="1"/>
    </row>
    <row r="5017" spans="1:8" ht="13.2" x14ac:dyDescent="0.25">
      <c r="A5017" s="1"/>
      <c r="B5017" s="1"/>
      <c r="C5017" s="1"/>
      <c r="D5017" s="1"/>
      <c r="E5017" s="1"/>
      <c r="F5017" s="1"/>
      <c r="G5017" s="1"/>
      <c r="H5017" s="1"/>
    </row>
    <row r="5018" spans="1:8" ht="13.2" x14ac:dyDescent="0.25">
      <c r="A5018" s="1"/>
      <c r="B5018" s="1"/>
      <c r="C5018" s="1"/>
      <c r="D5018" s="1"/>
      <c r="E5018" s="1"/>
      <c r="F5018" s="1"/>
      <c r="G5018" s="1"/>
      <c r="H5018" s="1"/>
    </row>
    <row r="5019" spans="1:8" ht="13.2" x14ac:dyDescent="0.25">
      <c r="A5019" s="1"/>
      <c r="B5019" s="1"/>
      <c r="C5019" s="1"/>
      <c r="D5019" s="1"/>
      <c r="E5019" s="1"/>
      <c r="F5019" s="1"/>
      <c r="G5019" s="1"/>
      <c r="H5019" s="1"/>
    </row>
    <row r="5020" spans="1:8" ht="13.2" x14ac:dyDescent="0.25">
      <c r="A5020" s="1"/>
      <c r="B5020" s="1"/>
      <c r="C5020" s="1"/>
      <c r="D5020" s="1"/>
      <c r="E5020" s="1"/>
      <c r="F5020" s="1"/>
      <c r="G5020" s="1"/>
      <c r="H5020" s="1"/>
    </row>
    <row r="5021" spans="1:8" ht="13.2" x14ac:dyDescent="0.25">
      <c r="A5021" s="1"/>
      <c r="B5021" s="1"/>
      <c r="C5021" s="1"/>
      <c r="D5021" s="1"/>
      <c r="E5021" s="1"/>
      <c r="F5021" s="1"/>
      <c r="G5021" s="1"/>
      <c r="H5021" s="1"/>
    </row>
    <row r="5022" spans="1:8" ht="13.2" x14ac:dyDescent="0.25">
      <c r="A5022" s="1"/>
      <c r="B5022" s="1"/>
      <c r="C5022" s="1"/>
      <c r="D5022" s="1"/>
      <c r="E5022" s="1"/>
      <c r="F5022" s="1"/>
      <c r="G5022" s="1"/>
      <c r="H5022" s="1"/>
    </row>
    <row r="5023" spans="1:8" ht="13.2" x14ac:dyDescent="0.25">
      <c r="A5023" s="1"/>
      <c r="B5023" s="1"/>
      <c r="C5023" s="1"/>
      <c r="D5023" s="1"/>
      <c r="E5023" s="1"/>
      <c r="F5023" s="1"/>
      <c r="G5023" s="1"/>
      <c r="H5023" s="1"/>
    </row>
    <row r="5024" spans="1:8" ht="13.2" x14ac:dyDescent="0.25">
      <c r="A5024" s="1"/>
      <c r="B5024" s="1"/>
      <c r="C5024" s="1"/>
      <c r="D5024" s="1"/>
      <c r="E5024" s="1"/>
      <c r="F5024" s="1"/>
      <c r="G5024" s="1"/>
      <c r="H5024" s="1"/>
    </row>
    <row r="5025" spans="1:8" ht="13.2" x14ac:dyDescent="0.25">
      <c r="A5025" s="1"/>
      <c r="B5025" s="1"/>
      <c r="C5025" s="1"/>
      <c r="D5025" s="1"/>
      <c r="E5025" s="1"/>
      <c r="F5025" s="1"/>
      <c r="G5025" s="1"/>
      <c r="H5025" s="1"/>
    </row>
    <row r="5026" spans="1:8" ht="13.2" x14ac:dyDescent="0.25">
      <c r="A5026" s="1"/>
      <c r="B5026" s="1"/>
      <c r="C5026" s="1"/>
      <c r="D5026" s="1"/>
      <c r="E5026" s="1"/>
      <c r="F5026" s="1"/>
      <c r="G5026" s="1"/>
      <c r="H5026" s="1"/>
    </row>
    <row r="5027" spans="1:8" ht="13.2" x14ac:dyDescent="0.25">
      <c r="A5027" s="1"/>
      <c r="B5027" s="1"/>
      <c r="C5027" s="1"/>
      <c r="D5027" s="1"/>
      <c r="E5027" s="1"/>
      <c r="F5027" s="1"/>
      <c r="G5027" s="1"/>
      <c r="H5027" s="1"/>
    </row>
    <row r="5028" spans="1:8" ht="13.2" x14ac:dyDescent="0.25">
      <c r="A5028" s="1"/>
      <c r="B5028" s="1"/>
      <c r="C5028" s="1"/>
      <c r="D5028" s="1"/>
      <c r="E5028" s="1"/>
      <c r="F5028" s="1"/>
      <c r="G5028" s="1"/>
      <c r="H5028" s="1"/>
    </row>
    <row r="5029" spans="1:8" ht="13.2" x14ac:dyDescent="0.25">
      <c r="A5029" s="1"/>
      <c r="B5029" s="1"/>
      <c r="C5029" s="1"/>
      <c r="D5029" s="1"/>
      <c r="E5029" s="1"/>
      <c r="F5029" s="1"/>
      <c r="G5029" s="1"/>
      <c r="H5029" s="1"/>
    </row>
    <row r="5030" spans="1:8" ht="13.2" x14ac:dyDescent="0.25">
      <c r="A5030" s="1"/>
      <c r="B5030" s="1"/>
      <c r="C5030" s="1"/>
      <c r="D5030" s="1"/>
      <c r="E5030" s="1"/>
      <c r="F5030" s="1"/>
      <c r="G5030" s="1"/>
      <c r="H5030" s="1"/>
    </row>
    <row r="5031" spans="1:8" ht="13.2" x14ac:dyDescent="0.25">
      <c r="A5031" s="1"/>
      <c r="B5031" s="1"/>
      <c r="C5031" s="1"/>
      <c r="D5031" s="1"/>
      <c r="E5031" s="1"/>
      <c r="F5031" s="1"/>
      <c r="G5031" s="1"/>
      <c r="H5031" s="1"/>
    </row>
    <row r="5032" spans="1:8" ht="13.2" x14ac:dyDescent="0.25">
      <c r="A5032" s="1"/>
      <c r="B5032" s="1"/>
      <c r="C5032" s="1"/>
      <c r="D5032" s="1"/>
      <c r="E5032" s="1"/>
      <c r="F5032" s="1"/>
      <c r="G5032" s="1"/>
      <c r="H5032" s="1"/>
    </row>
    <row r="5033" spans="1:8" ht="13.2" x14ac:dyDescent="0.25">
      <c r="A5033" s="1"/>
      <c r="B5033" s="1"/>
      <c r="C5033" s="1"/>
      <c r="D5033" s="1"/>
      <c r="E5033" s="1"/>
      <c r="F5033" s="1"/>
      <c r="G5033" s="1"/>
      <c r="H5033" s="1"/>
    </row>
    <row r="5034" spans="1:8" ht="13.2" x14ac:dyDescent="0.25">
      <c r="A5034" s="1"/>
      <c r="B5034" s="1"/>
      <c r="C5034" s="1"/>
      <c r="D5034" s="1"/>
      <c r="E5034" s="1"/>
      <c r="F5034" s="1"/>
      <c r="G5034" s="1"/>
      <c r="H5034" s="1"/>
    </row>
    <row r="5035" spans="1:8" ht="13.2" x14ac:dyDescent="0.25">
      <c r="A5035" s="1"/>
      <c r="B5035" s="1"/>
      <c r="C5035" s="1"/>
      <c r="D5035" s="1"/>
      <c r="E5035" s="1"/>
      <c r="F5035" s="1"/>
      <c r="G5035" s="1"/>
      <c r="H5035" s="1"/>
    </row>
    <row r="5036" spans="1:8" ht="13.2" x14ac:dyDescent="0.25">
      <c r="A5036" s="1"/>
      <c r="B5036" s="1"/>
      <c r="C5036" s="1"/>
      <c r="D5036" s="1"/>
      <c r="E5036" s="1"/>
      <c r="F5036" s="1"/>
      <c r="G5036" s="1"/>
      <c r="H5036" s="1"/>
    </row>
    <row r="5037" spans="1:8" ht="13.2" x14ac:dyDescent="0.25">
      <c r="A5037" s="1"/>
      <c r="B5037" s="1"/>
      <c r="C5037" s="1"/>
      <c r="D5037" s="1"/>
      <c r="E5037" s="1"/>
      <c r="F5037" s="1"/>
      <c r="G5037" s="1"/>
      <c r="H5037" s="1"/>
    </row>
    <row r="5038" spans="1:8" ht="13.2" x14ac:dyDescent="0.25">
      <c r="A5038" s="1"/>
      <c r="B5038" s="1"/>
      <c r="C5038" s="1"/>
      <c r="D5038" s="1"/>
      <c r="E5038" s="1"/>
      <c r="F5038" s="1"/>
      <c r="G5038" s="1"/>
      <c r="H5038" s="1"/>
    </row>
    <row r="5039" spans="1:8" ht="13.2" x14ac:dyDescent="0.25">
      <c r="A5039" s="1"/>
      <c r="B5039" s="1"/>
      <c r="C5039" s="1"/>
      <c r="D5039" s="1"/>
      <c r="E5039" s="1"/>
      <c r="F5039" s="1"/>
      <c r="G5039" s="1"/>
      <c r="H5039" s="1"/>
    </row>
    <row r="5040" spans="1:8" ht="13.2" x14ac:dyDescent="0.25">
      <c r="A5040" s="1"/>
      <c r="B5040" s="1"/>
      <c r="C5040" s="1"/>
      <c r="D5040" s="1"/>
      <c r="E5040" s="1"/>
      <c r="F5040" s="1"/>
      <c r="G5040" s="1"/>
      <c r="H5040" s="1"/>
    </row>
    <row r="5041" spans="1:8" ht="13.2" x14ac:dyDescent="0.25">
      <c r="A5041" s="1"/>
      <c r="B5041" s="1"/>
      <c r="C5041" s="1"/>
      <c r="D5041" s="1"/>
      <c r="E5041" s="1"/>
      <c r="F5041" s="1"/>
      <c r="G5041" s="1"/>
      <c r="H5041" s="1"/>
    </row>
    <row r="5042" spans="1:8" ht="13.2" x14ac:dyDescent="0.25">
      <c r="A5042" s="1"/>
      <c r="B5042" s="1"/>
      <c r="C5042" s="1"/>
      <c r="D5042" s="1"/>
      <c r="E5042" s="1"/>
      <c r="F5042" s="1"/>
      <c r="G5042" s="1"/>
      <c r="H5042" s="1"/>
    </row>
    <row r="5043" spans="1:8" ht="13.2" x14ac:dyDescent="0.25">
      <c r="A5043" s="1"/>
      <c r="B5043" s="1"/>
      <c r="C5043" s="1"/>
      <c r="D5043" s="1"/>
      <c r="E5043" s="1"/>
      <c r="F5043" s="1"/>
      <c r="G5043" s="1"/>
      <c r="H5043" s="1"/>
    </row>
    <row r="5044" spans="1:8" ht="13.2" x14ac:dyDescent="0.25">
      <c r="A5044" s="1"/>
      <c r="B5044" s="1"/>
      <c r="C5044" s="1"/>
      <c r="D5044" s="1"/>
      <c r="E5044" s="1"/>
      <c r="F5044" s="1"/>
      <c r="G5044" s="1"/>
      <c r="H5044" s="1"/>
    </row>
    <row r="5045" spans="1:8" ht="13.2" x14ac:dyDescent="0.25">
      <c r="A5045" s="1"/>
      <c r="B5045" s="1"/>
      <c r="C5045" s="1"/>
      <c r="D5045" s="1"/>
      <c r="E5045" s="1"/>
      <c r="F5045" s="1"/>
      <c r="G5045" s="1"/>
      <c r="H5045" s="1"/>
    </row>
    <row r="5046" spans="1:8" ht="13.2" x14ac:dyDescent="0.25">
      <c r="A5046" s="1"/>
      <c r="B5046" s="1"/>
      <c r="C5046" s="1"/>
      <c r="D5046" s="1"/>
      <c r="E5046" s="1"/>
      <c r="F5046" s="1"/>
      <c r="G5046" s="1"/>
      <c r="H5046" s="1"/>
    </row>
    <row r="5047" spans="1:8" ht="13.2" x14ac:dyDescent="0.25">
      <c r="A5047" s="1"/>
      <c r="B5047" s="1"/>
      <c r="C5047" s="1"/>
      <c r="D5047" s="1"/>
      <c r="E5047" s="1"/>
      <c r="F5047" s="1"/>
      <c r="G5047" s="1"/>
      <c r="H5047" s="1"/>
    </row>
    <row r="5048" spans="1:8" ht="13.2" x14ac:dyDescent="0.25">
      <c r="A5048" s="1"/>
      <c r="B5048" s="1"/>
      <c r="C5048" s="1"/>
      <c r="D5048" s="1"/>
      <c r="E5048" s="1"/>
      <c r="F5048" s="1"/>
      <c r="G5048" s="1"/>
      <c r="H5048" s="1"/>
    </row>
    <row r="5049" spans="1:8" ht="13.2" x14ac:dyDescent="0.25">
      <c r="A5049" s="1"/>
      <c r="B5049" s="1"/>
      <c r="C5049" s="1"/>
      <c r="D5049" s="1"/>
      <c r="E5049" s="1"/>
      <c r="F5049" s="1"/>
      <c r="G5049" s="1"/>
      <c r="H5049" s="1"/>
    </row>
    <row r="5050" spans="1:8" ht="13.2" x14ac:dyDescent="0.25">
      <c r="A5050" s="1"/>
      <c r="B5050" s="1"/>
      <c r="C5050" s="1"/>
      <c r="D5050" s="1"/>
      <c r="E5050" s="1"/>
      <c r="F5050" s="1"/>
      <c r="G5050" s="1"/>
      <c r="H5050" s="1"/>
    </row>
    <row r="5051" spans="1:8" ht="13.2" x14ac:dyDescent="0.25">
      <c r="A5051" s="1"/>
      <c r="B5051" s="1"/>
      <c r="C5051" s="1"/>
      <c r="D5051" s="1"/>
      <c r="E5051" s="1"/>
      <c r="F5051" s="1"/>
      <c r="G5051" s="1"/>
      <c r="H5051" s="1"/>
    </row>
    <row r="5052" spans="1:8" ht="13.2" x14ac:dyDescent="0.25">
      <c r="A5052" s="1"/>
      <c r="B5052" s="1"/>
      <c r="C5052" s="1"/>
      <c r="D5052" s="1"/>
      <c r="E5052" s="1"/>
      <c r="F5052" s="1"/>
      <c r="G5052" s="1"/>
      <c r="H5052" s="1"/>
    </row>
    <row r="5053" spans="1:8" ht="13.2" x14ac:dyDescent="0.25">
      <c r="A5053" s="1"/>
      <c r="B5053" s="1"/>
      <c r="C5053" s="1"/>
      <c r="D5053" s="1"/>
      <c r="E5053" s="1"/>
      <c r="F5053" s="1"/>
      <c r="G5053" s="1"/>
      <c r="H5053" s="1"/>
    </row>
    <row r="5054" spans="1:8" ht="13.2" x14ac:dyDescent="0.25">
      <c r="A5054" s="1"/>
      <c r="B5054" s="1"/>
      <c r="C5054" s="1"/>
      <c r="D5054" s="1"/>
      <c r="E5054" s="1"/>
      <c r="F5054" s="1"/>
      <c r="G5054" s="1"/>
      <c r="H5054" s="1"/>
    </row>
    <row r="5055" spans="1:8" ht="13.2" x14ac:dyDescent="0.25">
      <c r="A5055" s="1"/>
      <c r="B5055" s="1"/>
      <c r="C5055" s="1"/>
      <c r="D5055" s="1"/>
      <c r="E5055" s="1"/>
      <c r="F5055" s="1"/>
      <c r="G5055" s="1"/>
      <c r="H5055" s="1"/>
    </row>
    <row r="5056" spans="1:8" ht="13.2" x14ac:dyDescent="0.25">
      <c r="A5056" s="1"/>
      <c r="B5056" s="1"/>
      <c r="C5056" s="1"/>
      <c r="D5056" s="1"/>
      <c r="E5056" s="1"/>
      <c r="F5056" s="1"/>
      <c r="G5056" s="1"/>
      <c r="H5056" s="1"/>
    </row>
    <row r="5057" spans="1:8" ht="13.2" x14ac:dyDescent="0.25">
      <c r="A5057" s="1"/>
      <c r="B5057" s="1"/>
      <c r="C5057" s="1"/>
      <c r="D5057" s="1"/>
      <c r="E5057" s="1"/>
      <c r="F5057" s="1"/>
      <c r="G5057" s="1"/>
      <c r="H5057" s="1"/>
    </row>
    <row r="5058" spans="1:8" ht="13.2" x14ac:dyDescent="0.25">
      <c r="A5058" s="1"/>
      <c r="B5058" s="1"/>
      <c r="C5058" s="1"/>
      <c r="D5058" s="1"/>
      <c r="E5058" s="1"/>
      <c r="F5058" s="1"/>
      <c r="G5058" s="1"/>
      <c r="H5058" s="1"/>
    </row>
    <row r="5059" spans="1:8" ht="13.2" x14ac:dyDescent="0.25">
      <c r="A5059" s="1"/>
      <c r="B5059" s="1"/>
      <c r="C5059" s="1"/>
      <c r="D5059" s="1"/>
      <c r="E5059" s="1"/>
      <c r="F5059" s="1"/>
      <c r="G5059" s="1"/>
      <c r="H5059" s="1"/>
    </row>
    <row r="5060" spans="1:8" ht="13.2" x14ac:dyDescent="0.25">
      <c r="A5060" s="1"/>
      <c r="B5060" s="1"/>
      <c r="C5060" s="1"/>
      <c r="D5060" s="1"/>
      <c r="E5060" s="1"/>
      <c r="F5060" s="1"/>
      <c r="G5060" s="1"/>
      <c r="H5060" s="1"/>
    </row>
    <row r="5061" spans="1:8" ht="13.2" x14ac:dyDescent="0.25">
      <c r="A5061" s="1"/>
      <c r="B5061" s="1"/>
      <c r="C5061" s="1"/>
      <c r="D5061" s="1"/>
      <c r="E5061" s="1"/>
      <c r="F5061" s="1"/>
      <c r="G5061" s="1"/>
      <c r="H5061" s="1"/>
    </row>
    <row r="5062" spans="1:8" ht="13.2" x14ac:dyDescent="0.25">
      <c r="A5062" s="1"/>
      <c r="B5062" s="1"/>
      <c r="C5062" s="1"/>
      <c r="D5062" s="1"/>
      <c r="E5062" s="1"/>
      <c r="F5062" s="1"/>
      <c r="G5062" s="1"/>
      <c r="H5062" s="1"/>
    </row>
    <row r="5063" spans="1:8" ht="13.2" x14ac:dyDescent="0.25">
      <c r="A5063" s="1"/>
      <c r="B5063" s="1"/>
      <c r="C5063" s="1"/>
      <c r="D5063" s="1"/>
      <c r="E5063" s="1"/>
      <c r="F5063" s="1"/>
      <c r="G5063" s="1"/>
      <c r="H5063" s="1"/>
    </row>
    <row r="5064" spans="1:8" ht="13.2" x14ac:dyDescent="0.25">
      <c r="A5064" s="1"/>
      <c r="B5064" s="1"/>
      <c r="C5064" s="1"/>
      <c r="D5064" s="1"/>
      <c r="E5064" s="1"/>
      <c r="F5064" s="1"/>
      <c r="G5064" s="1"/>
      <c r="H5064" s="1"/>
    </row>
    <row r="5065" spans="1:8" ht="13.2" x14ac:dyDescent="0.25">
      <c r="A5065" s="1"/>
      <c r="B5065" s="1"/>
      <c r="C5065" s="1"/>
      <c r="D5065" s="1"/>
      <c r="E5065" s="1"/>
      <c r="F5065" s="1"/>
      <c r="G5065" s="1"/>
      <c r="H5065" s="1"/>
    </row>
    <row r="5066" spans="1:8" ht="13.2" x14ac:dyDescent="0.25">
      <c r="A5066" s="1"/>
      <c r="B5066" s="1"/>
      <c r="C5066" s="1"/>
      <c r="D5066" s="1"/>
      <c r="E5066" s="1"/>
      <c r="F5066" s="1"/>
      <c r="G5066" s="1"/>
      <c r="H5066" s="1"/>
    </row>
    <row r="5067" spans="1:8" ht="13.2" x14ac:dyDescent="0.25">
      <c r="A5067" s="1"/>
      <c r="B5067" s="1"/>
      <c r="C5067" s="1"/>
      <c r="D5067" s="1"/>
      <c r="E5067" s="1"/>
      <c r="F5067" s="1"/>
      <c r="G5067" s="1"/>
      <c r="H5067" s="1"/>
    </row>
    <row r="5068" spans="1:8" ht="13.2" x14ac:dyDescent="0.25">
      <c r="A5068" s="1"/>
      <c r="B5068" s="1"/>
      <c r="C5068" s="1"/>
      <c r="D5068" s="1"/>
      <c r="E5068" s="1"/>
      <c r="F5068" s="1"/>
      <c r="G5068" s="1"/>
      <c r="H5068" s="1"/>
    </row>
    <row r="5069" spans="1:8" ht="13.2" x14ac:dyDescent="0.25">
      <c r="A5069" s="1"/>
      <c r="B5069" s="1"/>
      <c r="C5069" s="1"/>
      <c r="D5069" s="1"/>
      <c r="E5069" s="1"/>
      <c r="F5069" s="1"/>
      <c r="G5069" s="1"/>
      <c r="H5069" s="1"/>
    </row>
    <row r="5070" spans="1:8" ht="13.2" x14ac:dyDescent="0.25">
      <c r="A5070" s="1"/>
      <c r="B5070" s="1"/>
      <c r="C5070" s="1"/>
      <c r="D5070" s="1"/>
      <c r="E5070" s="1"/>
      <c r="F5070" s="1"/>
      <c r="G5070" s="1"/>
      <c r="H5070" s="1"/>
    </row>
    <row r="5071" spans="1:8" ht="13.2" x14ac:dyDescent="0.25">
      <c r="A5071" s="1"/>
      <c r="B5071" s="1"/>
      <c r="C5071" s="1"/>
      <c r="D5071" s="1"/>
      <c r="E5071" s="1"/>
      <c r="F5071" s="1"/>
      <c r="G5071" s="1"/>
      <c r="H5071" s="1"/>
    </row>
    <row r="5072" spans="1:8" ht="13.2" x14ac:dyDescent="0.25">
      <c r="A5072" s="1"/>
      <c r="B5072" s="1"/>
      <c r="C5072" s="1"/>
      <c r="D5072" s="1"/>
      <c r="E5072" s="1"/>
      <c r="F5072" s="1"/>
      <c r="G5072" s="1"/>
      <c r="H5072" s="1"/>
    </row>
    <row r="5073" spans="1:8" ht="13.2" x14ac:dyDescent="0.25">
      <c r="A5073" s="1"/>
      <c r="B5073" s="1"/>
      <c r="C5073" s="1"/>
      <c r="D5073" s="1"/>
      <c r="E5073" s="1"/>
      <c r="F5073" s="1"/>
      <c r="G5073" s="1"/>
      <c r="H5073" s="1"/>
    </row>
    <row r="5074" spans="1:8" ht="13.2" x14ac:dyDescent="0.25">
      <c r="A5074" s="1"/>
      <c r="B5074" s="1"/>
      <c r="C5074" s="1"/>
      <c r="D5074" s="1"/>
      <c r="E5074" s="1"/>
      <c r="F5074" s="1"/>
      <c r="G5074" s="1"/>
      <c r="H5074" s="1"/>
    </row>
    <row r="5075" spans="1:8" ht="13.2" x14ac:dyDescent="0.25">
      <c r="A5075" s="1"/>
      <c r="B5075" s="1"/>
      <c r="C5075" s="1"/>
      <c r="D5075" s="1"/>
      <c r="E5075" s="1"/>
      <c r="F5075" s="1"/>
      <c r="G5075" s="1"/>
      <c r="H5075" s="1"/>
    </row>
    <row r="5076" spans="1:8" ht="13.2" x14ac:dyDescent="0.25">
      <c r="A5076" s="1"/>
      <c r="B5076" s="1"/>
      <c r="C5076" s="1"/>
      <c r="D5076" s="1"/>
      <c r="E5076" s="1"/>
      <c r="F5076" s="1"/>
      <c r="G5076" s="1"/>
      <c r="H5076" s="1"/>
    </row>
    <row r="5077" spans="1:8" ht="13.2" x14ac:dyDescent="0.25">
      <c r="A5077" s="1"/>
      <c r="B5077" s="1"/>
      <c r="C5077" s="1"/>
      <c r="D5077" s="1"/>
      <c r="E5077" s="1"/>
      <c r="F5077" s="1"/>
      <c r="G5077" s="1"/>
      <c r="H5077" s="1"/>
    </row>
    <row r="5078" spans="1:8" ht="13.2" x14ac:dyDescent="0.25">
      <c r="A5078" s="1"/>
      <c r="B5078" s="1"/>
      <c r="C5078" s="1"/>
      <c r="D5078" s="1"/>
      <c r="E5078" s="1"/>
      <c r="F5078" s="1"/>
      <c r="G5078" s="1"/>
      <c r="H5078" s="1"/>
    </row>
    <row r="5079" spans="1:8" ht="13.2" x14ac:dyDescent="0.25">
      <c r="A5079" s="1"/>
      <c r="B5079" s="1"/>
      <c r="C5079" s="1"/>
      <c r="D5079" s="1"/>
      <c r="E5079" s="1"/>
      <c r="F5079" s="1"/>
      <c r="G5079" s="1"/>
      <c r="H5079" s="1"/>
    </row>
    <row r="5080" spans="1:8" ht="13.2" x14ac:dyDescent="0.25">
      <c r="A5080" s="1"/>
      <c r="B5080" s="1"/>
      <c r="C5080" s="1"/>
      <c r="D5080" s="1"/>
      <c r="E5080" s="1"/>
      <c r="F5080" s="1"/>
      <c r="G5080" s="1"/>
      <c r="H5080" s="1"/>
    </row>
    <row r="5081" spans="1:8" ht="13.2" x14ac:dyDescent="0.25">
      <c r="A5081" s="1"/>
      <c r="B5081" s="1"/>
      <c r="C5081" s="1"/>
      <c r="D5081" s="1"/>
      <c r="E5081" s="1"/>
      <c r="F5081" s="1"/>
      <c r="G5081" s="1"/>
      <c r="H5081" s="1"/>
    </row>
    <row r="5082" spans="1:8" ht="13.2" x14ac:dyDescent="0.25">
      <c r="A5082" s="1"/>
      <c r="B5082" s="1"/>
      <c r="C5082" s="1"/>
      <c r="D5082" s="1"/>
      <c r="E5082" s="1"/>
      <c r="F5082" s="1"/>
      <c r="G5082" s="1"/>
      <c r="H5082" s="1"/>
    </row>
    <row r="5083" spans="1:8" ht="13.2" x14ac:dyDescent="0.25">
      <c r="A5083" s="1"/>
      <c r="B5083" s="1"/>
      <c r="C5083" s="1"/>
      <c r="D5083" s="1"/>
      <c r="E5083" s="1"/>
      <c r="F5083" s="1"/>
      <c r="G5083" s="1"/>
      <c r="H5083" s="1"/>
    </row>
    <row r="5084" spans="1:8" ht="13.2" x14ac:dyDescent="0.25">
      <c r="A5084" s="1"/>
      <c r="B5084" s="1"/>
      <c r="C5084" s="1"/>
      <c r="D5084" s="1"/>
      <c r="E5084" s="1"/>
      <c r="F5084" s="1"/>
      <c r="G5084" s="1"/>
      <c r="H5084" s="1"/>
    </row>
    <row r="5085" spans="1:8" ht="13.2" x14ac:dyDescent="0.25">
      <c r="A5085" s="1"/>
      <c r="B5085" s="1"/>
      <c r="C5085" s="1"/>
      <c r="D5085" s="1"/>
      <c r="E5085" s="1"/>
      <c r="F5085" s="1"/>
      <c r="G5085" s="1"/>
      <c r="H5085" s="1"/>
    </row>
    <row r="5086" spans="1:8" ht="13.2" x14ac:dyDescent="0.25">
      <c r="A5086" s="1"/>
      <c r="B5086" s="1"/>
      <c r="C5086" s="1"/>
      <c r="D5086" s="1"/>
      <c r="E5086" s="1"/>
      <c r="F5086" s="1"/>
      <c r="G5086" s="1"/>
      <c r="H5086" s="1"/>
    </row>
    <row r="5087" spans="1:8" ht="13.2" x14ac:dyDescent="0.25">
      <c r="A5087" s="1"/>
      <c r="B5087" s="1"/>
      <c r="C5087" s="1"/>
      <c r="D5087" s="1"/>
      <c r="E5087" s="1"/>
      <c r="F5087" s="1"/>
      <c r="G5087" s="1"/>
      <c r="H5087" s="1"/>
    </row>
    <row r="5088" spans="1:8" ht="13.2" x14ac:dyDescent="0.25">
      <c r="A5088" s="1"/>
      <c r="B5088" s="1"/>
      <c r="C5088" s="1"/>
      <c r="D5088" s="1"/>
      <c r="E5088" s="1"/>
      <c r="F5088" s="1"/>
      <c r="G5088" s="1"/>
      <c r="H5088" s="1"/>
    </row>
    <row r="5089" spans="1:8" ht="13.2" x14ac:dyDescent="0.25">
      <c r="A5089" s="1"/>
      <c r="B5089" s="1"/>
      <c r="C5089" s="1"/>
      <c r="D5089" s="1"/>
      <c r="E5089" s="1"/>
      <c r="F5089" s="1"/>
      <c r="G5089" s="1"/>
      <c r="H5089" s="1"/>
    </row>
    <row r="5090" spans="1:8" ht="13.2" x14ac:dyDescent="0.25">
      <c r="A5090" s="1"/>
      <c r="B5090" s="1"/>
      <c r="C5090" s="1"/>
      <c r="D5090" s="1"/>
      <c r="E5090" s="1"/>
      <c r="F5090" s="1"/>
      <c r="G5090" s="1"/>
      <c r="H5090" s="1"/>
    </row>
    <row r="5091" spans="1:8" ht="13.2" x14ac:dyDescent="0.25">
      <c r="A5091" s="1"/>
      <c r="B5091" s="1"/>
      <c r="C5091" s="1"/>
      <c r="D5091" s="1"/>
      <c r="E5091" s="1"/>
      <c r="F5091" s="1"/>
      <c r="G5091" s="1"/>
      <c r="H5091" s="1"/>
    </row>
    <row r="5092" spans="1:8" ht="13.2" x14ac:dyDescent="0.25">
      <c r="A5092" s="1"/>
      <c r="B5092" s="1"/>
      <c r="C5092" s="1"/>
      <c r="D5092" s="1"/>
      <c r="E5092" s="1"/>
      <c r="F5092" s="1"/>
      <c r="G5092" s="1"/>
      <c r="H5092" s="1"/>
    </row>
    <row r="5093" spans="1:8" ht="13.2" x14ac:dyDescent="0.25">
      <c r="A5093" s="1"/>
      <c r="B5093" s="1"/>
      <c r="C5093" s="1"/>
      <c r="D5093" s="1"/>
      <c r="E5093" s="1"/>
      <c r="F5093" s="1"/>
      <c r="G5093" s="1"/>
      <c r="H5093" s="1"/>
    </row>
    <row r="5094" spans="1:8" ht="13.2" x14ac:dyDescent="0.25">
      <c r="A5094" s="1"/>
      <c r="B5094" s="1"/>
      <c r="C5094" s="1"/>
      <c r="D5094" s="1"/>
      <c r="E5094" s="1"/>
      <c r="F5094" s="1"/>
      <c r="G5094" s="1"/>
      <c r="H5094" s="1"/>
    </row>
    <row r="5095" spans="1:8" ht="13.2" x14ac:dyDescent="0.25">
      <c r="A5095" s="1"/>
      <c r="B5095" s="1"/>
      <c r="C5095" s="1"/>
      <c r="D5095" s="1"/>
      <c r="E5095" s="1"/>
      <c r="F5095" s="1"/>
      <c r="G5095" s="1"/>
      <c r="H5095" s="1"/>
    </row>
    <row r="5096" spans="1:8" ht="13.2" x14ac:dyDescent="0.25">
      <c r="A5096" s="1"/>
      <c r="B5096" s="1"/>
      <c r="C5096" s="1"/>
      <c r="D5096" s="1"/>
      <c r="E5096" s="1"/>
      <c r="F5096" s="1"/>
      <c r="G5096" s="1"/>
      <c r="H5096" s="1"/>
    </row>
    <row r="5097" spans="1:8" ht="13.2" x14ac:dyDescent="0.25">
      <c r="A5097" s="1"/>
      <c r="B5097" s="1"/>
      <c r="C5097" s="1"/>
      <c r="D5097" s="1"/>
      <c r="E5097" s="1"/>
      <c r="F5097" s="1"/>
      <c r="G5097" s="1"/>
      <c r="H5097" s="1"/>
    </row>
    <row r="5098" spans="1:8" ht="13.2" x14ac:dyDescent="0.25">
      <c r="A5098" s="1"/>
      <c r="B5098" s="1"/>
      <c r="C5098" s="1"/>
      <c r="D5098" s="1"/>
      <c r="E5098" s="1"/>
      <c r="F5098" s="1"/>
      <c r="G5098" s="1"/>
      <c r="H5098" s="1"/>
    </row>
    <row r="5099" spans="1:8" ht="13.2" x14ac:dyDescent="0.25">
      <c r="A5099" s="1"/>
      <c r="B5099" s="1"/>
      <c r="C5099" s="1"/>
      <c r="D5099" s="1"/>
      <c r="E5099" s="1"/>
      <c r="F5099" s="1"/>
      <c r="G5099" s="1"/>
      <c r="H5099" s="1"/>
    </row>
    <row r="5100" spans="1:8" ht="13.2" x14ac:dyDescent="0.25">
      <c r="A5100" s="1"/>
      <c r="B5100" s="1"/>
      <c r="C5100" s="1"/>
      <c r="D5100" s="1"/>
      <c r="E5100" s="1"/>
      <c r="F5100" s="1"/>
      <c r="G5100" s="1"/>
      <c r="H5100" s="1"/>
    </row>
    <row r="5101" spans="1:8" ht="13.2" x14ac:dyDescent="0.25">
      <c r="A5101" s="1"/>
      <c r="B5101" s="1"/>
      <c r="C5101" s="1"/>
      <c r="D5101" s="1"/>
      <c r="E5101" s="1"/>
      <c r="F5101" s="1"/>
      <c r="G5101" s="1"/>
      <c r="H5101" s="1"/>
    </row>
    <row r="5102" spans="1:8" ht="13.2" x14ac:dyDescent="0.25">
      <c r="A5102" s="1"/>
      <c r="B5102" s="1"/>
      <c r="C5102" s="1"/>
      <c r="D5102" s="1"/>
      <c r="E5102" s="1"/>
      <c r="F5102" s="1"/>
      <c r="G5102" s="1"/>
      <c r="H5102" s="1"/>
    </row>
    <row r="5103" spans="1:8" ht="13.2" x14ac:dyDescent="0.25">
      <c r="A5103" s="1"/>
      <c r="B5103" s="1"/>
      <c r="C5103" s="1"/>
      <c r="D5103" s="1"/>
      <c r="E5103" s="1"/>
      <c r="F5103" s="1"/>
      <c r="G5103" s="1"/>
      <c r="H5103" s="1"/>
    </row>
    <row r="5104" spans="1:8" ht="13.2" x14ac:dyDescent="0.25">
      <c r="A5104" s="1"/>
      <c r="B5104" s="1"/>
      <c r="C5104" s="1"/>
      <c r="D5104" s="1"/>
      <c r="E5104" s="1"/>
      <c r="F5104" s="1"/>
      <c r="G5104" s="1"/>
      <c r="H5104" s="1"/>
    </row>
    <row r="5105" spans="1:8" ht="13.2" x14ac:dyDescent="0.25">
      <c r="A5105" s="1"/>
      <c r="B5105" s="1"/>
      <c r="C5105" s="1"/>
      <c r="D5105" s="1"/>
      <c r="E5105" s="1"/>
      <c r="F5105" s="1"/>
      <c r="G5105" s="1"/>
      <c r="H5105" s="1"/>
    </row>
    <row r="5106" spans="1:8" ht="13.2" x14ac:dyDescent="0.25">
      <c r="A5106" s="1"/>
      <c r="B5106" s="1"/>
      <c r="C5106" s="1"/>
      <c r="D5106" s="1"/>
      <c r="E5106" s="1"/>
      <c r="F5106" s="1"/>
      <c r="G5106" s="1"/>
      <c r="H5106" s="1"/>
    </row>
    <row r="5107" spans="1:8" ht="13.2" x14ac:dyDescent="0.25">
      <c r="A5107" s="1"/>
      <c r="B5107" s="1"/>
      <c r="C5107" s="1"/>
      <c r="D5107" s="1"/>
      <c r="E5107" s="1"/>
      <c r="F5107" s="1"/>
      <c r="G5107" s="1"/>
      <c r="H5107" s="1"/>
    </row>
    <row r="5108" spans="1:8" ht="13.2" x14ac:dyDescent="0.25">
      <c r="A5108" s="1"/>
      <c r="B5108" s="1"/>
      <c r="C5108" s="1"/>
      <c r="D5108" s="1"/>
      <c r="E5108" s="1"/>
      <c r="F5108" s="1"/>
      <c r="G5108" s="1"/>
      <c r="H5108" s="1"/>
    </row>
    <row r="5109" spans="1:8" ht="13.2" x14ac:dyDescent="0.25">
      <c r="A5109" s="1"/>
      <c r="B5109" s="1"/>
      <c r="C5109" s="1"/>
      <c r="D5109" s="1"/>
      <c r="E5109" s="1"/>
      <c r="F5109" s="1"/>
      <c r="G5109" s="1"/>
      <c r="H5109" s="1"/>
    </row>
    <row r="5110" spans="1:8" ht="13.2" x14ac:dyDescent="0.25">
      <c r="A5110" s="1"/>
      <c r="B5110" s="1"/>
      <c r="C5110" s="1"/>
      <c r="D5110" s="1"/>
      <c r="E5110" s="1"/>
      <c r="F5110" s="1"/>
      <c r="G5110" s="1"/>
      <c r="H5110" s="1"/>
    </row>
    <row r="5111" spans="1:8" ht="13.2" x14ac:dyDescent="0.25">
      <c r="A5111" s="1"/>
      <c r="B5111" s="1"/>
      <c r="C5111" s="1"/>
      <c r="D5111" s="1"/>
      <c r="E5111" s="1"/>
      <c r="F5111" s="1"/>
      <c r="G5111" s="1"/>
      <c r="H5111" s="1"/>
    </row>
    <row r="5112" spans="1:8" ht="13.2" x14ac:dyDescent="0.25">
      <c r="A5112" s="1"/>
      <c r="B5112" s="1"/>
      <c r="C5112" s="1"/>
      <c r="D5112" s="1"/>
      <c r="E5112" s="1"/>
      <c r="F5112" s="1"/>
      <c r="G5112" s="1"/>
      <c r="H5112" s="1"/>
    </row>
    <row r="5113" spans="1:8" ht="13.2" x14ac:dyDescent="0.25">
      <c r="A5113" s="1"/>
      <c r="B5113" s="1"/>
      <c r="C5113" s="1"/>
      <c r="D5113" s="1"/>
      <c r="E5113" s="1"/>
      <c r="F5113" s="1"/>
      <c r="G5113" s="1"/>
      <c r="H5113" s="1"/>
    </row>
    <row r="5114" spans="1:8" ht="13.2" x14ac:dyDescent="0.25">
      <c r="A5114" s="1"/>
      <c r="B5114" s="1"/>
      <c r="C5114" s="1"/>
      <c r="D5114" s="1"/>
      <c r="E5114" s="1"/>
      <c r="F5114" s="1"/>
      <c r="G5114" s="1"/>
      <c r="H5114" s="1"/>
    </row>
    <row r="5115" spans="1:8" ht="13.2" x14ac:dyDescent="0.25">
      <c r="A5115" s="1"/>
      <c r="B5115" s="1"/>
      <c r="C5115" s="1"/>
      <c r="D5115" s="1"/>
      <c r="E5115" s="1"/>
      <c r="F5115" s="1"/>
      <c r="G5115" s="1"/>
      <c r="H5115" s="1"/>
    </row>
    <row r="5116" spans="1:8" ht="13.2" x14ac:dyDescent="0.25">
      <c r="A5116" s="1"/>
      <c r="B5116" s="1"/>
      <c r="C5116" s="1"/>
      <c r="D5116" s="1"/>
      <c r="E5116" s="1"/>
      <c r="F5116" s="1"/>
      <c r="G5116" s="1"/>
      <c r="H5116" s="1"/>
    </row>
    <row r="5117" spans="1:8" ht="13.2" x14ac:dyDescent="0.25">
      <c r="A5117" s="1"/>
      <c r="B5117" s="1"/>
      <c r="C5117" s="1"/>
      <c r="D5117" s="1"/>
      <c r="E5117" s="1"/>
      <c r="F5117" s="1"/>
      <c r="G5117" s="1"/>
      <c r="H5117" s="1"/>
    </row>
    <row r="5118" spans="1:8" ht="13.2" x14ac:dyDescent="0.25">
      <c r="A5118" s="1"/>
      <c r="B5118" s="1"/>
      <c r="C5118" s="1"/>
      <c r="D5118" s="1"/>
      <c r="E5118" s="1"/>
      <c r="F5118" s="1"/>
      <c r="G5118" s="1"/>
      <c r="H5118" s="1"/>
    </row>
    <row r="5119" spans="1:8" ht="13.2" x14ac:dyDescent="0.25">
      <c r="A5119" s="1"/>
      <c r="B5119" s="1"/>
      <c r="C5119" s="1"/>
      <c r="D5119" s="1"/>
      <c r="E5119" s="1"/>
      <c r="F5119" s="1"/>
      <c r="G5119" s="1"/>
      <c r="H5119" s="1"/>
    </row>
    <row r="5120" spans="1:8" ht="13.2" x14ac:dyDescent="0.25">
      <c r="A5120" s="1"/>
      <c r="B5120" s="1"/>
      <c r="C5120" s="1"/>
      <c r="D5120" s="1"/>
      <c r="E5120" s="1"/>
      <c r="F5120" s="1"/>
      <c r="G5120" s="1"/>
      <c r="H5120" s="1"/>
    </row>
    <row r="5121" spans="1:8" ht="13.2" x14ac:dyDescent="0.25">
      <c r="A5121" s="1"/>
      <c r="B5121" s="1"/>
      <c r="C5121" s="1"/>
      <c r="D5121" s="1"/>
      <c r="E5121" s="1"/>
      <c r="F5121" s="1"/>
      <c r="G5121" s="1"/>
      <c r="H5121" s="1"/>
    </row>
    <row r="5122" spans="1:8" ht="13.2" x14ac:dyDescent="0.25">
      <c r="A5122" s="1"/>
      <c r="B5122" s="1"/>
      <c r="C5122" s="1"/>
      <c r="D5122" s="1"/>
      <c r="E5122" s="1"/>
      <c r="F5122" s="1"/>
      <c r="G5122" s="1"/>
      <c r="H5122" s="1"/>
    </row>
    <row r="5123" spans="1:8" ht="13.2" x14ac:dyDescent="0.25">
      <c r="A5123" s="1"/>
      <c r="B5123" s="1"/>
      <c r="C5123" s="1"/>
      <c r="D5123" s="1"/>
      <c r="E5123" s="1"/>
      <c r="F5123" s="1"/>
      <c r="G5123" s="1"/>
      <c r="H5123" s="1"/>
    </row>
    <row r="5124" spans="1:8" ht="13.2" x14ac:dyDescent="0.25">
      <c r="A5124" s="1"/>
      <c r="B5124" s="1"/>
      <c r="C5124" s="1"/>
      <c r="D5124" s="1"/>
      <c r="E5124" s="1"/>
      <c r="F5124" s="1"/>
      <c r="G5124" s="1"/>
      <c r="H5124" s="1"/>
    </row>
    <row r="5125" spans="1:8" ht="13.2" x14ac:dyDescent="0.25">
      <c r="A5125" s="1"/>
      <c r="B5125" s="1"/>
      <c r="C5125" s="1"/>
      <c r="D5125" s="1"/>
      <c r="E5125" s="1"/>
      <c r="F5125" s="1"/>
      <c r="G5125" s="1"/>
      <c r="H5125" s="1"/>
    </row>
    <row r="5126" spans="1:8" ht="13.2" x14ac:dyDescent="0.25">
      <c r="A5126" s="1"/>
      <c r="B5126" s="1"/>
      <c r="C5126" s="1"/>
      <c r="D5126" s="1"/>
      <c r="E5126" s="1"/>
      <c r="F5126" s="1"/>
      <c r="G5126" s="1"/>
      <c r="H5126" s="1"/>
    </row>
    <row r="5127" spans="1:8" ht="13.2" x14ac:dyDescent="0.25">
      <c r="A5127" s="1"/>
      <c r="B5127" s="1"/>
      <c r="C5127" s="1"/>
      <c r="D5127" s="1"/>
      <c r="E5127" s="1"/>
      <c r="F5127" s="1"/>
      <c r="G5127" s="1"/>
      <c r="H5127" s="1"/>
    </row>
    <row r="5128" spans="1:8" ht="13.2" x14ac:dyDescent="0.25">
      <c r="A5128" s="1"/>
      <c r="B5128" s="1"/>
      <c r="C5128" s="1"/>
      <c r="D5128" s="1"/>
      <c r="E5128" s="1"/>
      <c r="F5128" s="1"/>
      <c r="G5128" s="1"/>
      <c r="H5128" s="1"/>
    </row>
    <row r="5129" spans="1:8" ht="13.2" x14ac:dyDescent="0.25">
      <c r="A5129" s="1"/>
      <c r="B5129" s="1"/>
      <c r="C5129" s="1"/>
      <c r="D5129" s="1"/>
      <c r="E5129" s="1"/>
      <c r="F5129" s="1"/>
      <c r="G5129" s="1"/>
      <c r="H5129" s="1"/>
    </row>
    <row r="5130" spans="1:8" ht="13.2" x14ac:dyDescent="0.25">
      <c r="A5130" s="1"/>
      <c r="B5130" s="1"/>
      <c r="C5130" s="1"/>
      <c r="D5130" s="1"/>
      <c r="E5130" s="1"/>
      <c r="F5130" s="1"/>
      <c r="G5130" s="1"/>
      <c r="H5130" s="1"/>
    </row>
    <row r="5131" spans="1:8" ht="13.2" x14ac:dyDescent="0.25">
      <c r="A5131" s="1"/>
      <c r="B5131" s="1"/>
      <c r="C5131" s="1"/>
      <c r="D5131" s="1"/>
      <c r="E5131" s="1"/>
      <c r="F5131" s="1"/>
      <c r="G5131" s="1"/>
      <c r="H5131" s="1"/>
    </row>
    <row r="5132" spans="1:8" ht="13.2" x14ac:dyDescent="0.25">
      <c r="A5132" s="1"/>
      <c r="B5132" s="1"/>
      <c r="C5132" s="1"/>
      <c r="D5132" s="1"/>
      <c r="E5132" s="1"/>
      <c r="F5132" s="1"/>
      <c r="G5132" s="1"/>
      <c r="H5132" s="1"/>
    </row>
    <row r="5133" spans="1:8" ht="13.2" x14ac:dyDescent="0.25">
      <c r="A5133" s="1"/>
      <c r="B5133" s="1"/>
      <c r="C5133" s="1"/>
      <c r="D5133" s="1"/>
      <c r="E5133" s="1"/>
      <c r="F5133" s="1"/>
      <c r="G5133" s="1"/>
      <c r="H5133" s="1"/>
    </row>
    <row r="5134" spans="1:8" ht="13.2" x14ac:dyDescent="0.25">
      <c r="A5134" s="1"/>
      <c r="B5134" s="1"/>
      <c r="C5134" s="1"/>
      <c r="D5134" s="1"/>
      <c r="E5134" s="1"/>
      <c r="F5134" s="1"/>
      <c r="G5134" s="1"/>
      <c r="H5134" s="1"/>
    </row>
    <row r="5135" spans="1:8" ht="13.2" x14ac:dyDescent="0.25">
      <c r="A5135" s="1"/>
      <c r="B5135" s="1"/>
      <c r="C5135" s="1"/>
      <c r="D5135" s="1"/>
      <c r="E5135" s="1"/>
      <c r="F5135" s="1"/>
      <c r="G5135" s="1"/>
      <c r="H5135" s="1"/>
    </row>
    <row r="5136" spans="1:8" ht="13.2" x14ac:dyDescent="0.25">
      <c r="A5136" s="1"/>
      <c r="B5136" s="1"/>
      <c r="C5136" s="1"/>
      <c r="D5136" s="1"/>
      <c r="E5136" s="1"/>
      <c r="F5136" s="1"/>
      <c r="G5136" s="1"/>
      <c r="H5136" s="1"/>
    </row>
    <row r="5137" spans="1:8" ht="13.2" x14ac:dyDescent="0.25">
      <c r="A5137" s="1"/>
      <c r="B5137" s="1"/>
      <c r="C5137" s="1"/>
      <c r="D5137" s="1"/>
      <c r="E5137" s="1"/>
      <c r="F5137" s="1"/>
      <c r="G5137" s="1"/>
      <c r="H5137" s="1"/>
    </row>
    <row r="5138" spans="1:8" ht="13.2" x14ac:dyDescent="0.25">
      <c r="A5138" s="1"/>
      <c r="B5138" s="1"/>
      <c r="C5138" s="1"/>
      <c r="D5138" s="1"/>
      <c r="E5138" s="1"/>
      <c r="F5138" s="1"/>
      <c r="G5138" s="1"/>
      <c r="H5138" s="1"/>
    </row>
    <row r="5139" spans="1:8" ht="13.2" x14ac:dyDescent="0.25">
      <c r="A5139" s="1"/>
      <c r="B5139" s="1"/>
      <c r="C5139" s="1"/>
      <c r="D5139" s="1"/>
      <c r="E5139" s="1"/>
      <c r="F5139" s="1"/>
      <c r="G5139" s="1"/>
      <c r="H5139" s="1"/>
    </row>
    <row r="5140" spans="1:8" ht="13.2" x14ac:dyDescent="0.25">
      <c r="A5140" s="1"/>
      <c r="B5140" s="1"/>
      <c r="C5140" s="1"/>
      <c r="D5140" s="1"/>
      <c r="E5140" s="1"/>
      <c r="F5140" s="1"/>
      <c r="G5140" s="1"/>
      <c r="H5140" s="1"/>
    </row>
    <row r="5141" spans="1:8" ht="13.2" x14ac:dyDescent="0.25">
      <c r="A5141" s="1"/>
      <c r="B5141" s="1"/>
      <c r="C5141" s="1"/>
      <c r="D5141" s="1"/>
      <c r="E5141" s="1"/>
      <c r="F5141" s="1"/>
      <c r="G5141" s="1"/>
      <c r="H5141" s="1"/>
    </row>
    <row r="5142" spans="1:8" ht="13.2" x14ac:dyDescent="0.25">
      <c r="A5142" s="1"/>
      <c r="B5142" s="1"/>
      <c r="C5142" s="1"/>
      <c r="D5142" s="1"/>
      <c r="E5142" s="1"/>
      <c r="F5142" s="1"/>
      <c r="G5142" s="1"/>
      <c r="H5142" s="1"/>
    </row>
    <row r="5143" spans="1:8" ht="13.2" x14ac:dyDescent="0.25">
      <c r="A5143" s="1"/>
      <c r="B5143" s="1"/>
      <c r="C5143" s="1"/>
      <c r="D5143" s="1"/>
      <c r="E5143" s="1"/>
      <c r="F5143" s="1"/>
      <c r="G5143" s="1"/>
      <c r="H5143" s="1"/>
    </row>
    <row r="5144" spans="1:8" ht="13.2" x14ac:dyDescent="0.25">
      <c r="A5144" s="1"/>
      <c r="B5144" s="1"/>
      <c r="C5144" s="1"/>
      <c r="D5144" s="1"/>
      <c r="E5144" s="1"/>
      <c r="F5144" s="1"/>
      <c r="G5144" s="1"/>
      <c r="H5144" s="1"/>
    </row>
    <row r="5145" spans="1:8" ht="13.2" x14ac:dyDescent="0.25">
      <c r="A5145" s="1"/>
      <c r="B5145" s="1"/>
      <c r="C5145" s="1"/>
      <c r="D5145" s="1"/>
      <c r="E5145" s="1"/>
      <c r="F5145" s="1"/>
      <c r="G5145" s="1"/>
      <c r="H5145" s="1"/>
    </row>
    <row r="5146" spans="1:8" ht="13.2" x14ac:dyDescent="0.25">
      <c r="A5146" s="1"/>
      <c r="B5146" s="1"/>
      <c r="C5146" s="1"/>
      <c r="D5146" s="1"/>
      <c r="E5146" s="1"/>
      <c r="F5146" s="1"/>
      <c r="G5146" s="1"/>
      <c r="H5146" s="1"/>
    </row>
    <row r="5147" spans="1:8" ht="13.2" x14ac:dyDescent="0.25">
      <c r="A5147" s="1"/>
      <c r="B5147" s="1"/>
      <c r="C5147" s="1"/>
      <c r="D5147" s="1"/>
      <c r="E5147" s="1"/>
      <c r="F5147" s="1"/>
      <c r="G5147" s="1"/>
      <c r="H5147" s="1"/>
    </row>
    <row r="5148" spans="1:8" ht="13.2" x14ac:dyDescent="0.25">
      <c r="A5148" s="1"/>
      <c r="B5148" s="1"/>
      <c r="C5148" s="1"/>
      <c r="D5148" s="1"/>
      <c r="E5148" s="1"/>
      <c r="F5148" s="1"/>
      <c r="G5148" s="1"/>
      <c r="H5148" s="1"/>
    </row>
    <row r="5149" spans="1:8" ht="13.2" x14ac:dyDescent="0.25">
      <c r="A5149" s="1"/>
      <c r="B5149" s="1"/>
      <c r="C5149" s="1"/>
      <c r="D5149" s="1"/>
      <c r="E5149" s="1"/>
      <c r="F5149" s="1"/>
      <c r="G5149" s="1"/>
      <c r="H5149" s="1"/>
    </row>
    <row r="5150" spans="1:8" ht="13.2" x14ac:dyDescent="0.25">
      <c r="A5150" s="1"/>
      <c r="B5150" s="1"/>
      <c r="C5150" s="1"/>
      <c r="D5150" s="1"/>
      <c r="E5150" s="1"/>
      <c r="F5150" s="1"/>
      <c r="G5150" s="1"/>
      <c r="H5150" s="1"/>
    </row>
    <row r="5151" spans="1:8" ht="13.2" x14ac:dyDescent="0.25">
      <c r="A5151" s="1"/>
      <c r="B5151" s="1"/>
      <c r="C5151" s="1"/>
      <c r="D5151" s="1"/>
      <c r="E5151" s="1"/>
      <c r="F5151" s="1"/>
      <c r="G5151" s="1"/>
      <c r="H5151" s="1"/>
    </row>
    <row r="5152" spans="1:8" ht="13.2" x14ac:dyDescent="0.25">
      <c r="A5152" s="1"/>
      <c r="B5152" s="1"/>
      <c r="C5152" s="1"/>
      <c r="D5152" s="1"/>
      <c r="E5152" s="1"/>
      <c r="F5152" s="1"/>
      <c r="G5152" s="1"/>
      <c r="H5152" s="1"/>
    </row>
    <row r="5153" spans="1:8" ht="13.2" x14ac:dyDescent="0.25">
      <c r="A5153" s="1"/>
      <c r="B5153" s="1"/>
      <c r="C5153" s="1"/>
      <c r="D5153" s="1"/>
      <c r="E5153" s="1"/>
      <c r="F5153" s="1"/>
      <c r="G5153" s="1"/>
      <c r="H5153" s="1"/>
    </row>
    <row r="5154" spans="1:8" ht="13.2" x14ac:dyDescent="0.25">
      <c r="A5154" s="1"/>
      <c r="B5154" s="1"/>
      <c r="C5154" s="1"/>
      <c r="D5154" s="1"/>
      <c r="E5154" s="1"/>
      <c r="F5154" s="1"/>
      <c r="G5154" s="1"/>
      <c r="H5154" s="1"/>
    </row>
    <row r="5155" spans="1:8" ht="13.2" x14ac:dyDescent="0.25">
      <c r="A5155" s="1"/>
      <c r="B5155" s="1"/>
      <c r="C5155" s="1"/>
      <c r="D5155" s="1"/>
      <c r="E5155" s="1"/>
      <c r="F5155" s="1"/>
      <c r="G5155" s="1"/>
      <c r="H5155" s="1"/>
    </row>
    <row r="5156" spans="1:8" ht="13.2" x14ac:dyDescent="0.25">
      <c r="A5156" s="1"/>
      <c r="B5156" s="1"/>
      <c r="C5156" s="1"/>
      <c r="D5156" s="1"/>
      <c r="E5156" s="1"/>
      <c r="F5156" s="1"/>
      <c r="G5156" s="1"/>
      <c r="H5156" s="1"/>
    </row>
    <row r="5157" spans="1:8" ht="13.2" x14ac:dyDescent="0.25">
      <c r="A5157" s="1"/>
      <c r="B5157" s="1"/>
      <c r="C5157" s="1"/>
      <c r="D5157" s="1"/>
      <c r="E5157" s="1"/>
      <c r="F5157" s="1"/>
      <c r="G5157" s="1"/>
      <c r="H5157" s="1"/>
    </row>
    <row r="5158" spans="1:8" ht="13.2" x14ac:dyDescent="0.25">
      <c r="A5158" s="1"/>
      <c r="B5158" s="1"/>
      <c r="C5158" s="1"/>
      <c r="D5158" s="1"/>
      <c r="E5158" s="1"/>
      <c r="F5158" s="1"/>
      <c r="G5158" s="1"/>
      <c r="H5158" s="1"/>
    </row>
    <row r="5159" spans="1:8" ht="13.2" x14ac:dyDescent="0.25">
      <c r="A5159" s="1"/>
      <c r="B5159" s="1"/>
      <c r="C5159" s="1"/>
      <c r="D5159" s="1"/>
      <c r="E5159" s="1"/>
      <c r="F5159" s="1"/>
      <c r="G5159" s="1"/>
      <c r="H5159" s="1"/>
    </row>
    <row r="5160" spans="1:8" ht="13.2" x14ac:dyDescent="0.25">
      <c r="A5160" s="1"/>
      <c r="B5160" s="1"/>
      <c r="C5160" s="1"/>
      <c r="D5160" s="1"/>
      <c r="E5160" s="1"/>
      <c r="F5160" s="1"/>
      <c r="G5160" s="1"/>
      <c r="H5160" s="1"/>
    </row>
    <row r="5161" spans="1:8" ht="13.2" x14ac:dyDescent="0.25">
      <c r="A5161" s="1"/>
      <c r="B5161" s="1"/>
      <c r="C5161" s="1"/>
      <c r="D5161" s="1"/>
      <c r="E5161" s="1"/>
      <c r="F5161" s="1"/>
      <c r="G5161" s="1"/>
      <c r="H5161" s="1"/>
    </row>
    <row r="5162" spans="1:8" ht="13.2" x14ac:dyDescent="0.25">
      <c r="A5162" s="1"/>
      <c r="B5162" s="1"/>
      <c r="C5162" s="1"/>
      <c r="D5162" s="1"/>
      <c r="E5162" s="1"/>
      <c r="F5162" s="1"/>
      <c r="G5162" s="1"/>
      <c r="H5162" s="1"/>
    </row>
    <row r="5163" spans="1:8" ht="13.2" x14ac:dyDescent="0.25">
      <c r="A5163" s="1"/>
      <c r="B5163" s="1"/>
      <c r="C5163" s="1"/>
      <c r="D5163" s="1"/>
      <c r="E5163" s="1"/>
      <c r="F5163" s="1"/>
      <c r="G5163" s="1"/>
      <c r="H5163" s="1"/>
    </row>
    <row r="5164" spans="1:8" ht="13.2" x14ac:dyDescent="0.25">
      <c r="A5164" s="1"/>
      <c r="B5164" s="1"/>
      <c r="C5164" s="1"/>
      <c r="D5164" s="1"/>
      <c r="E5164" s="1"/>
      <c r="F5164" s="1"/>
      <c r="G5164" s="1"/>
      <c r="H5164" s="1"/>
    </row>
    <row r="5165" spans="1:8" ht="13.2" x14ac:dyDescent="0.25">
      <c r="A5165" s="1"/>
      <c r="B5165" s="1"/>
      <c r="C5165" s="1"/>
      <c r="D5165" s="1"/>
      <c r="E5165" s="1"/>
      <c r="F5165" s="1"/>
      <c r="G5165" s="1"/>
      <c r="H5165" s="1"/>
    </row>
    <row r="5166" spans="1:8" ht="13.2" x14ac:dyDescent="0.25">
      <c r="A5166" s="1"/>
      <c r="B5166" s="1"/>
      <c r="C5166" s="1"/>
      <c r="D5166" s="1"/>
      <c r="E5166" s="1"/>
      <c r="F5166" s="1"/>
      <c r="G5166" s="1"/>
      <c r="H5166" s="1"/>
    </row>
    <row r="5167" spans="1:8" ht="13.2" x14ac:dyDescent="0.25">
      <c r="A5167" s="1"/>
      <c r="B5167" s="1"/>
      <c r="C5167" s="1"/>
      <c r="D5167" s="1"/>
      <c r="E5167" s="1"/>
      <c r="F5167" s="1"/>
      <c r="G5167" s="1"/>
      <c r="H5167" s="1"/>
    </row>
    <row r="5168" spans="1:8" ht="13.2" x14ac:dyDescent="0.25">
      <c r="A5168" s="1"/>
      <c r="B5168" s="1"/>
      <c r="C5168" s="1"/>
      <c r="D5168" s="1"/>
      <c r="E5168" s="1"/>
      <c r="F5168" s="1"/>
      <c r="G5168" s="1"/>
      <c r="H5168" s="1"/>
    </row>
    <row r="5169" spans="1:8" ht="13.2" x14ac:dyDescent="0.25">
      <c r="A5169" s="1"/>
      <c r="B5169" s="1"/>
      <c r="C5169" s="1"/>
      <c r="D5169" s="1"/>
      <c r="E5169" s="1"/>
      <c r="F5169" s="1"/>
      <c r="G5169" s="1"/>
      <c r="H5169" s="1"/>
    </row>
    <row r="5170" spans="1:8" ht="13.2" x14ac:dyDescent="0.25">
      <c r="A5170" s="1"/>
      <c r="B5170" s="1"/>
      <c r="C5170" s="1"/>
      <c r="D5170" s="1"/>
      <c r="E5170" s="1"/>
      <c r="F5170" s="1"/>
      <c r="G5170" s="1"/>
      <c r="H5170" s="1"/>
    </row>
    <row r="5171" spans="1:8" ht="13.2" x14ac:dyDescent="0.25">
      <c r="A5171" s="1"/>
      <c r="B5171" s="1"/>
      <c r="C5171" s="1"/>
      <c r="D5171" s="1"/>
      <c r="E5171" s="1"/>
      <c r="F5171" s="1"/>
      <c r="G5171" s="1"/>
      <c r="H5171" s="1"/>
    </row>
    <row r="5172" spans="1:8" ht="13.2" x14ac:dyDescent="0.25">
      <c r="A5172" s="1"/>
      <c r="B5172" s="1"/>
      <c r="C5172" s="1"/>
      <c r="D5172" s="1"/>
      <c r="E5172" s="1"/>
      <c r="F5172" s="1"/>
      <c r="G5172" s="1"/>
      <c r="H5172" s="1"/>
    </row>
    <row r="5173" spans="1:8" ht="13.2" x14ac:dyDescent="0.25">
      <c r="A5173" s="1"/>
      <c r="B5173" s="1"/>
      <c r="C5173" s="1"/>
      <c r="D5173" s="1"/>
      <c r="E5173" s="1"/>
      <c r="F5173" s="1"/>
      <c r="G5173" s="1"/>
      <c r="H5173" s="1"/>
    </row>
    <row r="5174" spans="1:8" ht="13.2" x14ac:dyDescent="0.25">
      <c r="A5174" s="1"/>
      <c r="B5174" s="1"/>
      <c r="C5174" s="1"/>
      <c r="D5174" s="1"/>
      <c r="E5174" s="1"/>
      <c r="F5174" s="1"/>
      <c r="G5174" s="1"/>
      <c r="H5174" s="1"/>
    </row>
    <row r="5175" spans="1:8" ht="13.2" x14ac:dyDescent="0.25">
      <c r="A5175" s="1"/>
      <c r="B5175" s="1"/>
      <c r="C5175" s="1"/>
      <c r="D5175" s="1"/>
      <c r="E5175" s="1"/>
      <c r="F5175" s="1"/>
      <c r="G5175" s="1"/>
      <c r="H5175" s="1"/>
    </row>
    <row r="5176" spans="1:8" ht="13.2" x14ac:dyDescent="0.25">
      <c r="A5176" s="1"/>
      <c r="B5176" s="1"/>
      <c r="C5176" s="1"/>
      <c r="D5176" s="1"/>
      <c r="E5176" s="1"/>
      <c r="F5176" s="1"/>
      <c r="G5176" s="1"/>
      <c r="H5176" s="1"/>
    </row>
    <row r="5177" spans="1:8" ht="13.2" x14ac:dyDescent="0.25">
      <c r="A5177" s="1"/>
      <c r="B5177" s="1"/>
      <c r="C5177" s="1"/>
      <c r="D5177" s="1"/>
      <c r="E5177" s="1"/>
      <c r="F5177" s="1"/>
      <c r="G5177" s="1"/>
      <c r="H5177" s="1"/>
    </row>
    <row r="5178" spans="1:8" ht="13.2" x14ac:dyDescent="0.25">
      <c r="A5178" s="1"/>
      <c r="B5178" s="1"/>
      <c r="C5178" s="1"/>
      <c r="D5178" s="1"/>
      <c r="E5178" s="1"/>
      <c r="F5178" s="1"/>
      <c r="G5178" s="1"/>
      <c r="H5178" s="1"/>
    </row>
    <row r="5179" spans="1:8" ht="13.2" x14ac:dyDescent="0.25">
      <c r="A5179" s="1"/>
      <c r="B5179" s="1"/>
      <c r="C5179" s="1"/>
      <c r="D5179" s="1"/>
      <c r="E5179" s="1"/>
      <c r="F5179" s="1"/>
      <c r="G5179" s="1"/>
      <c r="H5179" s="1"/>
    </row>
    <row r="5180" spans="1:8" ht="13.2" x14ac:dyDescent="0.25">
      <c r="A5180" s="1"/>
      <c r="B5180" s="1"/>
      <c r="C5180" s="1"/>
      <c r="D5180" s="1"/>
      <c r="E5180" s="1"/>
      <c r="F5180" s="1"/>
      <c r="G5180" s="1"/>
      <c r="H5180" s="1"/>
    </row>
    <row r="5181" spans="1:8" ht="13.2" x14ac:dyDescent="0.25">
      <c r="A5181" s="1"/>
      <c r="B5181" s="1"/>
      <c r="C5181" s="1"/>
      <c r="D5181" s="1"/>
      <c r="E5181" s="1"/>
      <c r="F5181" s="1"/>
      <c r="G5181" s="1"/>
      <c r="H5181" s="1"/>
    </row>
    <row r="5182" spans="1:8" ht="13.2" x14ac:dyDescent="0.25">
      <c r="A5182" s="1"/>
      <c r="B5182" s="1"/>
      <c r="C5182" s="1"/>
      <c r="D5182" s="1"/>
      <c r="E5182" s="1"/>
      <c r="F5182" s="1"/>
      <c r="G5182" s="1"/>
      <c r="H5182" s="1"/>
    </row>
    <row r="5183" spans="1:8" ht="13.2" x14ac:dyDescent="0.25">
      <c r="A5183" s="1"/>
      <c r="B5183" s="1"/>
      <c r="C5183" s="1"/>
      <c r="D5183" s="1"/>
      <c r="E5183" s="1"/>
      <c r="F5183" s="1"/>
      <c r="G5183" s="1"/>
      <c r="H5183" s="1"/>
    </row>
    <row r="5184" spans="1:8" ht="13.2" x14ac:dyDescent="0.25">
      <c r="A5184" s="1"/>
      <c r="B5184" s="1"/>
      <c r="C5184" s="1"/>
      <c r="D5184" s="1"/>
      <c r="E5184" s="1"/>
      <c r="F5184" s="1"/>
      <c r="G5184" s="1"/>
      <c r="H5184" s="1"/>
    </row>
    <row r="5185" spans="1:8" ht="13.2" x14ac:dyDescent="0.25">
      <c r="A5185" s="1"/>
      <c r="B5185" s="1"/>
      <c r="C5185" s="1"/>
      <c r="D5185" s="1"/>
      <c r="E5185" s="1"/>
      <c r="F5185" s="1"/>
      <c r="G5185" s="1"/>
      <c r="H5185" s="1"/>
    </row>
    <row r="5186" spans="1:8" ht="13.2" x14ac:dyDescent="0.25">
      <c r="A5186" s="1"/>
      <c r="B5186" s="1"/>
      <c r="C5186" s="1"/>
      <c r="D5186" s="1"/>
      <c r="E5186" s="1"/>
      <c r="F5186" s="1"/>
      <c r="G5186" s="1"/>
      <c r="H5186" s="1"/>
    </row>
    <row r="5187" spans="1:8" ht="13.2" x14ac:dyDescent="0.25">
      <c r="A5187" s="1"/>
      <c r="B5187" s="1"/>
      <c r="C5187" s="1"/>
      <c r="D5187" s="1"/>
      <c r="E5187" s="1"/>
      <c r="F5187" s="1"/>
      <c r="G5187" s="1"/>
      <c r="H5187" s="1"/>
    </row>
    <row r="5188" spans="1:8" ht="13.2" x14ac:dyDescent="0.25">
      <c r="A5188" s="1"/>
      <c r="B5188" s="1"/>
      <c r="C5188" s="1"/>
      <c r="D5188" s="1"/>
      <c r="E5188" s="1"/>
      <c r="F5188" s="1"/>
      <c r="G5188" s="1"/>
      <c r="H5188" s="1"/>
    </row>
    <row r="5189" spans="1:8" ht="13.2" x14ac:dyDescent="0.25">
      <c r="A5189" s="1"/>
      <c r="B5189" s="1"/>
      <c r="C5189" s="1"/>
      <c r="D5189" s="1"/>
      <c r="E5189" s="1"/>
      <c r="F5189" s="1"/>
      <c r="G5189" s="1"/>
      <c r="H5189" s="1"/>
    </row>
    <row r="5190" spans="1:8" ht="13.2" x14ac:dyDescent="0.25">
      <c r="A5190" s="1"/>
      <c r="B5190" s="1"/>
      <c r="C5190" s="1"/>
      <c r="D5190" s="1"/>
      <c r="E5190" s="1"/>
      <c r="F5190" s="1"/>
      <c r="G5190" s="1"/>
      <c r="H5190" s="1"/>
    </row>
    <row r="5191" spans="1:8" ht="13.2" x14ac:dyDescent="0.25">
      <c r="A5191" s="1"/>
      <c r="B5191" s="1"/>
      <c r="C5191" s="1"/>
      <c r="D5191" s="1"/>
      <c r="E5191" s="1"/>
      <c r="F5191" s="1"/>
      <c r="G5191" s="1"/>
      <c r="H5191" s="1"/>
    </row>
    <row r="5192" spans="1:8" ht="13.2" x14ac:dyDescent="0.25">
      <c r="A5192" s="1"/>
      <c r="B5192" s="1"/>
      <c r="C5192" s="1"/>
      <c r="D5192" s="1"/>
      <c r="E5192" s="1"/>
      <c r="F5192" s="1"/>
      <c r="G5192" s="1"/>
      <c r="H5192" s="1"/>
    </row>
    <row r="5193" spans="1:8" ht="13.2" x14ac:dyDescent="0.25">
      <c r="A5193" s="1"/>
      <c r="B5193" s="1"/>
      <c r="C5193" s="1"/>
      <c r="D5193" s="1"/>
      <c r="E5193" s="1"/>
      <c r="F5193" s="1"/>
      <c r="G5193" s="1"/>
      <c r="H5193" s="1"/>
    </row>
    <row r="5194" spans="1:8" ht="13.2" x14ac:dyDescent="0.25">
      <c r="A5194" s="1"/>
      <c r="B5194" s="1"/>
      <c r="C5194" s="1"/>
      <c r="D5194" s="1"/>
      <c r="E5194" s="1"/>
      <c r="F5194" s="1"/>
      <c r="G5194" s="1"/>
      <c r="H5194" s="1"/>
    </row>
    <row r="5195" spans="1:8" ht="13.2" x14ac:dyDescent="0.25">
      <c r="A5195" s="1"/>
      <c r="B5195" s="1"/>
      <c r="C5195" s="1"/>
      <c r="D5195" s="1"/>
      <c r="E5195" s="1"/>
      <c r="F5195" s="1"/>
      <c r="G5195" s="1"/>
      <c r="H5195" s="1"/>
    </row>
    <row r="5196" spans="1:8" ht="13.2" x14ac:dyDescent="0.25">
      <c r="A5196" s="1"/>
      <c r="B5196" s="1"/>
      <c r="C5196" s="1"/>
      <c r="D5196" s="1"/>
      <c r="E5196" s="1"/>
      <c r="F5196" s="1"/>
      <c r="G5196" s="1"/>
      <c r="H5196" s="1"/>
    </row>
    <row r="5197" spans="1:8" ht="13.2" x14ac:dyDescent="0.25">
      <c r="A5197" s="1"/>
      <c r="B5197" s="1"/>
      <c r="C5197" s="1"/>
      <c r="D5197" s="1"/>
      <c r="E5197" s="1"/>
      <c r="F5197" s="1"/>
      <c r="G5197" s="1"/>
      <c r="H5197" s="1"/>
    </row>
    <row r="5198" spans="1:8" ht="13.2" x14ac:dyDescent="0.25">
      <c r="A5198" s="1"/>
      <c r="B5198" s="1"/>
      <c r="C5198" s="1"/>
      <c r="D5198" s="1"/>
      <c r="E5198" s="1"/>
      <c r="F5198" s="1"/>
      <c r="G5198" s="1"/>
      <c r="H5198" s="1"/>
    </row>
    <row r="5199" spans="1:8" ht="13.2" x14ac:dyDescent="0.25">
      <c r="A5199" s="1"/>
      <c r="B5199" s="1"/>
      <c r="C5199" s="1"/>
      <c r="D5199" s="1"/>
      <c r="E5199" s="1"/>
      <c r="F5199" s="1"/>
      <c r="G5199" s="1"/>
      <c r="H5199" s="1"/>
    </row>
    <row r="5200" spans="1:8" ht="13.2" x14ac:dyDescent="0.25">
      <c r="A5200" s="1"/>
      <c r="B5200" s="1"/>
      <c r="C5200" s="1"/>
      <c r="D5200" s="1"/>
      <c r="E5200" s="1"/>
      <c r="F5200" s="1"/>
      <c r="G5200" s="1"/>
      <c r="H5200" s="1"/>
    </row>
    <row r="5201" spans="1:8" ht="13.2" x14ac:dyDescent="0.25">
      <c r="A5201" s="1"/>
      <c r="B5201" s="1"/>
      <c r="C5201" s="1"/>
      <c r="D5201" s="1"/>
      <c r="E5201" s="1"/>
      <c r="F5201" s="1"/>
      <c r="G5201" s="1"/>
      <c r="H5201" s="1"/>
    </row>
    <row r="5202" spans="1:8" ht="13.2" x14ac:dyDescent="0.25">
      <c r="A5202" s="1"/>
      <c r="B5202" s="1"/>
      <c r="C5202" s="1"/>
      <c r="D5202" s="1"/>
      <c r="E5202" s="1"/>
      <c r="F5202" s="1"/>
      <c r="G5202" s="1"/>
      <c r="H5202" s="1"/>
    </row>
    <row r="5203" spans="1:8" ht="13.2" x14ac:dyDescent="0.25">
      <c r="A5203" s="1"/>
      <c r="B5203" s="1"/>
      <c r="C5203" s="1"/>
      <c r="D5203" s="1"/>
      <c r="E5203" s="1"/>
      <c r="F5203" s="1"/>
      <c r="G5203" s="1"/>
      <c r="H5203" s="1"/>
    </row>
    <row r="5204" spans="1:8" ht="13.2" x14ac:dyDescent="0.25">
      <c r="A5204" s="1"/>
      <c r="B5204" s="1"/>
      <c r="C5204" s="1"/>
      <c r="D5204" s="1"/>
      <c r="E5204" s="1"/>
      <c r="F5204" s="1"/>
      <c r="G5204" s="1"/>
      <c r="H5204" s="1"/>
    </row>
    <row r="5205" spans="1:8" ht="13.2" x14ac:dyDescent="0.25">
      <c r="A5205" s="1"/>
      <c r="B5205" s="1"/>
      <c r="C5205" s="1"/>
      <c r="D5205" s="1"/>
      <c r="E5205" s="1"/>
      <c r="F5205" s="1"/>
      <c r="G5205" s="1"/>
      <c r="H5205" s="1"/>
    </row>
    <row r="5206" spans="1:8" ht="13.2" x14ac:dyDescent="0.25">
      <c r="A5206" s="1"/>
      <c r="B5206" s="1"/>
      <c r="C5206" s="1"/>
      <c r="D5206" s="1"/>
      <c r="E5206" s="1"/>
      <c r="F5206" s="1"/>
      <c r="G5206" s="1"/>
      <c r="H5206" s="1"/>
    </row>
    <row r="5207" spans="1:8" ht="13.2" x14ac:dyDescent="0.25">
      <c r="A5207" s="1"/>
      <c r="B5207" s="1"/>
      <c r="C5207" s="1"/>
      <c r="D5207" s="1"/>
      <c r="E5207" s="1"/>
      <c r="F5207" s="1"/>
      <c r="G5207" s="1"/>
      <c r="H5207" s="1"/>
    </row>
    <row r="5208" spans="1:8" ht="13.2" x14ac:dyDescent="0.25">
      <c r="A5208" s="1"/>
      <c r="B5208" s="1"/>
      <c r="C5208" s="1"/>
      <c r="D5208" s="1"/>
      <c r="E5208" s="1"/>
      <c r="F5208" s="1"/>
      <c r="G5208" s="1"/>
      <c r="H5208" s="1"/>
    </row>
    <row r="5209" spans="1:8" ht="13.2" x14ac:dyDescent="0.25">
      <c r="A5209" s="1"/>
      <c r="B5209" s="1"/>
      <c r="C5209" s="1"/>
      <c r="D5209" s="1"/>
      <c r="E5209" s="1"/>
      <c r="F5209" s="1"/>
      <c r="G5209" s="1"/>
      <c r="H5209" s="1"/>
    </row>
    <row r="5210" spans="1:8" ht="13.2" x14ac:dyDescent="0.25">
      <c r="A5210" s="1"/>
      <c r="B5210" s="1"/>
      <c r="C5210" s="1"/>
      <c r="D5210" s="1"/>
      <c r="E5210" s="1"/>
      <c r="F5210" s="1"/>
      <c r="G5210" s="1"/>
      <c r="H5210" s="1"/>
    </row>
    <row r="5211" spans="1:8" ht="13.2" x14ac:dyDescent="0.25">
      <c r="A5211" s="1"/>
      <c r="B5211" s="1"/>
      <c r="C5211" s="1"/>
      <c r="D5211" s="1"/>
      <c r="E5211" s="1"/>
      <c r="F5211" s="1"/>
      <c r="G5211" s="1"/>
      <c r="H5211" s="1"/>
    </row>
    <row r="5212" spans="1:8" ht="13.2" x14ac:dyDescent="0.25">
      <c r="A5212" s="1"/>
      <c r="B5212" s="1"/>
      <c r="C5212" s="1"/>
      <c r="D5212" s="1"/>
      <c r="E5212" s="1"/>
      <c r="F5212" s="1"/>
      <c r="G5212" s="1"/>
      <c r="H5212" s="1"/>
    </row>
    <row r="5213" spans="1:8" ht="13.2" x14ac:dyDescent="0.25">
      <c r="A5213" s="1"/>
      <c r="B5213" s="1"/>
      <c r="C5213" s="1"/>
      <c r="D5213" s="1"/>
      <c r="E5213" s="1"/>
      <c r="F5213" s="1"/>
      <c r="G5213" s="1"/>
      <c r="H5213" s="1"/>
    </row>
    <row r="5214" spans="1:8" ht="13.2" x14ac:dyDescent="0.25">
      <c r="A5214" s="1"/>
      <c r="B5214" s="1"/>
      <c r="C5214" s="1"/>
      <c r="D5214" s="1"/>
      <c r="E5214" s="1"/>
      <c r="F5214" s="1"/>
      <c r="G5214" s="1"/>
      <c r="H5214" s="1"/>
    </row>
    <row r="5215" spans="1:8" ht="13.2" x14ac:dyDescent="0.25">
      <c r="A5215" s="1"/>
      <c r="B5215" s="1"/>
      <c r="C5215" s="1"/>
      <c r="D5215" s="1"/>
      <c r="E5215" s="1"/>
      <c r="F5215" s="1"/>
      <c r="G5215" s="1"/>
      <c r="H5215" s="1"/>
    </row>
    <row r="5216" spans="1:8" ht="13.2" x14ac:dyDescent="0.25">
      <c r="A5216" s="1"/>
      <c r="B5216" s="1"/>
      <c r="C5216" s="1"/>
      <c r="D5216" s="1"/>
      <c r="E5216" s="1"/>
      <c r="F5216" s="1"/>
      <c r="G5216" s="1"/>
      <c r="H5216" s="1"/>
    </row>
    <row r="5217" spans="1:8" ht="13.2" x14ac:dyDescent="0.25">
      <c r="A5217" s="1"/>
      <c r="B5217" s="1"/>
      <c r="C5217" s="1"/>
      <c r="D5217" s="1"/>
      <c r="E5217" s="1"/>
      <c r="F5217" s="1"/>
      <c r="G5217" s="1"/>
      <c r="H5217" s="1"/>
    </row>
    <row r="5218" spans="1:8" ht="13.2" x14ac:dyDescent="0.25">
      <c r="A5218" s="1"/>
      <c r="B5218" s="1"/>
      <c r="C5218" s="1"/>
      <c r="D5218" s="1"/>
      <c r="E5218" s="1"/>
      <c r="F5218" s="1"/>
      <c r="G5218" s="1"/>
      <c r="H5218" s="1"/>
    </row>
    <row r="5219" spans="1:8" ht="13.2" x14ac:dyDescent="0.25">
      <c r="A5219" s="1"/>
      <c r="B5219" s="1"/>
      <c r="C5219" s="1"/>
      <c r="D5219" s="1"/>
      <c r="E5219" s="1"/>
      <c r="F5219" s="1"/>
      <c r="G5219" s="1"/>
      <c r="H5219" s="1"/>
    </row>
    <row r="5220" spans="1:8" ht="13.2" x14ac:dyDescent="0.25">
      <c r="A5220" s="1"/>
      <c r="B5220" s="1"/>
      <c r="C5220" s="1"/>
      <c r="D5220" s="1"/>
      <c r="E5220" s="1"/>
      <c r="F5220" s="1"/>
      <c r="G5220" s="1"/>
      <c r="H5220" s="1"/>
    </row>
    <row r="5221" spans="1:8" ht="13.2" x14ac:dyDescent="0.25">
      <c r="A5221" s="1"/>
      <c r="B5221" s="1"/>
      <c r="C5221" s="1"/>
      <c r="D5221" s="1"/>
      <c r="E5221" s="1"/>
      <c r="F5221" s="1"/>
      <c r="G5221" s="1"/>
      <c r="H5221" s="1"/>
    </row>
    <row r="5222" spans="1:8" ht="13.2" x14ac:dyDescent="0.25">
      <c r="A5222" s="1"/>
      <c r="B5222" s="1"/>
      <c r="C5222" s="1"/>
      <c r="D5222" s="1"/>
      <c r="E5222" s="1"/>
      <c r="F5222" s="1"/>
      <c r="G5222" s="1"/>
      <c r="H5222" s="1"/>
    </row>
    <row r="5223" spans="1:8" ht="13.2" x14ac:dyDescent="0.25">
      <c r="A5223" s="1"/>
      <c r="B5223" s="1"/>
      <c r="C5223" s="1"/>
      <c r="D5223" s="1"/>
      <c r="E5223" s="1"/>
      <c r="F5223" s="1"/>
      <c r="G5223" s="1"/>
      <c r="H5223" s="1"/>
    </row>
    <row r="5224" spans="1:8" ht="13.2" x14ac:dyDescent="0.25">
      <c r="A5224" s="1"/>
      <c r="B5224" s="1"/>
      <c r="C5224" s="1"/>
      <c r="D5224" s="1"/>
      <c r="E5224" s="1"/>
      <c r="F5224" s="1"/>
      <c r="G5224" s="1"/>
      <c r="H5224" s="1"/>
    </row>
    <row r="5225" spans="1:8" ht="13.2" x14ac:dyDescent="0.25">
      <c r="A5225" s="1"/>
      <c r="B5225" s="1"/>
      <c r="C5225" s="1"/>
      <c r="D5225" s="1"/>
      <c r="E5225" s="1"/>
      <c r="F5225" s="1"/>
      <c r="G5225" s="1"/>
      <c r="H5225" s="1"/>
    </row>
    <row r="5226" spans="1:8" ht="13.2" x14ac:dyDescent="0.25">
      <c r="A5226" s="1"/>
      <c r="B5226" s="1"/>
      <c r="C5226" s="1"/>
      <c r="D5226" s="1"/>
      <c r="E5226" s="1"/>
      <c r="F5226" s="1"/>
      <c r="G5226" s="1"/>
      <c r="H5226" s="1"/>
    </row>
    <row r="5227" spans="1:8" ht="13.2" x14ac:dyDescent="0.25">
      <c r="A5227" s="1"/>
      <c r="B5227" s="1"/>
      <c r="C5227" s="1"/>
      <c r="D5227" s="1"/>
      <c r="E5227" s="1"/>
      <c r="F5227" s="1"/>
      <c r="G5227" s="1"/>
      <c r="H5227" s="1"/>
    </row>
    <row r="5228" spans="1:8" ht="13.2" x14ac:dyDescent="0.25">
      <c r="A5228" s="1"/>
      <c r="B5228" s="1"/>
      <c r="C5228" s="1"/>
      <c r="D5228" s="1"/>
      <c r="E5228" s="1"/>
      <c r="F5228" s="1"/>
      <c r="G5228" s="1"/>
      <c r="H5228" s="1"/>
    </row>
    <row r="5229" spans="1:8" ht="13.2" x14ac:dyDescent="0.25">
      <c r="A5229" s="1"/>
      <c r="B5229" s="1"/>
      <c r="C5229" s="1"/>
      <c r="D5229" s="1"/>
      <c r="E5229" s="1"/>
      <c r="F5229" s="1"/>
      <c r="G5229" s="1"/>
      <c r="H5229" s="1"/>
    </row>
    <row r="5230" spans="1:8" ht="13.2" x14ac:dyDescent="0.25">
      <c r="A5230" s="1"/>
      <c r="B5230" s="1"/>
      <c r="C5230" s="1"/>
      <c r="D5230" s="1"/>
      <c r="E5230" s="1"/>
      <c r="F5230" s="1"/>
      <c r="G5230" s="1"/>
      <c r="H5230" s="1"/>
    </row>
    <row r="5231" spans="1:8" ht="13.2" x14ac:dyDescent="0.25">
      <c r="A5231" s="1"/>
      <c r="B5231" s="1"/>
      <c r="C5231" s="1"/>
      <c r="D5231" s="1"/>
      <c r="E5231" s="1"/>
      <c r="F5231" s="1"/>
      <c r="G5231" s="1"/>
      <c r="H5231" s="1"/>
    </row>
    <row r="5232" spans="1:8" ht="13.2" x14ac:dyDescent="0.25">
      <c r="A5232" s="1"/>
      <c r="B5232" s="1"/>
      <c r="C5232" s="1"/>
      <c r="D5232" s="1"/>
      <c r="E5232" s="1"/>
      <c r="F5232" s="1"/>
      <c r="G5232" s="1"/>
      <c r="H5232" s="1"/>
    </row>
    <row r="5233" spans="1:8" ht="13.2" x14ac:dyDescent="0.25">
      <c r="A5233" s="1"/>
      <c r="B5233" s="1"/>
      <c r="C5233" s="1"/>
      <c r="D5233" s="1"/>
      <c r="E5233" s="1"/>
      <c r="F5233" s="1"/>
      <c r="G5233" s="1"/>
      <c r="H5233" s="1"/>
    </row>
    <row r="5234" spans="1:8" ht="13.2" x14ac:dyDescent="0.25">
      <c r="A5234" s="1"/>
      <c r="B5234" s="1"/>
      <c r="C5234" s="1"/>
      <c r="D5234" s="1"/>
      <c r="E5234" s="1"/>
      <c r="F5234" s="1"/>
      <c r="G5234" s="1"/>
      <c r="H5234" s="1"/>
    </row>
    <row r="5235" spans="1:8" ht="13.2" x14ac:dyDescent="0.25">
      <c r="A5235" s="1"/>
      <c r="B5235" s="1"/>
      <c r="C5235" s="1"/>
      <c r="D5235" s="1"/>
      <c r="E5235" s="1"/>
      <c r="F5235" s="1"/>
      <c r="G5235" s="1"/>
      <c r="H5235" s="1"/>
    </row>
    <row r="5236" spans="1:8" ht="13.2" x14ac:dyDescent="0.25">
      <c r="A5236" s="1"/>
      <c r="B5236" s="1"/>
      <c r="C5236" s="1"/>
      <c r="D5236" s="1"/>
      <c r="E5236" s="1"/>
      <c r="F5236" s="1"/>
      <c r="G5236" s="1"/>
      <c r="H5236" s="1"/>
    </row>
    <row r="5237" spans="1:8" ht="13.2" x14ac:dyDescent="0.25">
      <c r="A5237" s="1"/>
      <c r="B5237" s="1"/>
      <c r="C5237" s="1"/>
      <c r="D5237" s="1"/>
      <c r="E5237" s="1"/>
      <c r="F5237" s="1"/>
      <c r="G5237" s="1"/>
      <c r="H5237" s="1"/>
    </row>
    <row r="5238" spans="1:8" ht="13.2" x14ac:dyDescent="0.25">
      <c r="A5238" s="1"/>
      <c r="B5238" s="1"/>
      <c r="C5238" s="1"/>
      <c r="D5238" s="1"/>
      <c r="E5238" s="1"/>
      <c r="F5238" s="1"/>
      <c r="G5238" s="1"/>
      <c r="H5238" s="1"/>
    </row>
    <row r="5239" spans="1:8" ht="13.2" x14ac:dyDescent="0.25">
      <c r="A5239" s="1"/>
      <c r="B5239" s="1"/>
      <c r="C5239" s="1"/>
      <c r="D5239" s="1"/>
      <c r="E5239" s="1"/>
      <c r="F5239" s="1"/>
      <c r="G5239" s="1"/>
      <c r="H5239" s="1"/>
    </row>
    <row r="5240" spans="1:8" ht="13.2" x14ac:dyDescent="0.25">
      <c r="A5240" s="1"/>
      <c r="B5240" s="1"/>
      <c r="C5240" s="1"/>
      <c r="D5240" s="1"/>
      <c r="E5240" s="1"/>
      <c r="F5240" s="1"/>
      <c r="G5240" s="1"/>
      <c r="H5240" s="1"/>
    </row>
    <row r="5241" spans="1:8" ht="13.2" x14ac:dyDescent="0.25">
      <c r="A5241" s="1"/>
      <c r="B5241" s="1"/>
      <c r="C5241" s="1"/>
      <c r="D5241" s="1"/>
      <c r="E5241" s="1"/>
      <c r="F5241" s="1"/>
      <c r="G5241" s="1"/>
      <c r="H5241" s="1"/>
    </row>
    <row r="5242" spans="1:8" ht="13.2" x14ac:dyDescent="0.25">
      <c r="A5242" s="1"/>
      <c r="B5242" s="1"/>
      <c r="C5242" s="1"/>
      <c r="D5242" s="1"/>
      <c r="E5242" s="1"/>
      <c r="F5242" s="1"/>
      <c r="G5242" s="1"/>
      <c r="H5242" s="1"/>
    </row>
    <row r="5243" spans="1:8" ht="13.2" x14ac:dyDescent="0.25">
      <c r="A5243" s="1"/>
      <c r="B5243" s="1"/>
      <c r="C5243" s="1"/>
      <c r="D5243" s="1"/>
      <c r="E5243" s="1"/>
      <c r="F5243" s="1"/>
      <c r="G5243" s="1"/>
      <c r="H5243" s="1"/>
    </row>
    <row r="5244" spans="1:8" ht="13.2" x14ac:dyDescent="0.25">
      <c r="A5244" s="1"/>
      <c r="B5244" s="1"/>
      <c r="C5244" s="1"/>
      <c r="D5244" s="1"/>
      <c r="E5244" s="1"/>
      <c r="F5244" s="1"/>
      <c r="G5244" s="1"/>
      <c r="H5244" s="1"/>
    </row>
    <row r="5245" spans="1:8" ht="13.2" x14ac:dyDescent="0.25">
      <c r="A5245" s="1"/>
      <c r="B5245" s="1"/>
      <c r="C5245" s="1"/>
      <c r="D5245" s="1"/>
      <c r="E5245" s="1"/>
      <c r="F5245" s="1"/>
      <c r="G5245" s="1"/>
      <c r="H5245" s="1"/>
    </row>
    <row r="5246" spans="1:8" ht="13.2" x14ac:dyDescent="0.25">
      <c r="A5246" s="1"/>
      <c r="B5246" s="1"/>
      <c r="C5246" s="1"/>
      <c r="D5246" s="1"/>
      <c r="E5246" s="1"/>
      <c r="F5246" s="1"/>
      <c r="G5246" s="1"/>
      <c r="H5246" s="1"/>
    </row>
    <row r="5247" spans="1:8" ht="13.2" x14ac:dyDescent="0.25">
      <c r="A5247" s="1"/>
      <c r="B5247" s="1"/>
      <c r="C5247" s="1"/>
      <c r="D5247" s="1"/>
      <c r="E5247" s="1"/>
      <c r="F5247" s="1"/>
      <c r="G5247" s="1"/>
      <c r="H5247" s="1"/>
    </row>
    <row r="5248" spans="1:8" ht="13.2" x14ac:dyDescent="0.25">
      <c r="A5248" s="1"/>
      <c r="B5248" s="1"/>
      <c r="C5248" s="1"/>
      <c r="D5248" s="1"/>
      <c r="E5248" s="1"/>
      <c r="F5248" s="1"/>
      <c r="G5248" s="1"/>
      <c r="H5248" s="1"/>
    </row>
    <row r="5249" spans="1:8" ht="13.2" x14ac:dyDescent="0.25">
      <c r="A5249" s="1"/>
      <c r="B5249" s="1"/>
      <c r="C5249" s="1"/>
      <c r="D5249" s="1"/>
      <c r="E5249" s="1"/>
      <c r="F5249" s="1"/>
      <c r="G5249" s="1"/>
      <c r="H5249" s="1"/>
    </row>
    <row r="5250" spans="1:8" ht="13.2" x14ac:dyDescent="0.25">
      <c r="A5250" s="1"/>
      <c r="B5250" s="1"/>
      <c r="C5250" s="1"/>
      <c r="D5250" s="1"/>
      <c r="E5250" s="1"/>
      <c r="F5250" s="1"/>
      <c r="G5250" s="1"/>
      <c r="H5250" s="1"/>
    </row>
    <row r="5251" spans="1:8" ht="13.2" x14ac:dyDescent="0.25">
      <c r="A5251" s="1"/>
      <c r="B5251" s="1"/>
      <c r="C5251" s="1"/>
      <c r="D5251" s="1"/>
      <c r="E5251" s="1"/>
      <c r="F5251" s="1"/>
      <c r="G5251" s="1"/>
      <c r="H5251" s="1"/>
    </row>
    <row r="5252" spans="1:8" ht="13.2" x14ac:dyDescent="0.25">
      <c r="A5252" s="1"/>
      <c r="B5252" s="1"/>
      <c r="C5252" s="1"/>
      <c r="D5252" s="1"/>
      <c r="E5252" s="1"/>
      <c r="F5252" s="1"/>
      <c r="G5252" s="1"/>
      <c r="H5252" s="1"/>
    </row>
    <row r="5253" spans="1:8" ht="13.2" x14ac:dyDescent="0.25">
      <c r="A5253" s="1"/>
      <c r="B5253" s="1"/>
      <c r="C5253" s="1"/>
      <c r="D5253" s="1"/>
      <c r="E5253" s="1"/>
      <c r="F5253" s="1"/>
      <c r="G5253" s="1"/>
      <c r="H5253" s="1"/>
    </row>
    <row r="5254" spans="1:8" ht="13.2" x14ac:dyDescent="0.25">
      <c r="A5254" s="1"/>
      <c r="B5254" s="1"/>
      <c r="C5254" s="1"/>
      <c r="D5254" s="1"/>
      <c r="E5254" s="1"/>
      <c r="F5254" s="1"/>
      <c r="G5254" s="1"/>
      <c r="H5254" s="1"/>
    </row>
    <row r="5255" spans="1:8" ht="13.2" x14ac:dyDescent="0.25">
      <c r="A5255" s="1"/>
      <c r="B5255" s="1"/>
      <c r="C5255" s="1"/>
      <c r="D5255" s="1"/>
      <c r="E5255" s="1"/>
      <c r="F5255" s="1"/>
      <c r="G5255" s="1"/>
      <c r="H5255" s="1"/>
    </row>
    <row r="5256" spans="1:8" ht="13.2" x14ac:dyDescent="0.25">
      <c r="A5256" s="1"/>
      <c r="B5256" s="1"/>
      <c r="C5256" s="1"/>
      <c r="D5256" s="1"/>
      <c r="E5256" s="1"/>
      <c r="F5256" s="1"/>
      <c r="G5256" s="1"/>
      <c r="H5256" s="1"/>
    </row>
    <row r="5257" spans="1:8" ht="13.2" x14ac:dyDescent="0.25">
      <c r="A5257" s="1"/>
      <c r="B5257" s="1"/>
      <c r="C5257" s="1"/>
      <c r="D5257" s="1"/>
      <c r="E5257" s="1"/>
      <c r="F5257" s="1"/>
      <c r="G5257" s="1"/>
      <c r="H5257" s="1"/>
    </row>
    <row r="5258" spans="1:8" ht="13.2" x14ac:dyDescent="0.25">
      <c r="A5258" s="1"/>
      <c r="B5258" s="1"/>
      <c r="C5258" s="1"/>
      <c r="D5258" s="1"/>
      <c r="E5258" s="1"/>
      <c r="F5258" s="1"/>
      <c r="G5258" s="1"/>
      <c r="H5258" s="1"/>
    </row>
    <row r="5259" spans="1:8" ht="13.2" x14ac:dyDescent="0.25">
      <c r="A5259" s="1"/>
      <c r="B5259" s="1"/>
      <c r="C5259" s="1"/>
      <c r="D5259" s="1"/>
      <c r="E5259" s="1"/>
      <c r="F5259" s="1"/>
      <c r="G5259" s="1"/>
      <c r="H5259" s="1"/>
    </row>
    <row r="5260" spans="1:8" ht="13.2" x14ac:dyDescent="0.25">
      <c r="A5260" s="1"/>
      <c r="B5260" s="1"/>
      <c r="C5260" s="1"/>
      <c r="D5260" s="1"/>
      <c r="E5260" s="1"/>
      <c r="F5260" s="1"/>
      <c r="G5260" s="1"/>
      <c r="H5260" s="1"/>
    </row>
    <row r="5261" spans="1:8" ht="13.2" x14ac:dyDescent="0.25">
      <c r="A5261" s="1"/>
      <c r="B5261" s="1"/>
      <c r="C5261" s="1"/>
      <c r="D5261" s="1"/>
      <c r="E5261" s="1"/>
      <c r="F5261" s="1"/>
      <c r="G5261" s="1"/>
      <c r="H5261" s="1"/>
    </row>
    <row r="5262" spans="1:8" ht="13.2" x14ac:dyDescent="0.25">
      <c r="A5262" s="1"/>
      <c r="B5262" s="1"/>
      <c r="C5262" s="1"/>
      <c r="D5262" s="1"/>
      <c r="E5262" s="1"/>
      <c r="F5262" s="1"/>
      <c r="G5262" s="1"/>
      <c r="H5262" s="1"/>
    </row>
    <row r="5263" spans="1:8" ht="13.2" x14ac:dyDescent="0.25">
      <c r="A5263" s="1"/>
      <c r="B5263" s="1"/>
      <c r="C5263" s="1"/>
      <c r="D5263" s="1"/>
      <c r="E5263" s="1"/>
      <c r="F5263" s="1"/>
      <c r="G5263" s="1"/>
      <c r="H5263" s="1"/>
    </row>
    <row r="5264" spans="1:8" ht="13.2" x14ac:dyDescent="0.25">
      <c r="A5264" s="1"/>
      <c r="B5264" s="1"/>
      <c r="C5264" s="1"/>
      <c r="D5264" s="1"/>
      <c r="E5264" s="1"/>
      <c r="F5264" s="1"/>
      <c r="G5264" s="1"/>
      <c r="H5264" s="1"/>
    </row>
    <row r="5265" spans="1:8" ht="13.2" x14ac:dyDescent="0.25">
      <c r="A5265" s="1"/>
      <c r="B5265" s="1"/>
      <c r="C5265" s="1"/>
      <c r="D5265" s="1"/>
      <c r="E5265" s="1"/>
      <c r="F5265" s="1"/>
      <c r="G5265" s="1"/>
      <c r="H5265" s="1"/>
    </row>
    <row r="5266" spans="1:8" ht="13.2" x14ac:dyDescent="0.25">
      <c r="A5266" s="1"/>
      <c r="B5266" s="1"/>
      <c r="C5266" s="1"/>
      <c r="D5266" s="1"/>
      <c r="E5266" s="1"/>
      <c r="F5266" s="1"/>
      <c r="G5266" s="1"/>
      <c r="H5266" s="1"/>
    </row>
    <row r="5267" spans="1:8" ht="13.2" x14ac:dyDescent="0.25">
      <c r="A5267" s="1"/>
      <c r="B5267" s="1"/>
      <c r="C5267" s="1"/>
      <c r="D5267" s="1"/>
      <c r="E5267" s="1"/>
      <c r="F5267" s="1"/>
      <c r="G5267" s="1"/>
      <c r="H5267" s="1"/>
    </row>
    <row r="5268" spans="1:8" ht="13.2" x14ac:dyDescent="0.25">
      <c r="A5268" s="1"/>
      <c r="B5268" s="1"/>
      <c r="C5268" s="1"/>
      <c r="D5268" s="1"/>
      <c r="E5268" s="1"/>
      <c r="F5268" s="1"/>
      <c r="G5268" s="1"/>
      <c r="H5268" s="1"/>
    </row>
    <row r="5269" spans="1:8" ht="13.2" x14ac:dyDescent="0.25">
      <c r="A5269" s="1"/>
      <c r="B5269" s="1"/>
      <c r="C5269" s="1"/>
      <c r="D5269" s="1"/>
      <c r="E5269" s="1"/>
      <c r="F5269" s="1"/>
      <c r="G5269" s="1"/>
      <c r="H5269" s="1"/>
    </row>
    <row r="5270" spans="1:8" ht="13.2" x14ac:dyDescent="0.25">
      <c r="A5270" s="1"/>
      <c r="B5270" s="1"/>
      <c r="C5270" s="1"/>
      <c r="D5270" s="1"/>
      <c r="E5270" s="1"/>
      <c r="F5270" s="1"/>
      <c r="G5270" s="1"/>
      <c r="H5270" s="1"/>
    </row>
    <row r="5271" spans="1:8" ht="13.2" x14ac:dyDescent="0.25">
      <c r="A5271" s="1"/>
      <c r="B5271" s="1"/>
      <c r="C5271" s="1"/>
      <c r="D5271" s="1"/>
      <c r="E5271" s="1"/>
      <c r="F5271" s="1"/>
      <c r="G5271" s="1"/>
      <c r="H5271" s="1"/>
    </row>
    <row r="5272" spans="1:8" ht="13.2" x14ac:dyDescent="0.25">
      <c r="A5272" s="1"/>
      <c r="B5272" s="1"/>
      <c r="C5272" s="1"/>
      <c r="D5272" s="1"/>
      <c r="E5272" s="1"/>
      <c r="F5272" s="1"/>
      <c r="G5272" s="1"/>
      <c r="H5272" s="1"/>
    </row>
    <row r="5273" spans="1:8" ht="13.2" x14ac:dyDescent="0.25">
      <c r="A5273" s="1"/>
      <c r="B5273" s="1"/>
      <c r="C5273" s="1"/>
      <c r="D5273" s="1"/>
      <c r="E5273" s="1"/>
      <c r="F5273" s="1"/>
      <c r="G5273" s="1"/>
      <c r="H5273" s="1"/>
    </row>
    <row r="5274" spans="1:8" ht="13.2" x14ac:dyDescent="0.25">
      <c r="A5274" s="1"/>
      <c r="B5274" s="1"/>
      <c r="C5274" s="1"/>
      <c r="D5274" s="1"/>
      <c r="E5274" s="1"/>
      <c r="F5274" s="1"/>
      <c r="G5274" s="1"/>
      <c r="H5274" s="1"/>
    </row>
    <row r="5275" spans="1:8" ht="13.2" x14ac:dyDescent="0.25">
      <c r="A5275" s="1"/>
      <c r="B5275" s="1"/>
      <c r="C5275" s="1"/>
      <c r="D5275" s="1"/>
      <c r="E5275" s="1"/>
      <c r="F5275" s="1"/>
      <c r="G5275" s="1"/>
      <c r="H5275" s="1"/>
    </row>
    <row r="5276" spans="1:8" ht="13.2" x14ac:dyDescent="0.25">
      <c r="A5276" s="1"/>
      <c r="B5276" s="1"/>
      <c r="C5276" s="1"/>
      <c r="D5276" s="1"/>
      <c r="E5276" s="1"/>
      <c r="F5276" s="1"/>
      <c r="G5276" s="1"/>
      <c r="H5276" s="1"/>
    </row>
    <row r="5277" spans="1:8" ht="13.2" x14ac:dyDescent="0.25">
      <c r="A5277" s="1"/>
      <c r="B5277" s="1"/>
      <c r="C5277" s="1"/>
      <c r="D5277" s="1"/>
      <c r="E5277" s="1"/>
      <c r="F5277" s="1"/>
      <c r="G5277" s="1"/>
      <c r="H5277" s="1"/>
    </row>
    <row r="5278" spans="1:8" ht="13.2" x14ac:dyDescent="0.25">
      <c r="A5278" s="1"/>
      <c r="B5278" s="1"/>
      <c r="C5278" s="1"/>
      <c r="D5278" s="1"/>
      <c r="E5278" s="1"/>
      <c r="F5278" s="1"/>
      <c r="G5278" s="1"/>
      <c r="H5278" s="1"/>
    </row>
    <row r="5279" spans="1:8" ht="13.2" x14ac:dyDescent="0.25">
      <c r="A5279" s="1"/>
      <c r="B5279" s="1"/>
      <c r="C5279" s="1"/>
      <c r="D5279" s="1"/>
      <c r="E5279" s="1"/>
      <c r="F5279" s="1"/>
      <c r="G5279" s="1"/>
      <c r="H5279" s="1"/>
    </row>
    <row r="5280" spans="1:8" ht="13.2" x14ac:dyDescent="0.25">
      <c r="A5280" s="1"/>
      <c r="B5280" s="1"/>
      <c r="C5280" s="1"/>
      <c r="D5280" s="1"/>
      <c r="E5280" s="1"/>
      <c r="F5280" s="1"/>
      <c r="G5280" s="1"/>
      <c r="H5280" s="1"/>
    </row>
    <row r="5281" spans="1:8" ht="13.2" x14ac:dyDescent="0.25">
      <c r="A5281" s="1"/>
      <c r="B5281" s="1"/>
      <c r="C5281" s="1"/>
      <c r="D5281" s="1"/>
      <c r="E5281" s="1"/>
      <c r="F5281" s="1"/>
      <c r="G5281" s="1"/>
      <c r="H5281" s="1"/>
    </row>
    <row r="5282" spans="1:8" ht="13.2" x14ac:dyDescent="0.25">
      <c r="A5282" s="1"/>
      <c r="B5282" s="1"/>
      <c r="C5282" s="1"/>
      <c r="D5282" s="1"/>
      <c r="E5282" s="1"/>
      <c r="F5282" s="1"/>
      <c r="G5282" s="1"/>
      <c r="H5282" s="1"/>
    </row>
    <row r="5283" spans="1:8" ht="13.2" x14ac:dyDescent="0.25">
      <c r="A5283" s="1"/>
      <c r="B5283" s="1"/>
      <c r="C5283" s="1"/>
      <c r="D5283" s="1"/>
      <c r="E5283" s="1"/>
      <c r="F5283" s="1"/>
      <c r="G5283" s="1"/>
      <c r="H5283" s="1"/>
    </row>
    <row r="5284" spans="1:8" ht="13.2" x14ac:dyDescent="0.25">
      <c r="A5284" s="1"/>
      <c r="B5284" s="1"/>
      <c r="C5284" s="1"/>
      <c r="D5284" s="1"/>
      <c r="E5284" s="1"/>
      <c r="F5284" s="1"/>
      <c r="G5284" s="1"/>
      <c r="H5284" s="1"/>
    </row>
    <row r="5285" spans="1:8" ht="13.2" x14ac:dyDescent="0.25">
      <c r="A5285" s="1"/>
      <c r="B5285" s="1"/>
      <c r="C5285" s="1"/>
      <c r="D5285" s="1"/>
      <c r="E5285" s="1"/>
      <c r="F5285" s="1"/>
      <c r="G5285" s="1"/>
      <c r="H5285" s="1"/>
    </row>
    <row r="5286" spans="1:8" ht="13.2" x14ac:dyDescent="0.25">
      <c r="A5286" s="1"/>
      <c r="B5286" s="1"/>
      <c r="C5286" s="1"/>
      <c r="D5286" s="1"/>
      <c r="E5286" s="1"/>
      <c r="F5286" s="1"/>
      <c r="G5286" s="1"/>
      <c r="H5286" s="1"/>
    </row>
    <row r="5287" spans="1:8" ht="13.2" x14ac:dyDescent="0.25">
      <c r="A5287" s="1"/>
      <c r="B5287" s="1"/>
      <c r="C5287" s="1"/>
      <c r="D5287" s="1"/>
      <c r="E5287" s="1"/>
      <c r="F5287" s="1"/>
      <c r="G5287" s="1"/>
      <c r="H5287" s="1"/>
    </row>
    <row r="5288" spans="1:8" ht="13.2" x14ac:dyDescent="0.25">
      <c r="A5288" s="1"/>
      <c r="B5288" s="1"/>
      <c r="C5288" s="1"/>
      <c r="D5288" s="1"/>
      <c r="E5288" s="1"/>
      <c r="F5288" s="1"/>
      <c r="G5288" s="1"/>
      <c r="H5288" s="1"/>
    </row>
    <row r="5289" spans="1:8" ht="13.2" x14ac:dyDescent="0.25">
      <c r="A5289" s="1"/>
      <c r="B5289" s="1"/>
      <c r="C5289" s="1"/>
      <c r="D5289" s="1"/>
      <c r="E5289" s="1"/>
      <c r="F5289" s="1"/>
      <c r="G5289" s="1"/>
      <c r="H5289" s="1"/>
    </row>
    <row r="5290" spans="1:8" ht="13.2" x14ac:dyDescent="0.25">
      <c r="A5290" s="1"/>
      <c r="B5290" s="1"/>
      <c r="C5290" s="1"/>
      <c r="D5290" s="1"/>
      <c r="E5290" s="1"/>
      <c r="F5290" s="1"/>
      <c r="G5290" s="1"/>
      <c r="H5290" s="1"/>
    </row>
    <row r="5291" spans="1:8" ht="13.2" x14ac:dyDescent="0.25">
      <c r="A5291" s="1"/>
      <c r="B5291" s="1"/>
      <c r="C5291" s="1"/>
      <c r="D5291" s="1"/>
      <c r="E5291" s="1"/>
      <c r="F5291" s="1"/>
      <c r="G5291" s="1"/>
      <c r="H5291" s="1"/>
    </row>
    <row r="5292" spans="1:8" ht="13.2" x14ac:dyDescent="0.25">
      <c r="A5292" s="1"/>
      <c r="B5292" s="1"/>
      <c r="C5292" s="1"/>
      <c r="D5292" s="1"/>
      <c r="E5292" s="1"/>
      <c r="F5292" s="1"/>
      <c r="G5292" s="1"/>
      <c r="H5292" s="1"/>
    </row>
    <row r="5293" spans="1:8" ht="13.2" x14ac:dyDescent="0.25">
      <c r="A5293" s="1"/>
      <c r="B5293" s="1"/>
      <c r="C5293" s="1"/>
      <c r="D5293" s="1"/>
      <c r="E5293" s="1"/>
      <c r="F5293" s="1"/>
      <c r="G5293" s="1"/>
      <c r="H5293" s="1"/>
    </row>
    <row r="5294" spans="1:8" ht="13.2" x14ac:dyDescent="0.25">
      <c r="A5294" s="1"/>
      <c r="B5294" s="1"/>
      <c r="C5294" s="1"/>
      <c r="D5294" s="1"/>
      <c r="E5294" s="1"/>
      <c r="F5294" s="1"/>
      <c r="G5294" s="1"/>
      <c r="H5294" s="1"/>
    </row>
    <row r="5295" spans="1:8" ht="13.2" x14ac:dyDescent="0.25">
      <c r="A5295" s="1"/>
      <c r="B5295" s="1"/>
      <c r="C5295" s="1"/>
      <c r="D5295" s="1"/>
      <c r="E5295" s="1"/>
      <c r="F5295" s="1"/>
      <c r="G5295" s="1"/>
      <c r="H5295" s="1"/>
    </row>
    <row r="5296" spans="1:8" ht="13.2" x14ac:dyDescent="0.25">
      <c r="A5296" s="1"/>
      <c r="B5296" s="1"/>
      <c r="C5296" s="1"/>
      <c r="D5296" s="1"/>
      <c r="E5296" s="1"/>
      <c r="F5296" s="1"/>
      <c r="G5296" s="1"/>
      <c r="H5296" s="1"/>
    </row>
    <row r="5297" spans="1:8" ht="13.2" x14ac:dyDescent="0.25">
      <c r="A5297" s="1"/>
      <c r="B5297" s="1"/>
      <c r="C5297" s="1"/>
      <c r="D5297" s="1"/>
      <c r="E5297" s="1"/>
      <c r="F5297" s="1"/>
      <c r="G5297" s="1"/>
      <c r="H5297" s="1"/>
    </row>
    <row r="5298" spans="1:8" ht="13.2" x14ac:dyDescent="0.25">
      <c r="A5298" s="1"/>
      <c r="B5298" s="1"/>
      <c r="C5298" s="1"/>
      <c r="D5298" s="1"/>
      <c r="E5298" s="1"/>
      <c r="F5298" s="1"/>
      <c r="G5298" s="1"/>
      <c r="H5298" s="1"/>
    </row>
    <row r="5299" spans="1:8" ht="13.2" x14ac:dyDescent="0.25">
      <c r="A5299" s="1"/>
      <c r="B5299" s="1"/>
      <c r="C5299" s="1"/>
      <c r="D5299" s="1"/>
      <c r="E5299" s="1"/>
      <c r="F5299" s="1"/>
      <c r="G5299" s="1"/>
      <c r="H5299" s="1"/>
    </row>
    <row r="5300" spans="1:8" ht="13.2" x14ac:dyDescent="0.25">
      <c r="A5300" s="1"/>
      <c r="B5300" s="1"/>
      <c r="C5300" s="1"/>
      <c r="D5300" s="1"/>
      <c r="E5300" s="1"/>
      <c r="F5300" s="1"/>
      <c r="G5300" s="1"/>
      <c r="H5300" s="1"/>
    </row>
    <row r="5301" spans="1:8" ht="13.2" x14ac:dyDescent="0.25">
      <c r="A5301" s="1"/>
      <c r="B5301" s="1"/>
      <c r="C5301" s="1"/>
      <c r="D5301" s="1"/>
      <c r="E5301" s="1"/>
      <c r="F5301" s="1"/>
      <c r="G5301" s="1"/>
      <c r="H5301" s="1"/>
    </row>
    <row r="5302" spans="1:8" ht="13.2" x14ac:dyDescent="0.25">
      <c r="A5302" s="1"/>
      <c r="B5302" s="1"/>
      <c r="C5302" s="1"/>
      <c r="D5302" s="1"/>
      <c r="E5302" s="1"/>
      <c r="F5302" s="1"/>
      <c r="G5302" s="1"/>
      <c r="H5302" s="1"/>
    </row>
    <row r="5303" spans="1:8" ht="13.2" x14ac:dyDescent="0.25">
      <c r="A5303" s="1"/>
      <c r="B5303" s="1"/>
      <c r="C5303" s="1"/>
      <c r="D5303" s="1"/>
      <c r="E5303" s="1"/>
      <c r="F5303" s="1"/>
      <c r="G5303" s="1"/>
      <c r="H5303" s="1"/>
    </row>
    <row r="5304" spans="1:8" ht="13.2" x14ac:dyDescent="0.25">
      <c r="A5304" s="1"/>
      <c r="B5304" s="1"/>
      <c r="C5304" s="1"/>
      <c r="D5304" s="1"/>
      <c r="E5304" s="1"/>
      <c r="F5304" s="1"/>
      <c r="G5304" s="1"/>
      <c r="H5304" s="1"/>
    </row>
    <row r="5305" spans="1:8" ht="13.2" x14ac:dyDescent="0.25">
      <c r="A5305" s="1"/>
      <c r="B5305" s="1"/>
      <c r="C5305" s="1"/>
      <c r="D5305" s="1"/>
      <c r="E5305" s="1"/>
      <c r="F5305" s="1"/>
      <c r="G5305" s="1"/>
      <c r="H5305" s="1"/>
    </row>
    <row r="5306" spans="1:8" ht="13.2" x14ac:dyDescent="0.25">
      <c r="A5306" s="1"/>
      <c r="B5306" s="1"/>
      <c r="C5306" s="1"/>
      <c r="D5306" s="1"/>
      <c r="E5306" s="1"/>
      <c r="F5306" s="1"/>
      <c r="G5306" s="1"/>
      <c r="H5306" s="1"/>
    </row>
    <row r="5307" spans="1:8" ht="13.2" x14ac:dyDescent="0.25">
      <c r="A5307" s="1"/>
      <c r="B5307" s="1"/>
      <c r="C5307" s="1"/>
      <c r="D5307" s="1"/>
      <c r="E5307" s="1"/>
      <c r="F5307" s="1"/>
      <c r="G5307" s="1"/>
      <c r="H5307" s="1"/>
    </row>
    <row r="5308" spans="1:8" ht="13.2" x14ac:dyDescent="0.25">
      <c r="A5308" s="1"/>
      <c r="B5308" s="1"/>
      <c r="C5308" s="1"/>
      <c r="D5308" s="1"/>
      <c r="E5308" s="1"/>
      <c r="F5308" s="1"/>
      <c r="G5308" s="1"/>
      <c r="H5308" s="1"/>
    </row>
    <row r="5309" spans="1:8" ht="13.2" x14ac:dyDescent="0.25">
      <c r="A5309" s="1"/>
      <c r="B5309" s="1"/>
      <c r="C5309" s="1"/>
      <c r="D5309" s="1"/>
      <c r="E5309" s="1"/>
      <c r="F5309" s="1"/>
      <c r="G5309" s="1"/>
      <c r="H5309" s="1"/>
    </row>
    <row r="5310" spans="1:8" ht="13.2" x14ac:dyDescent="0.25">
      <c r="A5310" s="1"/>
      <c r="B5310" s="1"/>
      <c r="C5310" s="1"/>
      <c r="D5310" s="1"/>
      <c r="E5310" s="1"/>
      <c r="F5310" s="1"/>
      <c r="G5310" s="1"/>
      <c r="H5310" s="1"/>
    </row>
    <row r="5311" spans="1:8" ht="13.2" x14ac:dyDescent="0.25">
      <c r="A5311" s="1"/>
      <c r="B5311" s="1"/>
      <c r="C5311" s="1"/>
      <c r="D5311" s="1"/>
      <c r="E5311" s="1"/>
      <c r="F5311" s="1"/>
      <c r="G5311" s="1"/>
      <c r="H5311" s="1"/>
    </row>
    <row r="5312" spans="1:8" ht="13.2" x14ac:dyDescent="0.25">
      <c r="A5312" s="1"/>
      <c r="B5312" s="1"/>
      <c r="C5312" s="1"/>
      <c r="D5312" s="1"/>
      <c r="E5312" s="1"/>
      <c r="F5312" s="1"/>
      <c r="G5312" s="1"/>
      <c r="H5312" s="1"/>
    </row>
    <row r="5313" spans="1:8" ht="13.2" x14ac:dyDescent="0.25">
      <c r="A5313" s="1"/>
      <c r="B5313" s="1"/>
      <c r="C5313" s="1"/>
      <c r="D5313" s="1"/>
      <c r="E5313" s="1"/>
      <c r="F5313" s="1"/>
      <c r="G5313" s="1"/>
      <c r="H5313" s="1"/>
    </row>
    <row r="5314" spans="1:8" ht="13.2" x14ac:dyDescent="0.25">
      <c r="A5314" s="1"/>
      <c r="B5314" s="1"/>
      <c r="C5314" s="1"/>
      <c r="D5314" s="1"/>
      <c r="E5314" s="1"/>
      <c r="F5314" s="1"/>
      <c r="G5314" s="1"/>
      <c r="H5314" s="1"/>
    </row>
    <row r="5315" spans="1:8" ht="13.2" x14ac:dyDescent="0.25">
      <c r="A5315" s="1"/>
      <c r="B5315" s="1"/>
      <c r="C5315" s="1"/>
      <c r="D5315" s="1"/>
      <c r="E5315" s="1"/>
      <c r="F5315" s="1"/>
      <c r="G5315" s="1"/>
      <c r="H5315" s="1"/>
    </row>
  </sheetData>
  <hyperlinks>
    <hyperlink ref="G2" r:id="rId1" display="http://literature.awgp.org/book/glimpse_of_golden_future/v2" xr:uid="{00000000-0004-0000-0000-000004000000}"/>
    <hyperlink ref="G4" r:id="rId2" display="https://vicharkrantibooks.org/productdetail?book_name=ENGRE092_APPLIED_SCIENCE_OF_YAGYA_FOR_HEALTH_AND_ENVIRONMENT_RE2011&amp;product_id=3484" xr:uid="{00000000-0004-0000-0000-000006000000}"/>
    <hyperlink ref="G5" r:id="rId3" display="https://vicharkrantibooks.org/productdetail?book_name=ENGP0968_ASSIGN_YOUR_GOALS_IN_STUDENT_LIFE_xxyyyy&amp;product_id=3507" xr:uid="{00000000-0004-0000-0000-000007000000}"/>
    <hyperlink ref="G6" r:id="rId4" display="http://literature.awgp.org/book/astonishing_power_of_physical_subtle_energy_of_human/v1" xr:uid="{00000000-0004-0000-0000-000008000000}"/>
    <hyperlink ref="G7" r:id="rId5" display="https://vicharkrantibooks.org/productdetail?book_name=ENGRE043_AWAKE_O%27TALENTED_AND_COME_FORWARD_RE2012&amp;product_id=3436" xr:uid="{00000000-0004-0000-0000-000009000000}"/>
    <hyperlink ref="G8" r:id="rId6" display="https://vicharkrantibooks.org/productdetail?book_name=ENGB0206_BE_GOOD_1st2013&amp;product_id=3519" xr:uid="{00000000-0004-0000-0000-00000A000000}"/>
    <hyperlink ref="G9" r:id="rId7" display="https://vicharkrantibooks.org/productdetail?book_name=ENGP0498_BE_SAVED_FROM_MENTAL_TENSION_xxyyyy&amp;product_id=3452" xr:uid="{00000000-0004-0000-0000-00000B000000}"/>
    <hyperlink ref="G10" r:id="rId8" display="https://vicharkrantibooks.org/productdetail?book_name=ENGB0204_BHAGWAN_BUDDHA_1st2013&amp;product_id=3524" xr:uid="{00000000-0004-0000-0000-00000C000000}"/>
    <hyperlink ref="G11" r:id="rId9" display="https://vicharkrantibooks.org/productdetail?book_name=ENGP0957_CHANGE_OF_THOUGHTS_CHANGES_THE_ERA_xxyyyy&amp;product_id=3486" xr:uid="{00000000-0004-0000-0000-00000D000000}"/>
    <hyperlink ref="G12" r:id="rId10" display="https://vicharkrantibooks.org/productdetail?product_id=3497" xr:uid="{00000000-0004-0000-0000-00000F000000}"/>
    <hyperlink ref="G13" r:id="rId11" display="http://literature.awgp.org/book/deep_yagya/v1" xr:uid="{00000000-0004-0000-0000-000010000000}"/>
    <hyperlink ref="G14" r:id="rId12" display="https://vicharkrantibooks.org/productdetail?book_name=ENGP0810_DETERMINATION_PAVES_THE_WAY_TO_SUCCESS_xxyyyy&amp;product_id=3508" xr:uid="{00000000-0004-0000-0000-000011000000}"/>
    <hyperlink ref="G15" r:id="rId13" display="https://vicharkrantibooks.org/productdetail?book_name=ENGR1378_DIAGNOSE_CURE_AND_EMPOWER_YOUR_SELF_BY_CURRENT_OF_BREATH_RE2011&amp;product_id=3457" xr:uid="{00000000-0004-0000-0000-000012000000}"/>
    <hyperlink ref="G16" r:id="rId14" display="http://literature.awgp.org/book/vyavastha_buddhi_ki_garima/v2" xr:uid="{00000000-0004-0000-0000-000013000000}"/>
    <hyperlink ref="G17" r:id="rId15" display="https://vicharkrantibooks.org/productdetail?product_id=3446" xr:uid="{00000000-0004-0000-0000-000014000000}"/>
    <hyperlink ref="G18" r:id="rId16" display="https://vicharkrantibooks.org/productdetail?book_name=ENGP0009_DON%E2%80%99T_BE_TRAPPED_BY_THE_EVILS_OF_MODERNISATION_xxyyyy&amp;product_id=3503" xr:uid="{00000000-0004-0000-0000-000015000000}"/>
    <hyperlink ref="G19" r:id="rId17" display="https://vicharkrantibooks.org/productdetail?book_name=ENGP0981_DON%E2%80%99T_SCARE_BUT_FIGHT_THE_ADVERSITIES_xxyyyy&amp;product_id=3514" xr:uid="{00000000-0004-0000-0000-000016000000}"/>
    <hyperlink ref="G20" r:id="rId18" display="https://vicharkrantibooks.org/productdetail?book_name=ENGR1152_DONATION_OF_TIME_THE_SUPREME_CHARITY_RE2011&amp;product_id=3411" xr:uid="{00000000-0004-0000-0000-000017000000}"/>
    <hyperlink ref="G21" r:id="rId19" display="https://vicharkrantibooks.org/productdetail?book_name=ENGB0203_DROPS_OF_NECTAR_1st2013&amp;product_id=3523" xr:uid="{00000000-0004-0000-0000-000018000000}"/>
    <hyperlink ref="G22" r:id="rId20" display="https://vicharkrantibooks.org/productdetail?book_name=ENGR0976_ELITE_SHOULD_COME_FORWARD_TO_MANAGE_THE_RELIGIOUS_SET_UP_RE2011&amp;product_id=3402" xr:uid="{00000000-0004-0000-0000-000019000000}"/>
    <hyperlink ref="G23" r:id="rId21" display="http://literature.awgp.org/book/Eternity_of_Sound_and_The_Science_of_Mantras/v1" xr:uid="{00000000-0004-0000-0000-00001A000000}"/>
    <hyperlink ref="G24" r:id="rId22" display="http://literature.awgp.org/book/The_ExtraSensory_Potentials_of_mind/v1" xr:uid="{00000000-0004-0000-0000-00001B000000}"/>
    <hyperlink ref="G25" r:id="rId23" display="https://vicharkrantibooks.org/productdetail?book_name=ENGP0069_FIGHT_YOUR_WEAKNESSES_BE_STRONG_xxyyyy&amp;product_id=3512" xr:uid="{00000000-0004-0000-0000-00001C000000}"/>
    <hyperlink ref="G26" r:id="rId24" display="https://vicharkrantibooks.org/productdetail?book_name=ENGB0216_FIRM_ENDEAVOUR_1st2013&amp;product_id=3533" xr:uid="{00000000-0004-0000-0000-00001D000000}"/>
    <hyperlink ref="G27" r:id="rId25" display="https://vicharkrantibooks.org/productdetails?book_name=ENGR1216_FORM_AND_SPIRIT_OF_VEDIC_RITUAL_WORSHIP_PROCEDURE_OF_YAGYA_xx2009&amp;product_id=3442" xr:uid="{00000000-0004-0000-0000-00001E000000}"/>
    <hyperlink ref="G28" r:id="rId26" display="https://vicharkrantibooks.org/productdetail?book_name=ENGPE098_FOUR_PILLARS_OF_SELF_DEVELOPMENTS_xxyyyy&amp;product_id=3490" xr:uid="{00000000-0004-0000-0000-00001F000000}"/>
    <hyperlink ref="G29" r:id="rId27" display="https://vicharkrantibooks.org/productdetail?book_name=ENGB0215_FRUITS_OF_CONTENTMENT_1st2013&amp;product_id=3534" xr:uid="{00000000-0004-0000-0000-000020000000}"/>
    <hyperlink ref="G30" r:id="rId28" display="https://vicharkrantibooks.org/productdetail?book_name=ENGPE035_GAYATRI_A_UNIQUE_SOLUTIONS_FOR_PROBLEMS_xxyyyy&amp;product_id=3428" xr:uid="{00000000-0004-0000-0000-000021000000}"/>
    <hyperlink ref="G31" r:id="rId29" display="https://vicharkrantibooks.org/productdetail?book_name=ENGP0279_GAYATRI_CHALISA_xxyyyy&amp;product_id=3416" xr:uid="{00000000-0004-0000-0000-000022000000}"/>
    <hyperlink ref="G32" r:id="rId30" display="https://vicharkrantibooks.org/productdetail?book_name=ENGPE096_GAYATRI_MANTRA_THE_GENESIS_OF_DIVINE_CULTURE_xxyyyy&amp;product_id=3488" xr:uid="{00000000-0004-0000-0000-000023000000}"/>
    <hyperlink ref="G33" r:id="rId31" display="https://vicharkrantibooks.org/productdetail?product_id=3399" xr:uid="{00000000-0004-0000-0000-000024000000}"/>
    <hyperlink ref="G34" r:id="rId32" display="http://literature.awgp.org/book/Gayatri_Sadhana_Why_How/v2" xr:uid="{00000000-0004-0000-0000-000025000000}"/>
    <hyperlink ref="G35" r:id="rId33" display="https://vicharkrantibooks.org/productdetail?product_id=3417" xr:uid="{00000000-0004-0000-0000-000026000000}"/>
    <hyperlink ref="G36" r:id="rId34" display="https://vicharkrantibooks.org/productdetail?product_id=3453" xr:uid="{00000000-0004-0000-0000-000027000000}"/>
    <hyperlink ref="G37" r:id="rId35" display="https://vicharkrantibooks.org/productdetail?book_name=ENGPNOTM_GLORIOUS_PAST_AND_GLEAMING_FUTURE_OF_WOMEN_xxyyyy&amp;product_id=3455" xr:uid="{00000000-0004-0000-0000-000028000000}"/>
    <hyperlink ref="G38" r:id="rId36" display="https://vicharkrantibooks.org/productdetail?book_name=ENGB0201_GOOD_THOUGHTS_1st2013&amp;product_id=3522" xr:uid="{00000000-0004-0000-0000-000029000000}"/>
    <hyperlink ref="G39" r:id="rId37" display="https://vicharkrantibooks.org/productdetail?book_name=ENGR0742_GUIDELINES_FOR_THE_ASPIRING_LOKSEVI_1st2008&amp;product_id=3482" xr:uid="{00000000-0004-0000-0000-00002A000000}"/>
    <hyperlink ref="G40" r:id="rId38" display="https://vicharkrantibooks.org/productdetail?book_name=ENGP0863_HAMSA_YOGA_THE_ELIXIR_OF_SELF_REALIZATION_RE2011&amp;product_id=3440" xr:uid="{00000000-0004-0000-0000-00002C000000}"/>
    <hyperlink ref="G41" r:id="rId39" display="https://vicharkrantibooks.org/productdetail?book_name=ENGRE075_HEALTH_TIPS_FROM_THE_VEDAS_2nd2011&amp;product_id=3470" xr:uid="{00000000-0004-0000-0000-00002D000000}"/>
    <hyperlink ref="G42" r:id="rId40" display="https://vicharkrantibooks.org/productdetail?book_name=ENGPE095_HEALTH_WEALTH_AND_SPIRITUALITY_xxyyyy&amp;product_id=3487" xr:uid="{00000000-0004-0000-0000-00002E000000}"/>
    <hyperlink ref="G43" r:id="rId41" display="https://vicharkrantibooks.org/productdetail?book_name=ENGB0217_HONOURABLE_INCOME_1st2013&amp;product_id=3527" xr:uid="{00000000-0004-0000-0000-00002F000000}"/>
    <hyperlink ref="G44" r:id="rId42" display="https://vicharkrantibooks.org/productdetail?book_name=EP_152_HOW_TO_OBTAIN_MAXIMUM_MARKS_xxyyyy&amp;product_id=3537" xr:uid="{00000000-0004-0000-0000-000030000000}"/>
    <hyperlink ref="G45" r:id="rId43" display="https://vicharkrantibooks.org/productdetail?book_name=ENGRE010_HUMAN_BRAIN_APPARENT_BOON_OF_THE_OMNIPOTENT_RE2011&amp;product_id=3403" xr:uid="{00000000-0004-0000-0000-000031000000}"/>
    <hyperlink ref="G46" r:id="rId44" display="https://vicharkrantibooks.org/productdetail?product_id=3454" xr:uid="{00000000-0004-0000-0000-000032000000}"/>
    <hyperlink ref="G47" r:id="rId45" display="https://vicharkrantibooks.org/productdetail?book_name=ENGB0202_IDEAL_STORIES_1st2013&amp;product_id=3525" xr:uid="{00000000-0004-0000-0000-000033000000}"/>
    <hyperlink ref="G48" r:id="rId46" display="https://vicharkrantibooks.org/productdetail?book_name=ENGP0712_IN_THE_ANGELIC_LIGHT_OF_RISHI_THOUGHTS_1_xxyyyy&amp;product_id=3460" xr:uid="{00000000-0004-0000-0000-000034000000}"/>
    <hyperlink ref="G49" r:id="rId47" display="https://vicharkrantibooks.org/productdetail?book_name=ENGP0713_IN_THE_ANGELIC_LIGHT_OF_RISHI_THOUGHTS_2_xxyyyy&amp;product_id=3461" xr:uid="{00000000-0004-0000-0000-000035000000}"/>
    <hyperlink ref="G50" r:id="rId48" display="https://vicharkrantibooks.org/productdetail?book_name=ENGP0714_IN_THE_ANGELIC_LIGHT_OF_RISHI_THOUGHTS_3_xxyyyy&amp;product_id=3462" xr:uid="{00000000-0004-0000-0000-000036000000}"/>
    <hyperlink ref="G51" r:id="rId49" display="https://vicharkrantibooks.org/productdetail?book_name=ENGP0715_IN_THE_ANGELIC_LIGHT_OF_RISHI_THOUGHTS_4_xxyyyy&amp;product_id=3463" xr:uid="{00000000-0004-0000-0000-000037000000}"/>
    <hyperlink ref="G52" r:id="rId50" display="https://vicharkrantibooks.org/productdetail?book_name=ENGP0716_IN_THE_ANGELIC_LIGHT_OF_RISHI_THOUGHTS_5_xxyyyy&amp;product_id=3464" xr:uid="{00000000-0004-0000-0000-000038000000}"/>
    <hyperlink ref="G53" r:id="rId51" display="https://vicharkrantibooks.org/productdetail?book_name=ENGP0717_IN_THE_ANGELIC_LIGHT_OF_RISHI_THOUGHTS_6_xxyyyy&amp;product_id=3465" xr:uid="{00000000-0004-0000-0000-000039000000}"/>
    <hyperlink ref="G54" r:id="rId52" display="https://vicharkrantibooks.org/productdetail?book_name=ENGP0733_INCREASE_YOUR_MERITS_AND_OBSERVE_CIVILITY_xxyyyy&amp;product_id=3511" xr:uid="{00000000-0004-0000-0000-00003A000000}"/>
    <hyperlink ref="G55" r:id="rId53" display="https://vicharkrantibooks.org/productdetail?book_name=EP_52_INFLUX_OF_GANGA_xxyyyy&amp;product_id=3445" xr:uid="{00000000-0004-0000-0000-00003B000000}"/>
    <hyperlink ref="G56" r:id="rId54" display="https://vicharkrantibooks.org/productdetail?book_name=ENGB0211_INSPIRING_STORIES_1st2013&amp;product_id=3529" xr:uid="{00000000-0004-0000-0000-00003C000000}"/>
    <hyperlink ref="G57" r:id="rId55" display="http://literature.awgp.org/book/A_noble_Art_of_Living/v1" xr:uid="{00000000-0004-0000-0000-00003D000000}"/>
    <hyperlink ref="G58" r:id="rId56" display="https://vicharkrantibooks.org/productdetail?book_name=ENGB0200_LET_US_KNOW_YUGRISHI_1st2013&amp;product_id=3516" xr:uid="{00000000-0004-0000-0000-00003E000000}"/>
    <hyperlink ref="G59" r:id="rId57" display="https://vicharkrantibooks.org/productdetail?book_name=ENGPE044_LISTEN_TO_MAHAKALS_CALL_xxyyyy&amp;product_id=3437" xr:uid="{00000000-0004-0000-0000-00003F000000}"/>
    <hyperlink ref="G60" r:id="rId58" display="https://vicharkrantibooks.org/productdetail?book_name=ENGP0343_LOOSE_NOT_YOUR_HEART_xxyyyy&amp;product_id=3434" xr:uid="{00000000-0004-0000-0000-000040000000}"/>
    <hyperlink ref="G61" r:id="rId59" display="https://vicharkrantibooks.org/productdetail?book_name=ENGPE078_LOOSE_NOT_YOUR_HEART_COLOUR_RE2012&amp;product_id=3473" xr:uid="{00000000-0004-0000-0000-000041000000}"/>
    <hyperlink ref="G62" r:id="rId60" display="http://literature.awgp.org/book/Married_Life_A_Perfect_Yoga/v1" xr:uid="{00000000-0004-0000-0000-000042000000}"/>
    <hyperlink ref="G63" r:id="rId61" display="https://vicharkrantibooks.org/productdetail?book_name=ENGP0494_MENTAL_BALANCE_xxyyyy&amp;product_id=3431" xr:uid="{00000000-0004-0000-0000-000043000000}"/>
    <hyperlink ref="G64" r:id="rId62" display="https://vicharkrantibooks.org/productdetail?book_name=ENGRE059_MIRACLES_OF_CHARISMATIC_PRAYER_xxyyyy&amp;product_id=3451" xr:uid="{00000000-0004-0000-0000-000044000000}"/>
    <hyperlink ref="G65" r:id="rId63" display="https://vicharkrantibooks.org/productdetail?book_name=ENGB0208_MOTHER%E2%80%99S_TEACHINGS_1st2013&amp;product_id=3526" xr:uid="{00000000-0004-0000-0000-000045000000}"/>
    <hyperlink ref="G66" r:id="rId64" display="https://vicharkrantibooks.org/productdetail?book_name=ENGP0817_MOTHERHOOD_REVERED_EVERY_WHERE_xxyyyy&amp;product_id=3502" xr:uid="{00000000-0004-0000-0000-000046000000}"/>
    <hyperlink ref="G67" r:id="rId65" display="http://literature.awgp.org/book/music_the_nectar_of_life/v1" xr:uid="{00000000-0004-0000-0000-000047000000}"/>
    <hyperlink ref="G68" r:id="rId66" display="https://vicharkrantibooks.org/productdetail?book_name=ENGP0559_NATURE_AND_OUTLINES_OF_WOMEN_EVOLUTION_xxyyyy&amp;product_id=3499" xr:uid="{00000000-0004-0000-0000-000049000000}"/>
    <hyperlink ref="G69" r:id="rId67" display="https://vicharkrantibooks.org/productdetail?book_name=ENGP0584_NO_OTHER_WAY_EXCEPT_WOMEN_EVOLUTION_xxyyyy&amp;product_id=3501" xr:uid="{00000000-0004-0000-0000-00004A000000}"/>
    <hyperlink ref="G70" r:id="rId68" display="https://vicharkrantibooks.org/productdetail?book_name=ENGP0609_OBSERVE_AND_ENFORCE_IN_LIFE_xxyyyy&amp;product_id=3509" xr:uid="{00000000-0004-0000-0000-00004B000000}"/>
    <hyperlink ref="G71" r:id="rId69" display="http://literature.awgp.org/book/Old_New_Herbal_Remedies/v1" xr:uid="{00000000-0004-0000-0000-00004D000000}"/>
    <hyperlink ref="G72" r:id="rId70" display="https://vicharkrantibooks.org/productdetail?book_name=ENGPE115_OVERALL_PROGRESS_OF_WOMEN_xxyyyy&amp;product_id=3500" xr:uid="{00000000-0004-0000-0000-00004E000000}"/>
    <hyperlink ref="G73" r:id="rId71" display="http://literature.awgp.org/book/Para_Normal_Achievements_Through_Self_Discipline/v2" xr:uid="{00000000-0004-0000-0000-00004F000000}"/>
    <hyperlink ref="G74" r:id="rId72" display="https://vicharkrantibooks.org/productdetail?book_name=ENGB0205_PATH_OF_GOODNESS_1st2013&amp;product_id=3517" xr:uid="{00000000-0004-0000-0000-000050000000}"/>
    <hyperlink ref="G75" r:id="rId73" display="https://vicharkrantibooks.org/productdetail?book_name=ENGPE042_PAUSE_AND_THINK_xxyyyy&amp;product_id=3435" xr:uid="{00000000-0004-0000-0000-000051000000}"/>
    <hyperlink ref="G76" r:id="rId74" display="https://vicharkrantibooks.org/productdetail?book_name=ENGB0212_PEARLS_OF_OCEAN_1st2013&amp;product_id=3535" xr:uid="{00000000-0004-0000-0000-000052000000}"/>
    <hyperlink ref="G77" r:id="rId75" display="https://vicharkrantibooks.org/productdetail?book_name=ENGR0280_PRACTICAL_WAYS_TO_SHARPEN_THE_MEMORY_AND_INTALIC_(NEW)_2nd2016&amp;product_id=3496" xr:uid="{00000000-0004-0000-0000-000053000000}"/>
    <hyperlink ref="G78" r:id="rId76" display="https://vicharkrantibooks.org/productdetail?book_name=ENGBE073_PRAGYA_TALES_FOR_CHILDREN_PART_1_xx2011&amp;product_id=3468" xr:uid="{00000000-0004-0000-0000-000054000000}"/>
    <hyperlink ref="G79" r:id="rId77" display="https://vicharkrantibooks.org/productdetail?book_name=ENGBE074_PRAGYA_TALES_FOR_CHILDREN_PART_2_RE2014&amp;product_id=3469" xr:uid="{00000000-0004-0000-0000-000055000000}"/>
    <hyperlink ref="G80" r:id="rId78" display="https://vicharkrantibooks.org/productdetail?book_name=ENGR0988_PRAGYA_YOGA_FOR_HAPPY_AND_HEALTHY_LIFE_RE2014&amp;product_id=3476" xr:uid="{00000000-0004-0000-0000-000056000000}"/>
    <hyperlink ref="G81" r:id="rId79" display="http://literature.awgp.org/book/Prepare_Yourself_to_Excel/v1" xr:uid="{00000000-0004-0000-0000-000057000000}"/>
    <hyperlink ref="G82" r:id="rId80" display="http://literature.awgp.org/book/PROBLEMS_OF_TODAY_SOLUTIONS_FOR_TOMORROW/v1" xr:uid="{00000000-0004-0000-0000-000058000000}"/>
    <hyperlink ref="G83" r:id="rId81" display="https://vicharkrantibooks.org/productdetail?book_name=ENGR1584_REFINEMENT_OF_TALENTS_NEED_OF_THE_PRESENT_ERA_PART_1_RE2010&amp;product_id=3400" xr:uid="{00000000-0004-0000-0000-000059000000}"/>
    <hyperlink ref="G84" r:id="rId82" display="https://vicharkrantibooks.org/productdetail?book_name=ENGR1585_REFINEMENT_OF_TALENTS_NEED_OF_THE_PRESENT_ERA_PART_2_xx2009&amp;product_id=3401" xr:uid="{00000000-0004-0000-0000-00005A000000}"/>
    <hyperlink ref="G85" r:id="rId83" display="https://vicharkrantibooks.org/productdetail?book_name=ENGR0263_REJUVENATION_WITHOUT_MEDICINES_RE2014&amp;product_id=3480" xr:uid="{00000000-0004-0000-0000-00005B000000}"/>
    <hyperlink ref="G86" r:id="rId84" display="https://vicharkrantibooks.org/productdetail?book_name=ENGRE106_RELIGION_AND_SCIENCE_COMPLEMENTARY_NOT_CONTRADICTORY_1st2011&amp;product_id=3493" xr:uid="{00000000-0004-0000-0000-00005C000000}"/>
    <hyperlink ref="G87" r:id="rId85" display="https://vicharkrantibooks.org/productdetail?book_name=ENGB0219_RELY_ON_PRUDENCE_1st2013&amp;product_id=3528" xr:uid="{00000000-0004-0000-0000-00005D000000}"/>
    <hyperlink ref="G88" r:id="rId86" display="https://vicharkrantibooks.org/productdetail?book_name=ENGP1015_RENOUNCE_THE_DEMONIAC_ADDICTION_xxyyyy&amp;product_id=3506" xr:uid="{00000000-0004-0000-0000-00005E000000}"/>
    <hyperlink ref="G89" r:id="rId87" display="https://vicharkrantibooks.org/productdetail?book_name=ENGB0210_RESULT_OF_COPYING_1st2013&amp;product_id=3520" xr:uid="{00000000-0004-0000-0000-00005F000000}"/>
    <hyperlink ref="G90" r:id="rId88" display="http://literature.awgp.org/book/The_Revival_of_Satyug_The_Golden_Age/v1" xr:uid="{00000000-0004-0000-0000-000061000000}"/>
    <hyperlink ref="G91" r:id="rId89" display="http://literature.awgp.org/book/reviving_the_vedic_cultue_of_yagya/v1" xr:uid="{00000000-0004-0000-0000-000062000000}"/>
    <hyperlink ref="G92" r:id="rId90" display="https://vicharkrantibooks.org/productdetail?book_name=ENGB0207_ROAD_TO_PROGRESS_1st2013&amp;product_id=3531" xr:uid="{00000000-0004-0000-0000-000063000000}"/>
    <hyperlink ref="G93" r:id="rId91" display="https://vicharkrantibooks.org/productdetail?book_name=ENGP0480_SAGACIOUS_WOMEN_SHOULD_LEAD_WOMEN_LIBERATION_xxyyyy&amp;product_id=3504" xr:uid="{00000000-0004-0000-0000-000064000000}"/>
    <hyperlink ref="G94" r:id="rId92" display="https://vicharkrantibooks.org/productdetail?book_name=ENGBE104_SANSKARAM_2nd2012&amp;product_id=3492" xr:uid="{00000000-0004-0000-0000-000065000000}"/>
    <hyperlink ref="G95" r:id="rId93" display="https://vicharkrantibooks.org/productdetail?book_name=ENGP0577_SATSANG_WILL_STRENGTHEN_WOMEN_UNITS_xxyyyy&amp;product_id=3505" xr:uid="{00000000-0004-0000-0000-000066000000}"/>
    <hyperlink ref="G96" r:id="rId94" display="https://vicharkrantibooks.org/productdetail?book_name=ENGP0676_SCIENTIFIC_APPROACH_TO_TALENT_GROWTH_xxyyyy&amp;product_id=3515" xr:uid="{00000000-0004-0000-0000-000067000000}"/>
    <hyperlink ref="G97" r:id="rId95" display="http://literature.awgp.org/book/sensitization_program_for_parents/v1" xr:uid="{00000000-0004-0000-0000-000068000000}"/>
    <hyperlink ref="G98" r:id="rId96" display="http://literature.awgp.org/book/Sleep_Dreams_Spiritual/v1" xr:uid="{00000000-0004-0000-0000-000069000000}"/>
    <hyperlink ref="G99" r:id="rId97" display="https://vicharkrantibooks.org/productdetail?book_name=ENGRE005_SPECTRUM_OF_KNOWLEDGE_KEY_TO_THE_ART_OF_LIVING_RE2010&amp;product_id=3398" xr:uid="{00000000-0004-0000-0000-00006A000000}"/>
    <hyperlink ref="G100" r:id="rId98" display="http://literature.awgp.org/book/spiritual_science_of_sex_element/v1" xr:uid="{00000000-0004-0000-0000-00006B000000}"/>
    <hyperlink ref="G101" r:id="rId99" display="https://vicharkrantibooks.org/productdetail?book_name=ENGP0605_STEER_THE_LIFE_FOR_DEFINITE_REWARDS_xxyyyy&amp;product_id=3513" xr:uid="{00000000-0004-0000-0000-00006C000000}"/>
    <hyperlink ref="G102" r:id="rId100" display="https://vicharkrantibooks.org/productdetail?book_name=ENGPNOTM_STEPS_FOR_WOMEN_UPLIFTING_xxyyyy&amp;product_id=3456" xr:uid="{00000000-0004-0000-0000-00006D000000}"/>
    <hyperlink ref="G103" r:id="rId101" display="https://vicharkrantibooks.org/productdetail?book_name=ENGB0214_STORIES_OF_SAINTS_1st2013&amp;product_id=3530" xr:uid="{00000000-0004-0000-0000-00006E000000}"/>
    <hyperlink ref="G104" r:id="rId102" display="http://literature.awgp.org/book/Super_Science_of_Gayatri/v1" xr:uid="{00000000-0004-0000-0000-00006F000000}"/>
    <hyperlink ref="G105" r:id="rId103" display="http://literature.awgp.org/book/support_is_needed_for_self_evolution/v1" xr:uid="{00000000-0004-0000-0000-000070000000}"/>
    <hyperlink ref="G106" r:id="rId104" display="http://literature.awgp.org/book/support_is_needed_for_self_evolution/v1" xr:uid="{00000000-0004-0000-0000-000071000000}"/>
    <hyperlink ref="G107" r:id="rId105" display="http://literature.awgp.org/book/the_absolute_law_of_karma/v1.1" xr:uid="{00000000-0004-0000-0000-000072000000}"/>
    <hyperlink ref="G108" r:id="rId106" display="https://vicharkrantibooks.org/productdetail?book_name=ENGR1423_THE_DEMAND_OF_THE_TIMES_xxyyyy&amp;product_id=3429" xr:uid="{00000000-0004-0000-0000-000073000000}"/>
    <hyperlink ref="G109" r:id="rId107" display="http://literature.awgp.org/book/Folly_of_the_wise/v2" xr:uid="{00000000-0004-0000-0000-000074000000}"/>
    <hyperlink ref="G3" r:id="rId108" display="http://literature.awgp.org/book/a_manual_of_hindu_marriage/v1"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I1343"/>
  <sheetViews>
    <sheetView workbookViewId="0"/>
  </sheetViews>
  <sheetFormatPr defaultColWidth="12.6640625" defaultRowHeight="15.75" customHeight="1" x14ac:dyDescent="0.25"/>
  <cols>
    <col min="5" max="5" width="34.109375" customWidth="1"/>
    <col min="7" max="7" width="29" customWidth="1"/>
  </cols>
  <sheetData>
    <row r="1" spans="1:87" x14ac:dyDescent="0.25">
      <c r="A1" s="1" t="str">
        <f ca="1">IFERROR(__xludf.DUMMYFUNCTION("importrange(""https://docs.google.com/spreadsheets/d/1akleC3bvWeEcnH1Pj5uWltjv3Rl6nDXxWZ818BKrICo/edit?usp=sharing"",""RecordingAllocationData"")"),"Timestamp")</f>
        <v>Timestamp</v>
      </c>
      <c r="B1" s="1" t="str">
        <f ca="1">IFERROR(__xludf.DUMMYFUNCTION("""COMPUTED_VALUE"""),"Email address")</f>
        <v>Email address</v>
      </c>
      <c r="C1" s="1" t="str">
        <f ca="1">IFERROR(__xludf.DUMMYFUNCTION("""COMPUTED_VALUE"""),"Your Name")</f>
        <v>Your Name</v>
      </c>
      <c r="D1" s="1" t="str">
        <f ca="1">IFERROR(__xludf.DUMMYFUNCTION("""COMPUTED_VALUE"""),"Your Phone Number")</f>
        <v>Your Phone Number</v>
      </c>
      <c r="E1" s="1" t="str">
        <f ca="1">IFERROR(__xludf.DUMMYFUNCTION("""COMPUTED_VALUE"""),"Have you gone through the new training and are aware of the quality benchmark ?")</f>
        <v>Have you gone through the new training and are aware of the quality benchmark ?</v>
      </c>
      <c r="F1" s="1" t="str">
        <f ca="1">IFERROR(__xludf.DUMMYFUNCTION("""COMPUTED_VALUE"""),"Your Language of Choice")</f>
        <v>Your Language of Choice</v>
      </c>
      <c r="G1" s="1" t="str">
        <f ca="1">IFERROR(__xludf.DUMMYFUNCTION("""COMPUTED_VALUE"""),"Please Select The Topic Of Your Choice")</f>
        <v>Please Select The Topic Of Your Choice</v>
      </c>
      <c r="H1" s="1" t="str">
        <f ca="1">IFERROR(__xludf.DUMMYFUNCTION("""COMPUTED_VALUE"""),"Please Select The Topic Of Your Choice")</f>
        <v>Please Select The Topic Of Your Choice</v>
      </c>
      <c r="I1" s="1" t="str">
        <f ca="1">IFERROR(__xludf.DUMMYFUNCTION("""COMPUTED_VALUE"""),"Please Select The Topic Of Your Choice")</f>
        <v>Please Select The Topic Of Your Choice</v>
      </c>
      <c r="J1" s="1" t="str">
        <f ca="1">IFERROR(__xludf.DUMMYFUNCTION("""COMPUTED_VALUE"""),"Please Select The Topic Of Your Choice")</f>
        <v>Please Select The Topic Of Your Choice</v>
      </c>
      <c r="K1" s="1" t="str">
        <f ca="1">IFERROR(__xludf.DUMMYFUNCTION("""COMPUTED_VALUE"""),"Please Select The Topic Of Your Choice")</f>
        <v>Please Select The Topic Of Your Choice</v>
      </c>
      <c r="L1" s="1" t="str">
        <f ca="1">IFERROR(__xludf.DUMMYFUNCTION("""COMPUTED_VALUE"""),"Please Select The Topic Of Your Choice")</f>
        <v>Please Select The Topic Of Your Choice</v>
      </c>
      <c r="M1" s="1" t="str">
        <f ca="1">IFERROR(__xludf.DUMMYFUNCTION("""COMPUTED_VALUE"""),"Please Select The Topic Of Your Choice")</f>
        <v>Please Select The Topic Of Your Choice</v>
      </c>
      <c r="N1" s="1" t="str">
        <f ca="1">IFERROR(__xludf.DUMMYFUNCTION("""COMPUTED_VALUE"""),"Please Select The Topic Of Your Choice")</f>
        <v>Please Select The Topic Of Your Choice</v>
      </c>
      <c r="O1" s="1" t="str">
        <f ca="1">IFERROR(__xludf.DUMMYFUNCTION("""COMPUTED_VALUE"""),"Please Select The Topic Of Your Choice")</f>
        <v>Please Select The Topic Of Your Choice</v>
      </c>
      <c r="P1" s="1" t="str">
        <f ca="1">IFERROR(__xludf.DUMMYFUNCTION("""COMPUTED_VALUE"""),"Please Select The Topic Of Your Choice")</f>
        <v>Please Select The Topic Of Your Choice</v>
      </c>
      <c r="Q1" s="1" t="str">
        <f ca="1">IFERROR(__xludf.DUMMYFUNCTION("""COMPUTED_VALUE"""),"Please Select The Topic Of Your Choice")</f>
        <v>Please Select The Topic Of Your Choice</v>
      </c>
      <c r="R1" s="1" t="str">
        <f ca="1">IFERROR(__xludf.DUMMYFUNCTION("""COMPUTED_VALUE"""),"Please Select The Topic Of Your Choice")</f>
        <v>Please Select The Topic Of Your Choice</v>
      </c>
      <c r="S1" s="1" t="str">
        <f ca="1">IFERROR(__xludf.DUMMYFUNCTION("""COMPUTED_VALUE"""),"Please Select The Topic Of Your Choice")</f>
        <v>Please Select The Topic Of Your Choice</v>
      </c>
      <c r="T1" s="1" t="str">
        <f ca="1">IFERROR(__xludf.DUMMYFUNCTION("""COMPUTED_VALUE"""),"Please Select The Topic Of Your Choice")</f>
        <v>Please Select The Topic Of Your Choice</v>
      </c>
      <c r="U1" s="1" t="str">
        <f ca="1">IFERROR(__xludf.DUMMYFUNCTION("""COMPUTED_VALUE"""),"Please Select The Topic Of Your Choice")</f>
        <v>Please Select The Topic Of Your Choice</v>
      </c>
      <c r="V1" s="1" t="str">
        <f ca="1">IFERROR(__xludf.DUMMYFUNCTION("""COMPUTED_VALUE"""),"Please Select The Topic Of Your Choice")</f>
        <v>Please Select The Topic Of Your Choice</v>
      </c>
      <c r="W1" s="1" t="str">
        <f ca="1">IFERROR(__xludf.DUMMYFUNCTION("""COMPUTED_VALUE"""),"Please Select The Topic Of Your Choice")</f>
        <v>Please Select The Topic Of Your Choice</v>
      </c>
      <c r="X1" s="1" t="str">
        <f ca="1">IFERROR(__xludf.DUMMYFUNCTION("""COMPUTED_VALUE"""),"Please Select The Book Of Your Choice")</f>
        <v>Please Select The Book Of Your Choice</v>
      </c>
      <c r="Y1" s="1" t="str">
        <f ca="1">IFERROR(__xludf.DUMMYFUNCTION("""COMPUTED_VALUE"""),"Please Select The Book Of Your Choice")</f>
        <v>Please Select The Book Of Your Choice</v>
      </c>
      <c r="Z1" s="1" t="str">
        <f ca="1">IFERROR(__xludf.DUMMYFUNCTION("""COMPUTED_VALUE"""),"Please Select The Book Of Your Choice")</f>
        <v>Please Select The Book Of Your Choice</v>
      </c>
      <c r="AA1" s="1" t="str">
        <f ca="1">IFERROR(__xludf.DUMMYFUNCTION("""COMPUTED_VALUE"""),"Please Select The Book Of Your Choice")</f>
        <v>Please Select The Book Of Your Choice</v>
      </c>
      <c r="AB1" s="1" t="str">
        <f ca="1">IFERROR(__xludf.DUMMYFUNCTION("""COMPUTED_VALUE"""),"Please Select The Book Of Your Choice")</f>
        <v>Please Select The Book Of Your Choice</v>
      </c>
      <c r="AC1" s="1" t="str">
        <f ca="1">IFERROR(__xludf.DUMMYFUNCTION("""COMPUTED_VALUE"""),"Please Select The Book Of Your Choice")</f>
        <v>Please Select The Book Of Your Choice</v>
      </c>
      <c r="AD1" s="1" t="str">
        <f ca="1">IFERROR(__xludf.DUMMYFUNCTION("""COMPUTED_VALUE"""),"Please Select The Book Of Your Choice")</f>
        <v>Please Select The Book Of Your Choice</v>
      </c>
      <c r="AE1" s="1" t="str">
        <f ca="1">IFERROR(__xludf.DUMMYFUNCTION("""COMPUTED_VALUE"""),"Please Select The Book Of Your Choice")</f>
        <v>Please Select The Book Of Your Choice</v>
      </c>
      <c r="AF1" s="1" t="str">
        <f ca="1">IFERROR(__xludf.DUMMYFUNCTION("""COMPUTED_VALUE"""),"Please Select The Book Of Your Choice")</f>
        <v>Please Select The Book Of Your Choice</v>
      </c>
      <c r="AG1" s="1" t="str">
        <f ca="1">IFERROR(__xludf.DUMMYFUNCTION("""COMPUTED_VALUE"""),"Please Select The Book Of Your Choice")</f>
        <v>Please Select The Book Of Your Choice</v>
      </c>
      <c r="AH1" s="1" t="str">
        <f ca="1">IFERROR(__xludf.DUMMYFUNCTION("""COMPUTED_VALUE"""),"Please Select The Book Of Your Choice")</f>
        <v>Please Select The Book Of Your Choice</v>
      </c>
      <c r="AI1" s="1" t="str">
        <f ca="1">IFERROR(__xludf.DUMMYFUNCTION("""COMPUTED_VALUE"""),"Please Select The Book Of Your Choice")</f>
        <v>Please Select The Book Of Your Choice</v>
      </c>
      <c r="AJ1" s="1" t="str">
        <f ca="1">IFERROR(__xludf.DUMMYFUNCTION("""COMPUTED_VALUE"""),"Please Select The Book Of Your Choice")</f>
        <v>Please Select The Book Of Your Choice</v>
      </c>
      <c r="AK1" s="1" t="str">
        <f ca="1">IFERROR(__xludf.DUMMYFUNCTION("""COMPUTED_VALUE"""),"Please Select The Book Of Your Choice")</f>
        <v>Please Select The Book Of Your Choice</v>
      </c>
      <c r="AL1" s="1" t="str">
        <f ca="1">IFERROR(__xludf.DUMMYFUNCTION("""COMPUTED_VALUE"""),"Please Select The Book Of Your Choice")</f>
        <v>Please Select The Book Of Your Choice</v>
      </c>
      <c r="AM1" s="1" t="str">
        <f ca="1">IFERROR(__xludf.DUMMYFUNCTION("""COMPUTED_VALUE"""),"Please Select The Book Of Your Choice")</f>
        <v>Please Select The Book Of Your Choice</v>
      </c>
      <c r="AN1" s="1" t="str">
        <f ca="1">IFERROR(__xludf.DUMMYFUNCTION("""COMPUTED_VALUE"""),"Please Select The Book Of Your Choice")</f>
        <v>Please Select The Book Of Your Choice</v>
      </c>
      <c r="AO1" s="1" t="str">
        <f ca="1">IFERROR(__xludf.DUMMYFUNCTION("""COMPUTED_VALUE"""),"Please Select The Book Of Your Choice")</f>
        <v>Please Select The Book Of Your Choice</v>
      </c>
      <c r="AP1" s="1" t="str">
        <f ca="1">IFERROR(__xludf.DUMMYFUNCTION("""COMPUTED_VALUE"""),"Please Select The Book Of Your Choice")</f>
        <v>Please Select The Book Of Your Choice</v>
      </c>
      <c r="AQ1" s="1" t="str">
        <f ca="1">IFERROR(__xludf.DUMMYFUNCTION("""COMPUTED_VALUE"""),"Please Select The Book Of Your Choice")</f>
        <v>Please Select The Book Of Your Choice</v>
      </c>
      <c r="AR1" s="1" t="str">
        <f ca="1">IFERROR(__xludf.DUMMYFUNCTION("""COMPUTED_VALUE"""),"Please Select The Book Of Your Choice")</f>
        <v>Please Select The Book Of Your Choice</v>
      </c>
      <c r="AS1" s="1" t="str">
        <f ca="1">IFERROR(__xludf.DUMMYFUNCTION("""COMPUTED_VALUE"""),"Please Select The Book Of Your Choice")</f>
        <v>Please Select The Book Of Your Choice</v>
      </c>
      <c r="AT1" s="1" t="str">
        <f ca="1">IFERROR(__xludf.DUMMYFUNCTION("""COMPUTED_VALUE"""),"Please Select The Book Of Your Choice")</f>
        <v>Please Select The Book Of Your Choice</v>
      </c>
      <c r="AU1" s="1" t="str">
        <f ca="1">IFERROR(__xludf.DUMMYFUNCTION("""COMPUTED_VALUE"""),"Please Select The Book Of Your Choice")</f>
        <v>Please Select The Book Of Your Choice</v>
      </c>
      <c r="AV1" s="1" t="str">
        <f ca="1">IFERROR(__xludf.DUMMYFUNCTION("""COMPUTED_VALUE"""),"Please Select The Book Of Your Choice")</f>
        <v>Please Select The Book Of Your Choice</v>
      </c>
      <c r="AW1" s="1" t="str">
        <f ca="1">IFERROR(__xludf.DUMMYFUNCTION("""COMPUTED_VALUE"""),"Please Select The Book Of Your Choice")</f>
        <v>Please Select The Book Of Your Choice</v>
      </c>
      <c r="AX1" s="1" t="str">
        <f ca="1">IFERROR(__xludf.DUMMYFUNCTION("""COMPUTED_VALUE"""),"Please Select The Book Of Your Choice")</f>
        <v>Please Select The Book Of Your Choice</v>
      </c>
      <c r="AY1" s="1" t="str">
        <f ca="1">IFERROR(__xludf.DUMMYFUNCTION("""COMPUTED_VALUE"""),"Please Select The Book Of Your Choice")</f>
        <v>Please Select The Book Of Your Choice</v>
      </c>
      <c r="AZ1" s="1" t="str">
        <f ca="1">IFERROR(__xludf.DUMMYFUNCTION("""COMPUTED_VALUE"""),"Please Select The Book Of Your Choice")</f>
        <v>Please Select The Book Of Your Choice</v>
      </c>
      <c r="BA1" s="1" t="str">
        <f ca="1">IFERROR(__xludf.DUMMYFUNCTION("""COMPUTED_VALUE"""),"Please Select The Book Of Your Choice")</f>
        <v>Please Select The Book Of Your Choice</v>
      </c>
      <c r="BB1" s="1" t="str">
        <f ca="1">IFERROR(__xludf.DUMMYFUNCTION("""COMPUTED_VALUE"""),"Please Select The Book Of Your Choice")</f>
        <v>Please Select The Book Of Your Choice</v>
      </c>
      <c r="BC1" s="1" t="str">
        <f ca="1">IFERROR(__xludf.DUMMYFUNCTION("""COMPUTED_VALUE"""),"Please Select The Book Of Your Choice")</f>
        <v>Please Select The Book Of Your Choice</v>
      </c>
      <c r="BD1" s="1" t="str">
        <f ca="1">IFERROR(__xludf.DUMMYFUNCTION("""COMPUTED_VALUE"""),"Please Select The Book Of Your Choice")</f>
        <v>Please Select The Book Of Your Choice</v>
      </c>
      <c r="BE1" s="1" t="str">
        <f ca="1">IFERROR(__xludf.DUMMYFUNCTION("""COMPUTED_VALUE"""),"Please Select The Book Of Your Choice")</f>
        <v>Please Select The Book Of Your Choice</v>
      </c>
      <c r="BF1" s="1" t="str">
        <f ca="1">IFERROR(__xludf.DUMMYFUNCTION("""COMPUTED_VALUE"""),"Please Select The Book Of Your Choice")</f>
        <v>Please Select The Book Of Your Choice</v>
      </c>
      <c r="BG1" s="1" t="str">
        <f ca="1">IFERROR(__xludf.DUMMYFUNCTION("""COMPUTED_VALUE"""),"Please Select The Book Of Your Choice")</f>
        <v>Please Select The Book Of Your Choice</v>
      </c>
      <c r="BH1" s="1" t="str">
        <f ca="1">IFERROR(__xludf.DUMMYFUNCTION("""COMPUTED_VALUE"""),"Please Select The Book Of Your Choice")</f>
        <v>Please Select The Book Of Your Choice</v>
      </c>
      <c r="BI1" s="1" t="str">
        <f ca="1">IFERROR(__xludf.DUMMYFUNCTION("""COMPUTED_VALUE"""),"Please Select The Book Of Your Choice")</f>
        <v>Please Select The Book Of Your Choice</v>
      </c>
      <c r="BJ1" s="1" t="str">
        <f ca="1">IFERROR(__xludf.DUMMYFUNCTION("""COMPUTED_VALUE"""),"Please Select The Book Of Your Choice")</f>
        <v>Please Select The Book Of Your Choice</v>
      </c>
      <c r="BK1" s="1" t="str">
        <f ca="1">IFERROR(__xludf.DUMMYFUNCTION("""COMPUTED_VALUE"""),"Please Select The Book Of Your Choice")</f>
        <v>Please Select The Book Of Your Choice</v>
      </c>
      <c r="BL1" s="1" t="str">
        <f ca="1">IFERROR(__xludf.DUMMYFUNCTION("""COMPUTED_VALUE"""),"Please Select The Book Of Your Choice")</f>
        <v>Please Select The Book Of Your Choice</v>
      </c>
      <c r="BM1" s="1" t="str">
        <f ca="1">IFERROR(__xludf.DUMMYFUNCTION("""COMPUTED_VALUE"""),"Please Select The Book Of Your Choice")</f>
        <v>Please Select The Book Of Your Choice</v>
      </c>
      <c r="BN1" s="1" t="str">
        <f ca="1">IFERROR(__xludf.DUMMYFUNCTION("""COMPUTED_VALUE"""),"Please Select The Book Of Your Choice")</f>
        <v>Please Select The Book Of Your Choice</v>
      </c>
      <c r="BO1" s="1" t="str">
        <f ca="1">IFERROR(__xludf.DUMMYFUNCTION("""COMPUTED_VALUE"""),"Please Select The Book Of Your Choice")</f>
        <v>Please Select The Book Of Your Choice</v>
      </c>
      <c r="BP1" s="1" t="str">
        <f ca="1">IFERROR(__xludf.DUMMYFUNCTION("""COMPUTED_VALUE"""),"Please Select The Book Of Your Choice")</f>
        <v>Please Select The Book Of Your Choice</v>
      </c>
      <c r="BQ1" s="1" t="str">
        <f ca="1">IFERROR(__xludf.DUMMYFUNCTION("""COMPUTED_VALUE"""),"Please Select The Book Of Your Choice")</f>
        <v>Please Select The Book Of Your Choice</v>
      </c>
      <c r="BR1" s="1" t="str">
        <f ca="1">IFERROR(__xludf.DUMMYFUNCTION("""COMPUTED_VALUE"""),"Please Select The Book Of Your Choice")</f>
        <v>Please Select The Book Of Your Choice</v>
      </c>
      <c r="BS1" s="1" t="str">
        <f ca="1">IFERROR(__xludf.DUMMYFUNCTION("""COMPUTED_VALUE"""),"Please Select The Book Of Your Choice")</f>
        <v>Please Select The Book Of Your Choice</v>
      </c>
      <c r="BT1" s="1" t="str">
        <f ca="1">IFERROR(__xludf.DUMMYFUNCTION("""COMPUTED_VALUE"""),"Type of Recording")</f>
        <v>Type of Recording</v>
      </c>
      <c r="BU1" s="1" t="str">
        <f ca="1">IFERROR(__xludf.DUMMYFUNCTION("""COMPUTED_VALUE"""),"Type of Recording")</f>
        <v>Type of Recording</v>
      </c>
      <c r="BV1" s="1"/>
      <c r="BW1" s="1" t="str">
        <f ca="1">IFERROR(__xludf.DUMMYFUNCTION("""COMPUTED_VALUE"""),"First Time?")</f>
        <v>First Time?</v>
      </c>
      <c r="BX1" s="1" t="str">
        <f ca="1">IFERROR(__xludf.DUMMYFUNCTION("""COMPUTED_VALUE"""),"Pre Submissions?")</f>
        <v>Pre Submissions?</v>
      </c>
      <c r="BY1" s="1" t="str">
        <f ca="1">IFERROR(__xludf.DUMMYFUNCTION("""COMPUTED_VALUE"""),"Pending?")</f>
        <v>Pending?</v>
      </c>
      <c r="BZ1" s="1" t="str">
        <f ca="1">IFERROR(__xludf.DUMMYFUNCTION("""COMPUTED_VALUE"""),"Final?")</f>
        <v>Final?</v>
      </c>
      <c r="CA1" s="1" t="str">
        <f ca="1">IFERROR(__xludf.DUMMYFUNCTION("""COMPUTED_VALUE"""),"Email Sent?")</f>
        <v>Email Sent?</v>
      </c>
      <c r="CB1" s="1" t="str">
        <f ca="1">IFERROR(__xludf.DUMMYFUNCTION("""COMPUTED_VALUE"""),"Tentative Submission Date")</f>
        <v>Tentative Submission Date</v>
      </c>
      <c r="CC1" s="1" t="str">
        <f ca="1">IFERROR(__xludf.DUMMYFUNCTION("""COMPUTED_VALUE"""),"Book Name")</f>
        <v>Book Name</v>
      </c>
      <c r="CD1" s="1" t="str">
        <f ca="1">IFERROR(__xludf.DUMMYFUNCTION("""COMPUTED_VALUE"""),"Book Link")</f>
        <v>Book Link</v>
      </c>
      <c r="CE1" s="1" t="str">
        <f ca="1">IFERROR(__xludf.DUMMYFUNCTION("""COMPUTED_VALUE"""),"Submitter String")</f>
        <v>Submitter String</v>
      </c>
      <c r="CF1" s="1" t="str">
        <f ca="1">IFERROR(__xludf.DUMMYFUNCTION("""COMPUTED_VALUE"""),"Submission ?")</f>
        <v>Submission ?</v>
      </c>
      <c r="CG1" s="1" t="str">
        <f ca="1">IFERROR(__xludf.DUMMYFUNCTION("""COMPUTED_VALUE"""),"Follow Up String")</f>
        <v>Follow Up String</v>
      </c>
      <c r="CH1" s="1" t="str">
        <f ca="1">IFERROR(__xludf.DUMMYFUNCTION("""COMPUTED_VALUE"""),"Allocation String")</f>
        <v>Allocation String</v>
      </c>
      <c r="CI1" s="1" t="str">
        <f ca="1">IFERROR(__xludf.DUMMYFUNCTION("""COMPUTED_VALUE"""),"Book&amp;Code")</f>
        <v>Book&amp;Code</v>
      </c>
    </row>
    <row r="2" spans="1:87" x14ac:dyDescent="0.25">
      <c r="A2" s="5">
        <f ca="1">IFERROR(__xludf.DUMMYFUNCTION("""COMPUTED_VALUE"""),45549.6127399884)</f>
        <v>45549.612739988399</v>
      </c>
      <c r="B2" s="1" t="str">
        <f ca="1">IFERROR(__xludf.DUMMYFUNCTION("""COMPUTED_VALUE"""),"ranalalita65@gmail.com")</f>
        <v>ranalalita65@gmail.com</v>
      </c>
      <c r="C2" s="1" t="str">
        <f ca="1">IFERROR(__xludf.DUMMYFUNCTION("""COMPUTED_VALUE"""),"Lalita Rana")</f>
        <v>Lalita Rana</v>
      </c>
      <c r="D2" s="1">
        <f ca="1">IFERROR(__xludf.DUMMYFUNCTION("""COMPUTED_VALUE"""),7830756362)</f>
        <v>7830756362</v>
      </c>
      <c r="E2" s="1" t="str">
        <f ca="1">IFERROR(__xludf.DUMMYFUNCTION("""COMPUTED_VALUE"""),"Artificial Intelligence")</f>
        <v>Artificial Intelligence</v>
      </c>
      <c r="F2" s="1" t="str">
        <f ca="1">IFERROR(__xludf.DUMMYFUNCTION("""COMPUTED_VALUE"""),"हिन्दी")</f>
        <v>हिन्दी</v>
      </c>
      <c r="G2" s="1" t="str">
        <f ca="1">IFERROR(__xludf.DUMMYFUNCTION("""COMPUTED_VALUE"""),"राष्ट्र निर्माण")</f>
        <v>राष्ट्र निर्माण</v>
      </c>
      <c r="H2" s="1"/>
      <c r="I2" s="1"/>
      <c r="J2" s="1"/>
      <c r="K2" s="1"/>
      <c r="L2" s="1"/>
      <c r="M2" s="1"/>
      <c r="N2" s="1"/>
      <c r="O2" s="1"/>
      <c r="P2" s="1"/>
      <c r="Q2" s="1"/>
      <c r="R2" s="1" t="str">
        <f ca="1">IFERROR(__xludf.DUMMYFUNCTION("""COMPUTED_VALUE"""),"राष्ट्र निर्माण")</f>
        <v>राष्ट्र निर्माण</v>
      </c>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f ca="1">IFERROR(__xludf.DUMMYFUNCTION("""COMPUTED_VALUE"""),1)</f>
        <v>1</v>
      </c>
      <c r="BX2" s="1">
        <f ca="1">IFERROR(__xludf.DUMMYFUNCTION("""COMPUTED_VALUE"""),1)</f>
        <v>1</v>
      </c>
      <c r="BY2" s="1">
        <f ca="1">IFERROR(__xludf.DUMMYFUNCTION("""COMPUTED_VALUE"""),1)</f>
        <v>1</v>
      </c>
      <c r="BZ2" s="1">
        <f ca="1">IFERROR(__xludf.DUMMYFUNCTION("""COMPUTED_VALUE"""),0)</f>
        <v>0</v>
      </c>
      <c r="CA2" s="1"/>
      <c r="CB2" s="1"/>
      <c r="CC2" s="1" t="str">
        <f ca="1">IFERROR(__xludf.DUMMYFUNCTION("""COMPUTED_VALUE"""),"निरक्षरता का कलंक धो ही डालें : Rare Book")</f>
        <v>निरक्षरता का कलंक धो ही डालें : Rare Book</v>
      </c>
      <c r="CD2" s="3" t="str">
        <f ca="1">IFERROR(__xludf.DUMMYFUNCTION("""COMPUTED_VALUE"""),"https://vicharkrantibooks.org/productdetail?book_name=HINP0600_NIRAKSHARATA_KA_KALANK_DHO_HI_DALEN_xx1982&amp;product_id=1165")</f>
        <v>https://vicharkrantibooks.org/productdetail?book_name=HINP0600_NIRAKSHARATA_KA_KALANK_DHO_HI_DALEN_xx1982&amp;product_id=1165</v>
      </c>
      <c r="CE2" s="1" t="str">
        <f ca="1">IFERROR(__xludf.DUMMYFUNCTION("""COMPUTED_VALUE"""),"Audiobook : निरक्षरता का कलंक धो ही डालें : Rare Book : ranalalita65@gmail.com : Recorded")</f>
        <v>Audiobook : निरक्षरता का कलंक धो ही डालें : Rare Book : ranalalita65@gmail.com : Recorded</v>
      </c>
      <c r="CF2" s="1" t="str">
        <f ca="1">IFERROR(__xludf.DUMMYFUNCTION("""COMPUTED_VALUE"""),"#N/A")</f>
        <v>#N/A</v>
      </c>
      <c r="CG2" s="1" t="str">
        <f ca="1">IFERROR(__xludf.DUMMYFUNCTION("""COMPUTED_VALUE"""),"Adarniya Lalita Rana ji निरक्षरता का कलंक धो ही डालें : Rare Book : Allocated on 14-Sep-24 Contact Number  7830756362")</f>
        <v>Adarniya Lalita Rana ji निरक्षरता का कलंक धो ही डालें : Rare Book : Allocated on 14-Sep-24 Contact Number  7830756362</v>
      </c>
      <c r="CH2" s="1" t="str">
        <f ca="1">IFERROR(__xludf.DUMMYFUNCTION("""COMPUTED_VALUE"""),"ranalalita65@gmail.com : निरक्षरता का कलंक धो ही डालें : Rare Book")</f>
        <v>ranalalita65@gmail.com : निरक्षरता का कलंक धो ही डालें : Rare Book</v>
      </c>
      <c r="CI2" s="5">
        <f ca="1">IFERROR(__xludf.DUMMYFUNCTION("""COMPUTED_VALUE"""),45549.6127399884)</f>
        <v>45549.612739988399</v>
      </c>
    </row>
    <row r="3" spans="1:87" x14ac:dyDescent="0.25">
      <c r="A3" s="5">
        <f ca="1">IFERROR(__xludf.DUMMYFUNCTION("""COMPUTED_VALUE"""),45549.0694079282)</f>
        <v>45549.069407928197</v>
      </c>
      <c r="B3" s="1" t="str">
        <f ca="1">IFERROR(__xludf.DUMMYFUNCTION("""COMPUTED_VALUE"""),"sanjayneha1@yahoo.com")</f>
        <v>sanjayneha1@yahoo.com</v>
      </c>
      <c r="C3" s="1" t="str">
        <f ca="1">IFERROR(__xludf.DUMMYFUNCTION("""COMPUTED_VALUE"""),"Neha Manocha")</f>
        <v>Neha Manocha</v>
      </c>
      <c r="D3" s="1">
        <f ca="1">IFERROR(__xludf.DUMMYFUNCTION("""COMPUTED_VALUE"""),16174130446)</f>
        <v>16174130446</v>
      </c>
      <c r="E3" s="1" t="str">
        <f ca="1">IFERROR(__xludf.DUMMYFUNCTION("""COMPUTED_VALUE"""),"Yes")</f>
        <v>Yes</v>
      </c>
      <c r="F3" s="1" t="str">
        <f ca="1">IFERROR(__xludf.DUMMYFUNCTION("""COMPUTED_VALUE"""),"हिन्दी or English")</f>
        <v>हिन्दी or English</v>
      </c>
      <c r="G3" s="1" t="str">
        <f ca="1">IFERROR(__xludf.DUMMYFUNCTION("""COMPUTED_VALUE"""),"युग द्रष्टा पं. श्रीराम शर्मा आचार्यजी")</f>
        <v>युग द्रष्टा पं. श्रीराम शर्मा आचार्यजी</v>
      </c>
      <c r="H3" s="1"/>
      <c r="I3" s="1"/>
      <c r="J3" s="1"/>
      <c r="K3" s="1"/>
      <c r="L3" s="1"/>
      <c r="M3" s="1"/>
      <c r="N3" s="1"/>
      <c r="O3" s="1"/>
      <c r="P3" s="1" t="str">
        <f ca="1">IFERROR(__xludf.DUMMYFUNCTION("""COMPUTED_VALUE"""),"युगॠषी का जीवनदर्शन")</f>
        <v>युगॠषी का जीवनदर्शन</v>
      </c>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f ca="1">IFERROR(__xludf.DUMMYFUNCTION("""COMPUTED_VALUE"""),33)</f>
        <v>33</v>
      </c>
      <c r="BX3" s="1">
        <f ca="1">IFERROR(__xludf.DUMMYFUNCTION("""COMPUTED_VALUE"""),33)</f>
        <v>33</v>
      </c>
      <c r="BY3" s="1">
        <f ca="1">IFERROR(__xludf.DUMMYFUNCTION("""COMPUTED_VALUE"""),33)</f>
        <v>33</v>
      </c>
      <c r="BZ3" s="1">
        <f ca="1">IFERROR(__xludf.DUMMYFUNCTION("""COMPUTED_VALUE"""),22)</f>
        <v>22</v>
      </c>
      <c r="CA3" s="1"/>
      <c r="CB3" s="1"/>
      <c r="CC3" s="1" t="str">
        <f ca="1">IFERROR(__xludf.DUMMYFUNCTION("""COMPUTED_VALUE"""),"Mother’S Teachings : EPB_141")</f>
        <v>Mother’S Teachings : EPB_141</v>
      </c>
      <c r="CD3" s="3" t="str">
        <f ca="1">IFERROR(__xludf.DUMMYFUNCTION("""COMPUTED_VALUE"""),"https://vicharkrantibooks.org/productdetail?book_name=ENGB0208_MOTHER%E2%80%99S_TEACHINGS_1st2013&amp;product_id=3526")</f>
        <v>https://vicharkrantibooks.org/productdetail?book_name=ENGB0208_MOTHER%E2%80%99S_TEACHINGS_1st2013&amp;product_id=3526</v>
      </c>
      <c r="CE3" s="1" t="str">
        <f ca="1">IFERROR(__xludf.DUMMYFUNCTION("""COMPUTED_VALUE"""),"Audiobook : Mother’S Teachings : EPB_141 : sanjayneha1@yahoo.com : Recorded")</f>
        <v>Audiobook : Mother’S Teachings : EPB_141 : sanjayneha1@yahoo.com : Recorded</v>
      </c>
      <c r="CF3" s="1" t="str">
        <f ca="1">IFERROR(__xludf.DUMMYFUNCTION("""COMPUTED_VALUE"""),"#N/A")</f>
        <v>#N/A</v>
      </c>
      <c r="CG3" s="1" t="str">
        <f ca="1">IFERROR(__xludf.DUMMYFUNCTION("""COMPUTED_VALUE"""),"Adarniya Neha Manocha ji Mother’S Teachings : EPB_141 : Allocated on 14-Sep-24 Contact Number  16174130446")</f>
        <v>Adarniya Neha Manocha ji Mother’S Teachings : EPB_141 : Allocated on 14-Sep-24 Contact Number  16174130446</v>
      </c>
      <c r="CH3" s="1" t="str">
        <f ca="1">IFERROR(__xludf.DUMMYFUNCTION("""COMPUTED_VALUE"""),"sanjayneha1@yahoo.com : Mother’S Teachings : EPB_141")</f>
        <v>sanjayneha1@yahoo.com : Mother’S Teachings : EPB_141</v>
      </c>
      <c r="CI3" s="5">
        <f ca="1">IFERROR(__xludf.DUMMYFUNCTION("""COMPUTED_VALUE"""),45549.0694079282)</f>
        <v>45549.069407928197</v>
      </c>
    </row>
    <row r="4" spans="1:87" x14ac:dyDescent="0.25">
      <c r="A4" s="5">
        <f ca="1">IFERROR(__xludf.DUMMYFUNCTION("""COMPUTED_VALUE"""),45548.9186997106)</f>
        <v>45548.918699710601</v>
      </c>
      <c r="B4" s="1" t="str">
        <f ca="1">IFERROR(__xludf.DUMMYFUNCTION("""COMPUTED_VALUE"""),"vandana15rastogi@gmail.com")</f>
        <v>vandana15rastogi@gmail.com</v>
      </c>
      <c r="C4" s="1" t="str">
        <f ca="1">IFERROR(__xludf.DUMMYFUNCTION("""COMPUTED_VALUE"""),"Vandana Rastogi")</f>
        <v>Vandana Rastogi</v>
      </c>
      <c r="D4" s="1">
        <f ca="1">IFERROR(__xludf.DUMMYFUNCTION("""COMPUTED_VALUE"""),9359528684)</f>
        <v>9359528684</v>
      </c>
      <c r="E4" s="1" t="str">
        <f ca="1">IFERROR(__xludf.DUMMYFUNCTION("""COMPUTED_VALUE"""),"Yes")</f>
        <v>Yes</v>
      </c>
      <c r="F4" s="1" t="str">
        <f ca="1">IFERROR(__xludf.DUMMYFUNCTION("""COMPUTED_VALUE"""),"हिन्दी")</f>
        <v>हिन्दी</v>
      </c>
      <c r="G4" s="1" t="str">
        <f ca="1">IFERROR(__xludf.DUMMYFUNCTION("""COMPUTED_VALUE"""),"समग्र स्वास्थ्य")</f>
        <v>समग्र स्वास्थ्य</v>
      </c>
      <c r="H4" s="1"/>
      <c r="I4" s="1"/>
      <c r="J4" s="1"/>
      <c r="K4" s="1"/>
      <c r="L4" s="1"/>
      <c r="M4" s="1"/>
      <c r="N4" s="1"/>
      <c r="O4" s="1"/>
      <c r="P4" s="1"/>
      <c r="Q4" s="1"/>
      <c r="R4" s="1"/>
      <c r="S4" s="1"/>
      <c r="T4" s="1"/>
      <c r="U4" s="1" t="str">
        <f ca="1">IFERROR(__xludf.DUMMYFUNCTION("""COMPUTED_VALUE"""),"मानसिक स्वास्थ्य")</f>
        <v>मानसिक स्वास्थ्य</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f ca="1">IFERROR(__xludf.DUMMYFUNCTION("""COMPUTED_VALUE"""),33)</f>
        <v>33</v>
      </c>
      <c r="BX4" s="1">
        <f ca="1">IFERROR(__xludf.DUMMYFUNCTION("""COMPUTED_VALUE"""),35)</f>
        <v>35</v>
      </c>
      <c r="BY4" s="1">
        <f ca="1">IFERROR(__xludf.DUMMYFUNCTION("""COMPUTED_VALUE"""),37)</f>
        <v>37</v>
      </c>
      <c r="BZ4" s="1">
        <f ca="1">IFERROR(__xludf.DUMMYFUNCTION("""COMPUTED_VALUE"""),14)</f>
        <v>14</v>
      </c>
      <c r="CA4" s="1"/>
      <c r="CB4" s="1"/>
      <c r="CC4" s="1" t="str">
        <f ca="1">IFERROR(__xludf.DUMMYFUNCTION("""COMPUTED_VALUE"""),"रुग्ण रहें या स्वस्थ यह अपने मन पर निर्भर है : Rare Book")</f>
        <v>रुग्ण रहें या स्वस्थ यह अपने मन पर निर्भर है : Rare Book</v>
      </c>
      <c r="CD4" s="3" t="str">
        <f ca="1">IFERROR(__xludf.DUMMYFUNCTION("""COMPUTED_VALUE"""),"https://vicharkrantibooks.org/productdetail?book_name=HINP0709_RUGN_RAHEN_YA_SWASTH_YAH_APANE_MAN_PAR_NIRBHAR_HAI_xx1982&amp;product_id=1274")</f>
        <v>https://vicharkrantibooks.org/productdetail?book_name=HINP0709_RUGN_RAHEN_YA_SWASTH_YAH_APANE_MAN_PAR_NIRBHAR_HAI_xx1982&amp;product_id=1274</v>
      </c>
      <c r="CE4" s="1" t="str">
        <f ca="1">IFERROR(__xludf.DUMMYFUNCTION("""COMPUTED_VALUE"""),"Audiobook : रुग्ण रहें या स्वस्थ यह अपने मन पर निर्भर है : Rare Book : vandana15rastogi@gmail.com : Recorded")</f>
        <v>Audiobook : रुग्ण रहें या स्वस्थ यह अपने मन पर निर्भर है : Rare Book : vandana15rastogi@gmail.com : Recorded</v>
      </c>
      <c r="CF4" s="1" t="str">
        <f ca="1">IFERROR(__xludf.DUMMYFUNCTION("""COMPUTED_VALUE"""),"#N/A")</f>
        <v>#N/A</v>
      </c>
      <c r="CG4" s="1" t="str">
        <f ca="1">IFERROR(__xludf.DUMMYFUNCTION("""COMPUTED_VALUE"""),"Adarniya Vandana Rastogi ji रुग्ण रहें या स्वस्थ यह अपने मन पर निर्भर है : Rare Book : Allocated on 13-Sep-24 Contact Number  9359528684")</f>
        <v>Adarniya Vandana Rastogi ji रुग्ण रहें या स्वस्थ यह अपने मन पर निर्भर है : Rare Book : Allocated on 13-Sep-24 Contact Number  9359528684</v>
      </c>
      <c r="CH4" s="1" t="str">
        <f ca="1">IFERROR(__xludf.DUMMYFUNCTION("""COMPUTED_VALUE"""),"vandana15rastogi@gmail.com : रुग्ण रहें या स्वस्थ यह अपने मन पर निर्भर है : Rare Book")</f>
        <v>vandana15rastogi@gmail.com : रुग्ण रहें या स्वस्थ यह अपने मन पर निर्भर है : Rare Book</v>
      </c>
      <c r="CI4" s="5">
        <f ca="1">IFERROR(__xludf.DUMMYFUNCTION("""COMPUTED_VALUE"""),45548.9186997106)</f>
        <v>45548.918699710601</v>
      </c>
    </row>
    <row r="5" spans="1:87" x14ac:dyDescent="0.25">
      <c r="A5" s="5">
        <f ca="1">IFERROR(__xludf.DUMMYFUNCTION("""COMPUTED_VALUE"""),45548.8865887731)</f>
        <v>45548.886588773101</v>
      </c>
      <c r="B5" s="1" t="str">
        <f ca="1">IFERROR(__xludf.DUMMYFUNCTION("""COMPUTED_VALUE"""),"alpha9sun@gmail.com")</f>
        <v>alpha9sun@gmail.com</v>
      </c>
      <c r="C5" s="1" t="str">
        <f ca="1">IFERROR(__xludf.DUMMYFUNCTION("""COMPUTED_VALUE"""),"Major Aditya Pratap Singh ")</f>
        <v xml:space="preserve">Major Aditya Pratap Singh </v>
      </c>
      <c r="D5" s="1">
        <f ca="1">IFERROR(__xludf.DUMMYFUNCTION("""COMPUTED_VALUE"""),9559716989)</f>
        <v>9559716989</v>
      </c>
      <c r="E5" s="1" t="str">
        <f ca="1">IFERROR(__xludf.DUMMYFUNCTION("""COMPUTED_VALUE"""),"Yes")</f>
        <v>Yes</v>
      </c>
      <c r="F5" s="1" t="str">
        <f ca="1">IFERROR(__xludf.DUMMYFUNCTION("""COMPUTED_VALUE"""),"हिन्दी")</f>
        <v>हिन्दी</v>
      </c>
      <c r="G5" s="1" t="str">
        <f ca="1">IFERROR(__xludf.DUMMYFUNCTION("""COMPUTED_VALUE"""),"युग द्रष्टा पं. श्रीराम शर्मा आचार्यजी")</f>
        <v>युग द्रष्टा पं. श्रीराम शर्मा आचार्यजी</v>
      </c>
      <c r="H5" s="1"/>
      <c r="I5" s="1"/>
      <c r="J5" s="1"/>
      <c r="K5" s="1"/>
      <c r="L5" s="1"/>
      <c r="M5" s="1"/>
      <c r="N5" s="1"/>
      <c r="O5" s="1"/>
      <c r="P5" s="1" t="str">
        <f ca="1">IFERROR(__xludf.DUMMYFUNCTION("""COMPUTED_VALUE"""),"युगॠषी का जीवनदर्शन")</f>
        <v>युगॠषी का जीवनदर्शन</v>
      </c>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f ca="1">IFERROR(__xludf.DUMMYFUNCTION("""COMPUTED_VALUE"""),3)</f>
        <v>3</v>
      </c>
      <c r="BX5" s="1">
        <f ca="1">IFERROR(__xludf.DUMMYFUNCTION("""COMPUTED_VALUE"""),2)</f>
        <v>2</v>
      </c>
      <c r="BY5" s="1">
        <f ca="1">IFERROR(__xludf.DUMMYFUNCTION("""COMPUTED_VALUE"""),3)</f>
        <v>3</v>
      </c>
      <c r="BZ5" s="1">
        <f ca="1">IFERROR(__xludf.DUMMYFUNCTION("""COMPUTED_VALUE"""),0)</f>
        <v>0</v>
      </c>
      <c r="CA5" s="1"/>
      <c r="CB5" s="1"/>
      <c r="CC5" s="1" t="str">
        <f ca="1">IFERROR(__xludf.DUMMYFUNCTION("""COMPUTED_VALUE"""),"युग परिवर्तन में समर्थ अग्रदूतों की भूमिका : Rare Book")</f>
        <v>युग परिवर्तन में समर्थ अग्रदूतों की भूमिका : Rare Book</v>
      </c>
      <c r="CD5" s="3" t="str">
        <f ca="1">IFERROR(__xludf.DUMMYFUNCTION("""COMPUTED_VALUE"""),"https://vicharkrantibooks.org/productdetail?book_name=HINP1057_YUG_PARIVARTAN_MEIN_SAMARTH_AGRADUTON_KI_BHUMIKA_xxyyyy&amp;product_id=1622")</f>
        <v>https://vicharkrantibooks.org/productdetail?book_name=HINP1057_YUG_PARIVARTAN_MEIN_SAMARTH_AGRADUTON_KI_BHUMIKA_xxyyyy&amp;product_id=1622</v>
      </c>
      <c r="CE5" s="1" t="str">
        <f ca="1">IFERROR(__xludf.DUMMYFUNCTION("""COMPUTED_VALUE"""),"Audiobook : युग परिवर्तन में समर्थ अग्रदूतों की भूमिका : Rare Book : alpha9sun@gmail.com : Recorded")</f>
        <v>Audiobook : युग परिवर्तन में समर्थ अग्रदूतों की भूमिका : Rare Book : alpha9sun@gmail.com : Recorded</v>
      </c>
      <c r="CF5" s="1" t="str">
        <f ca="1">IFERROR(__xludf.DUMMYFUNCTION("""COMPUTED_VALUE"""),"#N/A")</f>
        <v>#N/A</v>
      </c>
      <c r="CG5" s="1" t="str">
        <f ca="1">IFERROR(__xludf.DUMMYFUNCTION("""COMPUTED_VALUE"""),"Adarniya Major Aditya Pratap Singh  ji युग परिवर्तन में समर्थ अग्रदूतों की भूमिका : Rare Book : Allocated on 13-Sep-24 Contact Number  9559716989")</f>
        <v>Adarniya Major Aditya Pratap Singh  ji युग परिवर्तन में समर्थ अग्रदूतों की भूमिका : Rare Book : Allocated on 13-Sep-24 Contact Number  9559716989</v>
      </c>
      <c r="CH5" s="1" t="str">
        <f ca="1">IFERROR(__xludf.DUMMYFUNCTION("""COMPUTED_VALUE"""),"alpha9sun@gmail.com : युग परिवर्तन में समर्थ अग्रदूतों की भूमिका : Rare Book")</f>
        <v>alpha9sun@gmail.com : युग परिवर्तन में समर्थ अग्रदूतों की भूमिका : Rare Book</v>
      </c>
      <c r="CI5" s="5">
        <f ca="1">IFERROR(__xludf.DUMMYFUNCTION("""COMPUTED_VALUE"""),45548.8865887731)</f>
        <v>45548.886588773101</v>
      </c>
    </row>
    <row r="6" spans="1:87" x14ac:dyDescent="0.25">
      <c r="A6" s="5">
        <f ca="1">IFERROR(__xludf.DUMMYFUNCTION("""COMPUTED_VALUE"""),45548.6949912037)</f>
        <v>45548.694991203702</v>
      </c>
      <c r="B6" s="1" t="str">
        <f ca="1">IFERROR(__xludf.DUMMYFUNCTION("""COMPUTED_VALUE"""),"shweta.r.gupta79@gmail.com")</f>
        <v>shweta.r.gupta79@gmail.com</v>
      </c>
      <c r="C6" s="1" t="str">
        <f ca="1">IFERROR(__xludf.DUMMYFUNCTION("""COMPUTED_VALUE"""),"Shweta Gupta ")</f>
        <v xml:space="preserve">Shweta Gupta </v>
      </c>
      <c r="D6" s="1">
        <f ca="1">IFERROR(__xludf.DUMMYFUNCTION("""COMPUTED_VALUE"""),8369516724)</f>
        <v>8369516724</v>
      </c>
      <c r="E6" s="1" t="str">
        <f ca="1">IFERROR(__xludf.DUMMYFUNCTION("""COMPUTED_VALUE"""),"Yes")</f>
        <v>Yes</v>
      </c>
      <c r="F6" s="1" t="str">
        <f ca="1">IFERROR(__xludf.DUMMYFUNCTION("""COMPUTED_VALUE"""),"हिन्दी")</f>
        <v>हिन्दी</v>
      </c>
      <c r="G6" s="1" t="str">
        <f ca="1">IFERROR(__xludf.DUMMYFUNCTION("""COMPUTED_VALUE"""),"अध्यात्म, धर्म एवं दर्शन")</f>
        <v>अध्यात्म, धर्म एवं दर्शन</v>
      </c>
      <c r="H6" s="1" t="str">
        <f ca="1">IFERROR(__xludf.DUMMYFUNCTION("""COMPUTED_VALUE"""),"आत्मज्ञान एवं आत्मनिर्माण")</f>
        <v>आत्मज्ञान एवं आत्मनिर्माण</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f ca="1">IFERROR(__xludf.DUMMYFUNCTION("""COMPUTED_VALUE"""),31)</f>
        <v>31</v>
      </c>
      <c r="BX6" s="1">
        <f ca="1">IFERROR(__xludf.DUMMYFUNCTION("""COMPUTED_VALUE"""),28)</f>
        <v>28</v>
      </c>
      <c r="BY6" s="1">
        <f ca="1">IFERROR(__xludf.DUMMYFUNCTION("""COMPUTED_VALUE"""),31)</f>
        <v>31</v>
      </c>
      <c r="BZ6" s="1">
        <f ca="1">IFERROR(__xludf.DUMMYFUNCTION("""COMPUTED_VALUE"""),40)</f>
        <v>40</v>
      </c>
      <c r="CA6" s="1"/>
      <c r="CB6" s="1"/>
      <c r="CC6" s="1" t="str">
        <f ca="1">IFERROR(__xludf.DUMMYFUNCTION("""COMPUTED_VALUE"""),"वातावरण का प्रभाव : NOTM")</f>
        <v>वातावरण का प्रभाव : NOTM</v>
      </c>
      <c r="CD6" s="3" t="str">
        <f ca="1">IFERROR(__xludf.DUMMYFUNCTION("""COMPUTED_VALUE"""),"https://vicharkrantibooks.org/productdetail?book_name=HINP0951_VATAVARAN_KA_PRABHAV_xxyyyy&amp;product_id=1516")</f>
        <v>https://vicharkrantibooks.org/productdetail?book_name=HINP0951_VATAVARAN_KA_PRABHAV_xxyyyy&amp;product_id=1516</v>
      </c>
      <c r="CE6" s="1" t="str">
        <f ca="1">IFERROR(__xludf.DUMMYFUNCTION("""COMPUTED_VALUE"""),"Audiobook : वातावरण का प्रभाव : NOTM : shweta.r.gupta79@gmail.com : Recorded")</f>
        <v>Audiobook : वातावरण का प्रभाव : NOTM : shweta.r.gupta79@gmail.com : Recorded</v>
      </c>
      <c r="CF6" s="1" t="str">
        <f ca="1">IFERROR(__xludf.DUMMYFUNCTION("""COMPUTED_VALUE"""),"#N/A")</f>
        <v>#N/A</v>
      </c>
      <c r="CG6" s="1" t="str">
        <f ca="1">IFERROR(__xludf.DUMMYFUNCTION("""COMPUTED_VALUE"""),"Adarniya Shweta Gupta  ji वातावरण का प्रभाव : NOTM : Allocated on 13-Sep-24 Contact Number  8369516724")</f>
        <v>Adarniya Shweta Gupta  ji वातावरण का प्रभाव : NOTM : Allocated on 13-Sep-24 Contact Number  8369516724</v>
      </c>
      <c r="CH6" s="1" t="str">
        <f ca="1">IFERROR(__xludf.DUMMYFUNCTION("""COMPUTED_VALUE"""),"shweta.r.gupta79@gmail.com : वातावरण का प्रभाव : NOTM")</f>
        <v>shweta.r.gupta79@gmail.com : वातावरण का प्रभाव : NOTM</v>
      </c>
      <c r="CI6" s="5">
        <f ca="1">IFERROR(__xludf.DUMMYFUNCTION("""COMPUTED_VALUE"""),45548.6949912037)</f>
        <v>45548.694991203702</v>
      </c>
    </row>
    <row r="7" spans="1:87" x14ac:dyDescent="0.25">
      <c r="A7" s="5">
        <f ca="1">IFERROR(__xludf.DUMMYFUNCTION("""COMPUTED_VALUE"""),45548.4990295601)</f>
        <v>45548.499029560102</v>
      </c>
      <c r="B7" s="1" t="str">
        <f ca="1">IFERROR(__xludf.DUMMYFUNCTION("""COMPUTED_VALUE"""),"druma4107@gmail.com")</f>
        <v>druma4107@gmail.com</v>
      </c>
      <c r="C7" s="1" t="str">
        <f ca="1">IFERROR(__xludf.DUMMYFUNCTION("""COMPUTED_VALUE"""),"Dr Uma Agrawal ")</f>
        <v xml:space="preserve">Dr Uma Agrawal </v>
      </c>
      <c r="D7" s="1">
        <f ca="1">IFERROR(__xludf.DUMMYFUNCTION("""COMPUTED_VALUE"""),9410861182)</f>
        <v>9410861182</v>
      </c>
      <c r="E7" s="1" t="str">
        <f ca="1">IFERROR(__xludf.DUMMYFUNCTION("""COMPUTED_VALUE"""),"Yes")</f>
        <v>Yes</v>
      </c>
      <c r="F7" s="1" t="str">
        <f ca="1">IFERROR(__xludf.DUMMYFUNCTION("""COMPUTED_VALUE"""),"हिन्दी")</f>
        <v>हिन्दी</v>
      </c>
      <c r="G7" s="1" t="str">
        <f ca="1">IFERROR(__xludf.DUMMYFUNCTION("""COMPUTED_VALUE"""),"युग द्रष्टा पं. श्रीराम शर्मा आचार्यजी")</f>
        <v>युग द्रष्टा पं. श्रीराम शर्मा आचार्यजी</v>
      </c>
      <c r="H7" s="1"/>
      <c r="I7" s="1"/>
      <c r="J7" s="1"/>
      <c r="K7" s="1"/>
      <c r="L7" s="1"/>
      <c r="M7" s="1"/>
      <c r="N7" s="1"/>
      <c r="O7" s="1"/>
      <c r="P7" s="1" t="str">
        <f ca="1">IFERROR(__xludf.DUMMYFUNCTION("""COMPUTED_VALUE"""),"युगॠषी की अमृतवाणी")</f>
        <v>युगॠषी की अमृतवाणी</v>
      </c>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f ca="1">IFERROR(__xludf.DUMMYFUNCTION("""COMPUTED_VALUE"""),104)</f>
        <v>104</v>
      </c>
      <c r="BX7" s="1">
        <f ca="1">IFERROR(__xludf.DUMMYFUNCTION("""COMPUTED_VALUE"""),43)</f>
        <v>43</v>
      </c>
      <c r="BY7" s="1">
        <f ca="1">IFERROR(__xludf.DUMMYFUNCTION("""COMPUTED_VALUE"""),101)</f>
        <v>101</v>
      </c>
      <c r="BZ7" s="1">
        <f ca="1">IFERROR(__xludf.DUMMYFUNCTION("""COMPUTED_VALUE"""),43)</f>
        <v>43</v>
      </c>
      <c r="CA7" s="1"/>
      <c r="CB7" s="1"/>
      <c r="CC7" s="1" t="str">
        <f ca="1">IFERROR(__xludf.DUMMYFUNCTION("""COMPUTED_VALUE"""),"धर्मतंत्र को पाखंड से बचाएँ, प्रगतिशील बनाएँ : Rare Book")</f>
        <v>धर्मतंत्र को पाखंड से बचाएँ, प्रगतिशील बनाएँ : Rare Book</v>
      </c>
      <c r="CD7" s="3" t="str">
        <f ca="1">IFERROR(__xludf.DUMMYFUNCTION("""COMPUTED_VALUE"""),"https://vicharkrantibooks.org/productdetail?book_name=HINP1100_DHARMATANTR_KO_PAKHAND_SE_BACHAEN_PRAGATISHIL_BANAEN_xxyyyy&amp;product_id=1665")</f>
        <v>https://vicharkrantibooks.org/productdetail?book_name=HINP1100_DHARMATANTR_KO_PAKHAND_SE_BACHAEN_PRAGATISHIL_BANAEN_xxyyyy&amp;product_id=1665</v>
      </c>
      <c r="CE7" s="1" t="str">
        <f ca="1">IFERROR(__xludf.DUMMYFUNCTION("""COMPUTED_VALUE"""),"Audiobook : धर्मतंत्र को पाखंड से बचाएँ, प्रगतिशील बनाएँ : Rare Book : druma4107@gmail.com : Recorded")</f>
        <v>Audiobook : धर्मतंत्र को पाखंड से बचाएँ, प्रगतिशील बनाएँ : Rare Book : druma4107@gmail.com : Recorded</v>
      </c>
      <c r="CF7" s="1" t="str">
        <f ca="1">IFERROR(__xludf.DUMMYFUNCTION("""COMPUTED_VALUE"""),"#N/A")</f>
        <v>#N/A</v>
      </c>
      <c r="CG7" s="1" t="str">
        <f ca="1">IFERROR(__xludf.DUMMYFUNCTION("""COMPUTED_VALUE"""),"Adarniya Dr Uma Agrawal  ji धर्मतंत्र को पाखंड से बचाएँ, प्रगतिशील बनाएँ : Rare Book : Allocated on 13-Sep-24 Contact Number  9410861182")</f>
        <v>Adarniya Dr Uma Agrawal  ji धर्मतंत्र को पाखंड से बचाएँ, प्रगतिशील बनाएँ : Rare Book : Allocated on 13-Sep-24 Contact Number  9410861182</v>
      </c>
      <c r="CH7" s="1" t="str">
        <f ca="1">IFERROR(__xludf.DUMMYFUNCTION("""COMPUTED_VALUE"""),"druma4107@gmail.com : धर्मतंत्र को पाखंड से बचाएँ, प्रगतिशील बनाएँ : Rare Book")</f>
        <v>druma4107@gmail.com : धर्मतंत्र को पाखंड से बचाएँ, प्रगतिशील बनाएँ : Rare Book</v>
      </c>
      <c r="CI7" s="5">
        <f ca="1">IFERROR(__xludf.DUMMYFUNCTION("""COMPUTED_VALUE"""),45548.4990295601)</f>
        <v>45548.499029560102</v>
      </c>
    </row>
    <row r="8" spans="1:87" x14ac:dyDescent="0.25">
      <c r="A8" s="5">
        <f ca="1">IFERROR(__xludf.DUMMYFUNCTION("""COMPUTED_VALUE"""),45548.0045965162)</f>
        <v>45548.004596516199</v>
      </c>
      <c r="B8" s="1" t="str">
        <f ca="1">IFERROR(__xludf.DUMMYFUNCTION("""COMPUTED_VALUE"""),"alpha9sun@gmail.com")</f>
        <v>alpha9sun@gmail.com</v>
      </c>
      <c r="C8" s="1" t="str">
        <f ca="1">IFERROR(__xludf.DUMMYFUNCTION("""COMPUTED_VALUE"""),"Major Aditya Pratap Singh")</f>
        <v>Major Aditya Pratap Singh</v>
      </c>
      <c r="D8" s="1">
        <f ca="1">IFERROR(__xludf.DUMMYFUNCTION("""COMPUTED_VALUE"""),9559716989)</f>
        <v>9559716989</v>
      </c>
      <c r="E8" s="1" t="str">
        <f ca="1">IFERROR(__xludf.DUMMYFUNCTION("""COMPUTED_VALUE"""),"Yes")</f>
        <v>Yes</v>
      </c>
      <c r="F8" s="1" t="str">
        <f ca="1">IFERROR(__xludf.DUMMYFUNCTION("""COMPUTED_VALUE"""),"हिन्दी")</f>
        <v>हिन्दी</v>
      </c>
      <c r="G8" s="1" t="str">
        <f ca="1">IFERROR(__xludf.DUMMYFUNCTION("""COMPUTED_VALUE"""),"युग द्रष्टा पं. श्रीराम शर्मा आचार्यजी")</f>
        <v>युग द्रष्टा पं. श्रीराम शर्मा आचार्यजी</v>
      </c>
      <c r="H8" s="1"/>
      <c r="I8" s="1"/>
      <c r="J8" s="1"/>
      <c r="K8" s="1"/>
      <c r="L8" s="1"/>
      <c r="M8" s="1"/>
      <c r="N8" s="1"/>
      <c r="O8" s="1"/>
      <c r="P8" s="1" t="str">
        <f ca="1">IFERROR(__xludf.DUMMYFUNCTION("""COMPUTED_VALUE"""),"युगॠषी का जीवनदर्शन")</f>
        <v>युगॠषी का जीवनदर्शन</v>
      </c>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f ca="1">IFERROR(__xludf.DUMMYFUNCTION("""COMPUTED_VALUE"""),3)</f>
        <v>3</v>
      </c>
      <c r="BX8" s="1">
        <f ca="1">IFERROR(__xludf.DUMMYFUNCTION("""COMPUTED_VALUE"""),1)</f>
        <v>1</v>
      </c>
      <c r="BY8" s="1">
        <f ca="1">IFERROR(__xludf.DUMMYFUNCTION("""COMPUTED_VALUE"""),3)</f>
        <v>3</v>
      </c>
      <c r="BZ8" s="1">
        <f ca="1">IFERROR(__xludf.DUMMYFUNCTION("""COMPUTED_VALUE"""),0)</f>
        <v>0</v>
      </c>
      <c r="CA8" s="1"/>
      <c r="CB8" s="1"/>
      <c r="CC8" s="1" t="str">
        <f ca="1">IFERROR(__xludf.DUMMYFUNCTION("""COMPUTED_VALUE"""),"वोटरों की सतर्कता पर प्रजातंत्र की सफलता निर्भर : Rare Book")</f>
        <v>वोटरों की सतर्कता पर प्रजातंत्र की सफलता निर्भर : Rare Book</v>
      </c>
      <c r="CD8" s="3" t="str">
        <f ca="1">IFERROR(__xludf.DUMMYFUNCTION("""COMPUTED_VALUE"""),"https://vicharkrantibooks.org/productdetail?book_name=HINP0997_VOTARON_KI_SATARKATA_PAR_PRAJATANTR_KI_SAPHALATA_NIRBHAR_xxyyyy&amp;product_id=1562")</f>
        <v>https://vicharkrantibooks.org/productdetail?book_name=HINP0997_VOTARON_KI_SATARKATA_PAR_PRAJATANTR_KI_SAPHALATA_NIRBHAR_xxyyyy&amp;product_id=1562</v>
      </c>
      <c r="CE8" s="1" t="str">
        <f ca="1">IFERROR(__xludf.DUMMYFUNCTION("""COMPUTED_VALUE"""),"Audiobook : वोटरों की सतर्कता पर प्रजातंत्र की सफलता निर्भर : Rare Book : alpha9sun@gmail.com : Recorded")</f>
        <v>Audiobook : वोटरों की सतर्कता पर प्रजातंत्र की सफलता निर्भर : Rare Book : alpha9sun@gmail.com : Recorded</v>
      </c>
      <c r="CF8" s="1" t="str">
        <f ca="1">IFERROR(__xludf.DUMMYFUNCTION("""COMPUTED_VALUE"""),"Audiobook : वोटरों की सतर्कता पर प्रजातंत्र की सफलता निर्भर : Rare Book : alpha9sun@gmail.com : Recorded")</f>
        <v>Audiobook : वोटरों की सतर्कता पर प्रजातंत्र की सफलता निर्भर : Rare Book : alpha9sun@gmail.com : Recorded</v>
      </c>
      <c r="CG8" s="1" t="str">
        <f ca="1">IFERROR(__xludf.DUMMYFUNCTION("""COMPUTED_VALUE"""),"Adarniya Major Aditya Pratap Singh ji वोटरों की सतर्कता पर प्रजातंत्र की सफलता निर्भर : Rare Book : Allocated on 13-Sep-24 Contact Number  9559716989")</f>
        <v>Adarniya Major Aditya Pratap Singh ji वोटरों की सतर्कता पर प्रजातंत्र की सफलता निर्भर : Rare Book : Allocated on 13-Sep-24 Contact Number  9559716989</v>
      </c>
      <c r="CH8" s="1" t="str">
        <f ca="1">IFERROR(__xludf.DUMMYFUNCTION("""COMPUTED_VALUE"""),"alpha9sun@gmail.com : वोटरों की सतर्कता पर प्रजातंत्र की सफलता निर्भर : Rare Book")</f>
        <v>alpha9sun@gmail.com : वोटरों की सतर्कता पर प्रजातंत्र की सफलता निर्भर : Rare Book</v>
      </c>
      <c r="CI8" s="5">
        <f ca="1">IFERROR(__xludf.DUMMYFUNCTION("""COMPUTED_VALUE"""),45548.0045965162)</f>
        <v>45548.004596516199</v>
      </c>
    </row>
    <row r="9" spans="1:87" x14ac:dyDescent="0.25">
      <c r="A9" s="5">
        <f ca="1">IFERROR(__xludf.DUMMYFUNCTION("""COMPUTED_VALUE"""),45547.8608504166)</f>
        <v>45547.860850416597</v>
      </c>
      <c r="B9" s="1" t="str">
        <f ca="1">IFERROR(__xludf.DUMMYFUNCTION("""COMPUTED_VALUE"""),"kuldeep2kk@gmail.com")</f>
        <v>kuldeep2kk@gmail.com</v>
      </c>
      <c r="C9" s="1" t="str">
        <f ca="1">IFERROR(__xludf.DUMMYFUNCTION("""COMPUTED_VALUE"""),"Kuldeep Pandey")</f>
        <v>Kuldeep Pandey</v>
      </c>
      <c r="D9" s="1" t="str">
        <f ca="1">IFERROR(__xludf.DUMMYFUNCTION("""COMPUTED_VALUE"""),"09258369415")</f>
        <v>09258369415</v>
      </c>
      <c r="E9" s="1" t="str">
        <f ca="1">IFERROR(__xludf.DUMMYFUNCTION("""COMPUTED_VALUE"""),"Yes")</f>
        <v>Yes</v>
      </c>
      <c r="F9" s="1" t="str">
        <f ca="1">IFERROR(__xludf.DUMMYFUNCTION("""COMPUTED_VALUE"""),"हिन्दी")</f>
        <v>हिन्दी</v>
      </c>
      <c r="G9" s="1" t="str">
        <f ca="1">IFERROR(__xludf.DUMMYFUNCTION("""COMPUTED_VALUE"""),"राष्ट्र निर्माण")</f>
        <v>राष्ट्र निर्माण</v>
      </c>
      <c r="H9" s="1"/>
      <c r="I9" s="1"/>
      <c r="J9" s="1"/>
      <c r="K9" s="1"/>
      <c r="L9" s="1"/>
      <c r="M9" s="1"/>
      <c r="N9" s="1"/>
      <c r="O9" s="1"/>
      <c r="P9" s="1"/>
      <c r="Q9" s="1"/>
      <c r="R9" s="1" t="str">
        <f ca="1">IFERROR(__xludf.DUMMYFUNCTION("""COMPUTED_VALUE"""),"राष्ट्र निर्माण")</f>
        <v>राष्ट्र निर्माण</v>
      </c>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f ca="1">IFERROR(__xludf.DUMMYFUNCTION("""COMPUTED_VALUE"""),2)</f>
        <v>2</v>
      </c>
      <c r="BX9" s="1">
        <f ca="1">IFERROR(__xludf.DUMMYFUNCTION("""COMPUTED_VALUE"""),2)</f>
        <v>2</v>
      </c>
      <c r="BY9" s="1">
        <f ca="1">IFERROR(__xludf.DUMMYFUNCTION("""COMPUTED_VALUE"""),2)</f>
        <v>2</v>
      </c>
      <c r="BZ9" s="1">
        <f ca="1">IFERROR(__xludf.DUMMYFUNCTION("""COMPUTED_VALUE"""),0)</f>
        <v>0</v>
      </c>
      <c r="CA9" s="1"/>
      <c r="CB9" s="1"/>
      <c r="CC9" s="1" t="str">
        <f ca="1">IFERROR(__xludf.DUMMYFUNCTION("""COMPUTED_VALUE"""),"वोटरों की सतर्कता पर प्रजातंत्र की सफलता निर्भर : Rare Book")</f>
        <v>वोटरों की सतर्कता पर प्रजातंत्र की सफलता निर्भर : Rare Book</v>
      </c>
      <c r="CD9" s="3" t="str">
        <f ca="1">IFERROR(__xludf.DUMMYFUNCTION("""COMPUTED_VALUE"""),"https://vicharkrantibooks.org/productdetail?book_name=HINP0997_VOTARON_KI_SATARKATA_PAR_PRAJATANTR_KI_SAPHALATA_NIRBHAR_xxyyyy&amp;product_id=1562")</f>
        <v>https://vicharkrantibooks.org/productdetail?book_name=HINP0997_VOTARON_KI_SATARKATA_PAR_PRAJATANTR_KI_SAPHALATA_NIRBHAR_xxyyyy&amp;product_id=1562</v>
      </c>
      <c r="CE9" s="1" t="str">
        <f ca="1">IFERROR(__xludf.DUMMYFUNCTION("""COMPUTED_VALUE"""),"Audiobook : वोटरों की सतर्कता पर प्रजातंत्र की सफलता निर्भर : Rare Book : kuldeep2kk@gmail.com : Recorded")</f>
        <v>Audiobook : वोटरों की सतर्कता पर प्रजातंत्र की सफलता निर्भर : Rare Book : kuldeep2kk@gmail.com : Recorded</v>
      </c>
      <c r="CF9" s="1" t="str">
        <f ca="1">IFERROR(__xludf.DUMMYFUNCTION("""COMPUTED_VALUE"""),"#N/A")</f>
        <v>#N/A</v>
      </c>
      <c r="CG9" s="1" t="str">
        <f ca="1">IFERROR(__xludf.DUMMYFUNCTION("""COMPUTED_VALUE"""),"Adarniya Kuldeep Pandey ji वोटरों की सतर्कता पर प्रजातंत्र की सफलता निर्भर : Rare Book : Allocated on 12-Sep-24 Contact Number  09258369415")</f>
        <v>Adarniya Kuldeep Pandey ji वोटरों की सतर्कता पर प्रजातंत्र की सफलता निर्भर : Rare Book : Allocated on 12-Sep-24 Contact Number  09258369415</v>
      </c>
      <c r="CH9" s="1" t="str">
        <f ca="1">IFERROR(__xludf.DUMMYFUNCTION("""COMPUTED_VALUE"""),"kuldeep2kk@gmail.com : वोटरों की सतर्कता पर प्रजातंत्र की सफलता निर्भर : Rare Book")</f>
        <v>kuldeep2kk@gmail.com : वोटरों की सतर्कता पर प्रजातंत्र की सफलता निर्भर : Rare Book</v>
      </c>
      <c r="CI9" s="5">
        <f ca="1">IFERROR(__xludf.DUMMYFUNCTION("""COMPUTED_VALUE"""),45547.8608504166)</f>
        <v>45547.860850416597</v>
      </c>
    </row>
    <row r="10" spans="1:87" x14ac:dyDescent="0.25">
      <c r="A10" s="5">
        <f ca="1">IFERROR(__xludf.DUMMYFUNCTION("""COMPUTED_VALUE"""),45547.6387455324)</f>
        <v>45547.6387455324</v>
      </c>
      <c r="B10" s="1" t="str">
        <f ca="1">IFERROR(__xludf.DUMMYFUNCTION("""COMPUTED_VALUE"""),"dave.chhaya@gmail.com")</f>
        <v>dave.chhaya@gmail.com</v>
      </c>
      <c r="C10" s="1" t="str">
        <f ca="1">IFERROR(__xludf.DUMMYFUNCTION("""COMPUTED_VALUE"""),"Chhaya Deepak Dave ")</f>
        <v xml:space="preserve">Chhaya Deepak Dave </v>
      </c>
      <c r="D10" s="1">
        <f ca="1">IFERROR(__xludf.DUMMYFUNCTION("""COMPUTED_VALUE"""),9879596556)</f>
        <v>9879596556</v>
      </c>
      <c r="E10" s="1" t="str">
        <f ca="1">IFERROR(__xludf.DUMMYFUNCTION("""COMPUTED_VALUE"""),"Yes")</f>
        <v>Yes</v>
      </c>
      <c r="F10" s="1" t="str">
        <f ca="1">IFERROR(__xludf.DUMMYFUNCTION("""COMPUTED_VALUE"""),"गुजराती")</f>
        <v>गुजराती</v>
      </c>
      <c r="G10" s="1" t="str">
        <f ca="1">IFERROR(__xludf.DUMMYFUNCTION("""COMPUTED_VALUE"""),"वैज्ञानिक अध्यात्मवाद का प्रतिपादन")</f>
        <v>वैज्ञानिक अध्यात्मवाद का प्रतिपादन</v>
      </c>
      <c r="H10" s="1"/>
      <c r="I10" s="1"/>
      <c r="J10" s="1"/>
      <c r="K10" s="1"/>
      <c r="L10" s="1"/>
      <c r="M10" s="1"/>
      <c r="N10" s="1"/>
      <c r="O10" s="1"/>
      <c r="P10" s="1"/>
      <c r="Q10" s="1"/>
      <c r="R10" s="1"/>
      <c r="S10" s="1" t="str">
        <f ca="1">IFERROR(__xludf.DUMMYFUNCTION("""COMPUTED_VALUE"""),"वैज्ञानिक अध्यात्मवाद का प्रतिपादन")</f>
        <v>वैज्ञानिक अध्यात्मवाद का प्रतिपादन</v>
      </c>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f ca="1">IFERROR(__xludf.DUMMYFUNCTION("""COMPUTED_VALUE"""),46)</f>
        <v>46</v>
      </c>
      <c r="BX10" s="1">
        <f ca="1">IFERROR(__xludf.DUMMYFUNCTION("""COMPUTED_VALUE"""),46)</f>
        <v>46</v>
      </c>
      <c r="BY10" s="1">
        <f ca="1">IFERROR(__xludf.DUMMYFUNCTION("""COMPUTED_VALUE"""),46)</f>
        <v>46</v>
      </c>
      <c r="BZ10" s="1">
        <f ca="1">IFERROR(__xludf.DUMMYFUNCTION("""COMPUTED_VALUE"""),16)</f>
        <v>16</v>
      </c>
      <c r="CA10" s="1"/>
      <c r="CB10" s="1"/>
      <c r="CC10" s="1" t="str">
        <f ca="1">IFERROR(__xludf.DUMMYFUNCTION("""COMPUTED_VALUE"""),"નારીની અદભુત ક્ષમતા : G_PP_63")</f>
        <v>નારીની અદભુત ક્ષમતા : G_PP_63</v>
      </c>
      <c r="CD10" s="3" t="str">
        <f ca="1">IFERROR(__xludf.DUMMYFUNCTION("""COMPUTED_VALUE"""),"https://vicharkrantibooks.org/productdetail?product_id=3967")</f>
        <v>https://vicharkrantibooks.org/productdetail?product_id=3967</v>
      </c>
      <c r="CE10" s="1" t="str">
        <f ca="1">IFERROR(__xludf.DUMMYFUNCTION("""COMPUTED_VALUE"""),"Audiobook : નારીની અદભુત ક્ષમતા : G_PP_63 : dave.chhaya@gmail.com : Recorded")</f>
        <v>Audiobook : નારીની અદભુત ક્ષમતા : G_PP_63 : dave.chhaya@gmail.com : Recorded</v>
      </c>
      <c r="CF10" s="1" t="str">
        <f ca="1">IFERROR(__xludf.DUMMYFUNCTION("""COMPUTED_VALUE"""),"#N/A")</f>
        <v>#N/A</v>
      </c>
      <c r="CG10" s="1" t="str">
        <f ca="1">IFERROR(__xludf.DUMMYFUNCTION("""COMPUTED_VALUE"""),"Adarniya Chhaya Deepak Dave  ji નારીની અદભુત ક્ષમતા : G_PP_63 : Allocated on 12-Sep-24 Contact Number  9879596556")</f>
        <v>Adarniya Chhaya Deepak Dave  ji નારીની અદભુત ક્ષમતા : G_PP_63 : Allocated on 12-Sep-24 Contact Number  9879596556</v>
      </c>
      <c r="CH10" s="1" t="str">
        <f ca="1">IFERROR(__xludf.DUMMYFUNCTION("""COMPUTED_VALUE"""),"dave.chhaya@gmail.com : નારીની અદભુત ક્ષમતા : G_PP_63")</f>
        <v>dave.chhaya@gmail.com : નારીની અદભુત ક્ષમતા : G_PP_63</v>
      </c>
      <c r="CI10" s="5">
        <f ca="1">IFERROR(__xludf.DUMMYFUNCTION("""COMPUTED_VALUE"""),45547.6387455324)</f>
        <v>45547.6387455324</v>
      </c>
    </row>
    <row r="11" spans="1:87" x14ac:dyDescent="0.25">
      <c r="A11" s="5">
        <f ca="1">IFERROR(__xludf.DUMMYFUNCTION("""COMPUTED_VALUE"""),45547.4357652777)</f>
        <v>45547.435765277703</v>
      </c>
      <c r="B11" s="1" t="str">
        <f ca="1">IFERROR(__xludf.DUMMYFUNCTION("""COMPUTED_VALUE"""),"rekhabhagat2511@gmail.com")</f>
        <v>rekhabhagat2511@gmail.com</v>
      </c>
      <c r="C11" s="1" t="str">
        <f ca="1">IFERROR(__xludf.DUMMYFUNCTION("""COMPUTED_VALUE"""),"Rekha Bhagat ")</f>
        <v xml:space="preserve">Rekha Bhagat </v>
      </c>
      <c r="D11" s="1">
        <f ca="1">IFERROR(__xludf.DUMMYFUNCTION("""COMPUTED_VALUE"""),9424811235)</f>
        <v>9424811235</v>
      </c>
      <c r="E11" s="1" t="str">
        <f ca="1">IFERROR(__xludf.DUMMYFUNCTION("""COMPUTED_VALUE"""),"Yes")</f>
        <v>Yes</v>
      </c>
      <c r="F11" s="1" t="str">
        <f ca="1">IFERROR(__xludf.DUMMYFUNCTION("""COMPUTED_VALUE"""),"हिन्दी")</f>
        <v>हिन्दी</v>
      </c>
      <c r="G11" s="1" t="str">
        <f ca="1">IFERROR(__xludf.DUMMYFUNCTION("""COMPUTED_VALUE"""),"पर्यावरण संरक्षण")</f>
        <v>पर्यावरण संरक्षण</v>
      </c>
      <c r="H11" s="1"/>
      <c r="I11" s="1"/>
      <c r="J11" s="1"/>
      <c r="K11" s="1"/>
      <c r="L11" s="1"/>
      <c r="M11" s="1"/>
      <c r="N11" s="1" t="str">
        <f ca="1">IFERROR(__xludf.DUMMYFUNCTION("""COMPUTED_VALUE"""),"पर्यावरण संरक्षण")</f>
        <v>पर्यावरण संरक्षण</v>
      </c>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f ca="1">IFERROR(__xludf.DUMMYFUNCTION("""COMPUTED_VALUE"""),19)</f>
        <v>19</v>
      </c>
      <c r="BX11" s="1">
        <f ca="1">IFERROR(__xludf.DUMMYFUNCTION("""COMPUTED_VALUE"""),15)</f>
        <v>15</v>
      </c>
      <c r="BY11" s="1">
        <f ca="1">IFERROR(__xludf.DUMMYFUNCTION("""COMPUTED_VALUE"""),16)</f>
        <v>16</v>
      </c>
      <c r="BZ11" s="1">
        <f ca="1">IFERROR(__xludf.DUMMYFUNCTION("""COMPUTED_VALUE"""),4)</f>
        <v>4</v>
      </c>
      <c r="CA11" s="1"/>
      <c r="CB11" s="1"/>
      <c r="CC11" s="1" t="str">
        <f ca="1">IFERROR(__xludf.DUMMYFUNCTION("""COMPUTED_VALUE"""),"शाकाहार ही मनुष्य का प्राकृतिक भोजन : Rare Book")</f>
        <v>शाकाहार ही मनुष्य का प्राकृतिक भोजन : Rare Book</v>
      </c>
      <c r="CD11" s="3" t="str">
        <f ca="1">IFERROR(__xludf.DUMMYFUNCTION("""COMPUTED_VALUE"""),"https://vicharkrantibooks.org/productdetail?book_name=HINP0832_SHAKAHAR_HI_MANUSHY_KA_PRAKRUTIK_BHOJAN_xxyyyy&amp;product_id=1397")</f>
        <v>https://vicharkrantibooks.org/productdetail?book_name=HINP0832_SHAKAHAR_HI_MANUSHY_KA_PRAKRUTIK_BHOJAN_xxyyyy&amp;product_id=1397</v>
      </c>
      <c r="CE11" s="1" t="str">
        <f ca="1">IFERROR(__xludf.DUMMYFUNCTION("""COMPUTED_VALUE"""),"Audiobook : शाकाहार ही मनुष्य का प्राकृतिक भोजन : Rare Book : rekhabhagat2511@gmail.com : Recorded")</f>
        <v>Audiobook : शाकाहार ही मनुष्य का प्राकृतिक भोजन : Rare Book : rekhabhagat2511@gmail.com : Recorded</v>
      </c>
      <c r="CF11" s="1" t="str">
        <f ca="1">IFERROR(__xludf.DUMMYFUNCTION("""COMPUTED_VALUE"""),"#N/A")</f>
        <v>#N/A</v>
      </c>
      <c r="CG11" s="1" t="str">
        <f ca="1">IFERROR(__xludf.DUMMYFUNCTION("""COMPUTED_VALUE"""),"Adarniya Rekha Bhagat  ji शाकाहार ही मनुष्य का प्राकृतिक भोजन : Rare Book : Allocated on 12-Sep-24 Contact Number  9424811235")</f>
        <v>Adarniya Rekha Bhagat  ji शाकाहार ही मनुष्य का प्राकृतिक भोजन : Rare Book : Allocated on 12-Sep-24 Contact Number  9424811235</v>
      </c>
      <c r="CH11" s="1" t="str">
        <f ca="1">IFERROR(__xludf.DUMMYFUNCTION("""COMPUTED_VALUE"""),"rekhabhagat2511@gmail.com : शाकाहार ही मनुष्य का प्राकृतिक भोजन : Rare Book")</f>
        <v>rekhabhagat2511@gmail.com : शाकाहार ही मनुष्य का प्राकृतिक भोजन : Rare Book</v>
      </c>
      <c r="CI11" s="5">
        <f ca="1">IFERROR(__xludf.DUMMYFUNCTION("""COMPUTED_VALUE"""),45547.4357652777)</f>
        <v>45547.435765277703</v>
      </c>
    </row>
    <row r="12" spans="1:87" x14ac:dyDescent="0.25">
      <c r="A12" s="5">
        <f ca="1">IFERROR(__xludf.DUMMYFUNCTION("""COMPUTED_VALUE"""),45544.9252921643)</f>
        <v>45544.925292164298</v>
      </c>
      <c r="B12" s="1" t="str">
        <f ca="1">IFERROR(__xludf.DUMMYFUNCTION("""COMPUTED_VALUE"""),"dave.chhaya@gmail.com")</f>
        <v>dave.chhaya@gmail.com</v>
      </c>
      <c r="C12" s="1" t="str">
        <f ca="1">IFERROR(__xludf.DUMMYFUNCTION("""COMPUTED_VALUE"""),"Chhaya Deepak Dave ")</f>
        <v xml:space="preserve">Chhaya Deepak Dave </v>
      </c>
      <c r="D12" s="1">
        <f ca="1">IFERROR(__xludf.DUMMYFUNCTION("""COMPUTED_VALUE"""),9879596556)</f>
        <v>9879596556</v>
      </c>
      <c r="E12" s="1" t="str">
        <f ca="1">IFERROR(__xludf.DUMMYFUNCTION("""COMPUTED_VALUE"""),"Yes")</f>
        <v>Yes</v>
      </c>
      <c r="F12" s="1" t="str">
        <f ca="1">IFERROR(__xludf.DUMMYFUNCTION("""COMPUTED_VALUE"""),"गुजराती")</f>
        <v>गुजराती</v>
      </c>
      <c r="G12" s="1" t="str">
        <f ca="1">IFERROR(__xludf.DUMMYFUNCTION("""COMPUTED_VALUE"""),"युग द्रष्टा पं. श्रीराम शर्मा आचार्यजी")</f>
        <v>युग द्रष्टा पं. श्रीराम शर्मा आचार्यजी</v>
      </c>
      <c r="H12" s="1"/>
      <c r="I12" s="1"/>
      <c r="J12" s="1"/>
      <c r="K12" s="1"/>
      <c r="L12" s="1"/>
      <c r="M12" s="1"/>
      <c r="N12" s="1"/>
      <c r="O12" s="1"/>
      <c r="P12" s="1" t="str">
        <f ca="1">IFERROR(__xludf.DUMMYFUNCTION("""COMPUTED_VALUE"""),"युगॠषी का जीवनदर्शन")</f>
        <v>युगॠषी का जीवनदर्शन</v>
      </c>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f ca="1">IFERROR(__xludf.DUMMYFUNCTION("""COMPUTED_VALUE"""),46)</f>
        <v>46</v>
      </c>
      <c r="BX12" s="1">
        <f ca="1">IFERROR(__xludf.DUMMYFUNCTION("""COMPUTED_VALUE"""),46)</f>
        <v>46</v>
      </c>
      <c r="BY12" s="1">
        <f ca="1">IFERROR(__xludf.DUMMYFUNCTION("""COMPUTED_VALUE"""),46)</f>
        <v>46</v>
      </c>
      <c r="BZ12" s="1">
        <f ca="1">IFERROR(__xludf.DUMMYFUNCTION("""COMPUTED_VALUE"""),16)</f>
        <v>16</v>
      </c>
      <c r="CA12" s="1"/>
      <c r="CB12" s="1"/>
      <c r="CC12" s="1" t="str">
        <f ca="1">IFERROR(__xludf.DUMMYFUNCTION("""COMPUTED_VALUE"""),"પ્રકૃતિના પ્રવાહમાં બાધક ન બનો : G_PP_20")</f>
        <v>પ્રકૃતિના પ્રવાહમાં બાધક ન બનો : G_PP_20</v>
      </c>
      <c r="CD12" s="3" t="str">
        <f ca="1">IFERROR(__xludf.DUMMYFUNCTION("""COMPUTED_VALUE"""),"https://vicharkrantibooks.org/productdetail?product_id=3925")</f>
        <v>https://vicharkrantibooks.org/productdetail?product_id=3925</v>
      </c>
      <c r="CE12" s="1" t="str">
        <f ca="1">IFERROR(__xludf.DUMMYFUNCTION("""COMPUTED_VALUE"""),"Audiobook : પ્રકૃતિના પ્રવાહમાં બાધક ન બનો : G_PP_20 : dave.chhaya@gmail.com : Recorded")</f>
        <v>Audiobook : પ્રકૃતિના પ્રવાહમાં બાધક ન બનો : G_PP_20 : dave.chhaya@gmail.com : Recorded</v>
      </c>
      <c r="CF12" s="1" t="str">
        <f ca="1">IFERROR(__xludf.DUMMYFUNCTION("""COMPUTED_VALUE"""),"Audiobook : પ્રકૃતિના પ્રવાહમાં બાધક ન બનો : G_PP_20 : dave.chhaya@gmail.com : Recorded")</f>
        <v>Audiobook : પ્રકૃતિના પ્રવાહમાં બાધક ન બનો : G_PP_20 : dave.chhaya@gmail.com : Recorded</v>
      </c>
      <c r="CG12" s="1" t="str">
        <f ca="1">IFERROR(__xludf.DUMMYFUNCTION("""COMPUTED_VALUE"""),"Adarniya Chhaya Deepak Dave  ji પ્રકૃતિના પ્રવાહમાં બાધક ન બનો : G_PP_20 : Allocated on 09-Sep-24 Contact Number  9879596556")</f>
        <v>Adarniya Chhaya Deepak Dave  ji પ્રકૃતિના પ્રવાહમાં બાધક ન બનો : G_PP_20 : Allocated on 09-Sep-24 Contact Number  9879596556</v>
      </c>
      <c r="CH12" s="1" t="str">
        <f ca="1">IFERROR(__xludf.DUMMYFUNCTION("""COMPUTED_VALUE"""),"dave.chhaya@gmail.com : પ્રકૃતિના પ્રવાહમાં બાધક ન બનો : G_PP_20")</f>
        <v>dave.chhaya@gmail.com : પ્રકૃતિના પ્રવાહમાં બાધક ન બનો : G_PP_20</v>
      </c>
      <c r="CI12" s="5">
        <f ca="1">IFERROR(__xludf.DUMMYFUNCTION("""COMPUTED_VALUE"""),45544.9252921643)</f>
        <v>45544.925292164298</v>
      </c>
    </row>
    <row r="13" spans="1:87" x14ac:dyDescent="0.25">
      <c r="A13" s="5">
        <f ca="1">IFERROR(__xludf.DUMMYFUNCTION("""COMPUTED_VALUE"""),45544.8518502893)</f>
        <v>45544.851850289298</v>
      </c>
      <c r="B13" s="1" t="str">
        <f ca="1">IFERROR(__xludf.DUMMYFUNCTION("""COMPUTED_VALUE"""),"spmittalmumbai@gmail.com")</f>
        <v>spmittalmumbai@gmail.com</v>
      </c>
      <c r="C13" s="1" t="str">
        <f ca="1">IFERROR(__xludf.DUMMYFUNCTION("""COMPUTED_VALUE"""),"S.P.Mittal")</f>
        <v>S.P.Mittal</v>
      </c>
      <c r="D13" s="1">
        <f ca="1">IFERROR(__xludf.DUMMYFUNCTION("""COMPUTED_VALUE"""),9860003407)</f>
        <v>9860003407</v>
      </c>
      <c r="E13" s="1" t="str">
        <f ca="1">IFERROR(__xludf.DUMMYFUNCTION("""COMPUTED_VALUE"""),"Yes")</f>
        <v>Yes</v>
      </c>
      <c r="F13" s="1" t="str">
        <f ca="1">IFERROR(__xludf.DUMMYFUNCTION("""COMPUTED_VALUE"""),"हिन्दी")</f>
        <v>हिन्दी</v>
      </c>
      <c r="G13" s="1" t="str">
        <f ca="1">IFERROR(__xludf.DUMMYFUNCTION("""COMPUTED_VALUE"""),"युग परिवर्तन-विचार क्रांति")</f>
        <v>युग परिवर्तन-विचार क्रांति</v>
      </c>
      <c r="H13" s="1"/>
      <c r="I13" s="1"/>
      <c r="J13" s="1"/>
      <c r="K13" s="1"/>
      <c r="L13" s="1"/>
      <c r="M13" s="1"/>
      <c r="N13" s="1"/>
      <c r="O13" s="1"/>
      <c r="P13" s="1"/>
      <c r="Q13" s="1" t="str">
        <f ca="1">IFERROR(__xludf.DUMMYFUNCTION("""COMPUTED_VALUE"""),"विचार क्रांति")</f>
        <v>विचार क्रांति</v>
      </c>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f ca="1">IFERROR(__xludf.DUMMYFUNCTION("""COMPUTED_VALUE"""),39)</f>
        <v>39</v>
      </c>
      <c r="BX13" s="1">
        <f ca="1">IFERROR(__xludf.DUMMYFUNCTION("""COMPUTED_VALUE"""),10)</f>
        <v>10</v>
      </c>
      <c r="BY13" s="1">
        <f ca="1">IFERROR(__xludf.DUMMYFUNCTION("""COMPUTED_VALUE"""),26)</f>
        <v>26</v>
      </c>
      <c r="BZ13" s="1">
        <f ca="1">IFERROR(__xludf.DUMMYFUNCTION("""COMPUTED_VALUE"""),23)</f>
        <v>23</v>
      </c>
      <c r="CA13" s="1"/>
      <c r="CB13" s="1"/>
      <c r="CC13" s="1" t="str">
        <f ca="1">IFERROR(__xludf.DUMMYFUNCTION("""COMPUTED_VALUE"""),"असन्तुलन को मिटाने वाली अवतार प्रक्रिया का आविर्भाव सन्निकट : Rare Book")</f>
        <v>असन्तुलन को मिटाने वाली अवतार प्रक्रिया का आविर्भाव सन्निकट : Rare Book</v>
      </c>
      <c r="CD13" s="3" t="str">
        <f ca="1">IFERROR(__xludf.DUMMYFUNCTION("""COMPUTED_VALUE"""),"https://vicharkrantibooks.org/productdetail?book_name=HINF0036_ASANTULAN_KO_MITANE_VALI_AVTAR_PRAKRIYA_KA_AVIRBHAV_SANNIKAT_xxyyyy&amp;product_id=256")</f>
        <v>https://vicharkrantibooks.org/productdetail?book_name=HINF0036_ASANTULAN_KO_MITANE_VALI_AVTAR_PRAKRIYA_KA_AVIRBHAV_SANNIKAT_xxyyyy&amp;product_id=256</v>
      </c>
      <c r="CE13" s="1" t="str">
        <f ca="1">IFERROR(__xludf.DUMMYFUNCTION("""COMPUTED_VALUE"""),"Audiobook : असन्तुलन को मिटाने वाली अवतार प्रक्रिया का आविर्भाव सन्निकट : Rare Book : spmittalmumbai@gmail.com : Recorded")</f>
        <v>Audiobook : असन्तुलन को मिटाने वाली अवतार प्रक्रिया का आविर्भाव सन्निकट : Rare Book : spmittalmumbai@gmail.com : Recorded</v>
      </c>
      <c r="CF13" s="1" t="str">
        <f ca="1">IFERROR(__xludf.DUMMYFUNCTION("""COMPUTED_VALUE"""),"#N/A")</f>
        <v>#N/A</v>
      </c>
      <c r="CG13" s="1" t="str">
        <f ca="1">IFERROR(__xludf.DUMMYFUNCTION("""COMPUTED_VALUE"""),"Adarniya S.P.Mittal ji असन्तुलन को मिटाने वाली अवतार प्रक्रिया का आविर्भाव सन्निकट : Rare Book : Allocated on 09-Sep-24 Contact Number  9860003407")</f>
        <v>Adarniya S.P.Mittal ji असन्तुलन को मिटाने वाली अवतार प्रक्रिया का आविर्भाव सन्निकट : Rare Book : Allocated on 09-Sep-24 Contact Number  9860003407</v>
      </c>
      <c r="CH13" s="1" t="str">
        <f ca="1">IFERROR(__xludf.DUMMYFUNCTION("""COMPUTED_VALUE"""),"spmittalmumbai@gmail.com : असन्तुलन को मिटाने वाली अवतार प्रक्रिया का आविर्भाव सन्निकट : Rare Book")</f>
        <v>spmittalmumbai@gmail.com : असन्तुलन को मिटाने वाली अवतार प्रक्रिया का आविर्भाव सन्निकट : Rare Book</v>
      </c>
      <c r="CI13" s="5">
        <f ca="1">IFERROR(__xludf.DUMMYFUNCTION("""COMPUTED_VALUE"""),45544.8518502893)</f>
        <v>45544.851850289298</v>
      </c>
    </row>
    <row r="14" spans="1:87" x14ac:dyDescent="0.25">
      <c r="A14" s="5">
        <f ca="1">IFERROR(__xludf.DUMMYFUNCTION("""COMPUTED_VALUE"""),45544.8122470601)</f>
        <v>45544.812247060101</v>
      </c>
      <c r="B14" s="1" t="str">
        <f ca="1">IFERROR(__xludf.DUMMYFUNCTION("""COMPUTED_VALUE"""),"lokesh16191@gmail.com")</f>
        <v>lokesh16191@gmail.com</v>
      </c>
      <c r="C14" s="1" t="str">
        <f ca="1">IFERROR(__xludf.DUMMYFUNCTION("""COMPUTED_VALUE"""),"Lokesh Verma")</f>
        <v>Lokesh Verma</v>
      </c>
      <c r="D14" s="1">
        <f ca="1">IFERROR(__xludf.DUMMYFUNCTION("""COMPUTED_VALUE"""),9026442452)</f>
        <v>9026442452</v>
      </c>
      <c r="E14" s="1" t="str">
        <f ca="1">IFERROR(__xludf.DUMMYFUNCTION("""COMPUTED_VALUE"""),"Artificial Intelligence")</f>
        <v>Artificial Intelligence</v>
      </c>
      <c r="F14" s="1" t="str">
        <f ca="1">IFERROR(__xludf.DUMMYFUNCTION("""COMPUTED_VALUE"""),"हिन्दी")</f>
        <v>हिन्दी</v>
      </c>
      <c r="G14" s="1" t="str">
        <f ca="1">IFERROR(__xludf.DUMMYFUNCTION("""COMPUTED_VALUE"""),"समग्र स्वास्थ्य")</f>
        <v>समग्र स्वास्थ्य</v>
      </c>
      <c r="H14" s="1"/>
      <c r="I14" s="1"/>
      <c r="J14" s="1"/>
      <c r="K14" s="1"/>
      <c r="L14" s="1"/>
      <c r="M14" s="1"/>
      <c r="N14" s="1"/>
      <c r="O14" s="1"/>
      <c r="P14" s="1"/>
      <c r="Q14" s="1"/>
      <c r="R14" s="1"/>
      <c r="S14" s="1"/>
      <c r="T14" s="1"/>
      <c r="U14" s="1" t="str">
        <f ca="1">IFERROR(__xludf.DUMMYFUNCTION("""COMPUTED_VALUE"""),"आहार-विहार एवं उपवास")</f>
        <v>आहार-विहार एवं उपवास</v>
      </c>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f ca="1">IFERROR(__xludf.DUMMYFUNCTION("""COMPUTED_VALUE"""),4)</f>
        <v>4</v>
      </c>
      <c r="BX14" s="1">
        <f ca="1">IFERROR(__xludf.DUMMYFUNCTION("""COMPUTED_VALUE"""),3)</f>
        <v>3</v>
      </c>
      <c r="BY14" s="1">
        <f ca="1">IFERROR(__xludf.DUMMYFUNCTION("""COMPUTED_VALUE"""),4)</f>
        <v>4</v>
      </c>
      <c r="BZ14" s="1">
        <f ca="1">IFERROR(__xludf.DUMMYFUNCTION("""COMPUTED_VALUE"""),1)</f>
        <v>1</v>
      </c>
      <c r="CA14" s="1"/>
      <c r="CB14" s="1"/>
      <c r="CC14" s="1" t="str">
        <f ca="1">IFERROR(__xludf.DUMMYFUNCTION("""COMPUTED_VALUE"""),"अचिन्त्य चिन्तन से मनोबल न गंवायें : Rare Book")</f>
        <v>अचिन्त्य चिन्तन से मनोबल न गंवायें : Rare Book</v>
      </c>
      <c r="CD14" s="3" t="str">
        <f ca="1">IFERROR(__xludf.DUMMYFUNCTION("""COMPUTED_VALUE"""),"https://vicharkrantibooks.org/productdetail?book_name=HINF0002_ACHINTY_CHINTAN_SE_MANOBAL_NA_GAVAYEN_xxyyyy&amp;product_id=222")</f>
        <v>https://vicharkrantibooks.org/productdetail?book_name=HINF0002_ACHINTY_CHINTAN_SE_MANOBAL_NA_GAVAYEN_xxyyyy&amp;product_id=222</v>
      </c>
      <c r="CE14" s="1" t="str">
        <f ca="1">IFERROR(__xludf.DUMMYFUNCTION("""COMPUTED_VALUE"""),"Audiobook : अचिन्त्य चिन्तन से मनोबल न गंवायें : Rare Book : lokesh16191@gmail.com : Recorded")</f>
        <v>Audiobook : अचिन्त्य चिन्तन से मनोबल न गंवायें : Rare Book : lokesh16191@gmail.com : Recorded</v>
      </c>
      <c r="CF14" s="1" t="str">
        <f ca="1">IFERROR(__xludf.DUMMYFUNCTION("""COMPUTED_VALUE"""),"#N/A")</f>
        <v>#N/A</v>
      </c>
      <c r="CG14" s="1" t="str">
        <f ca="1">IFERROR(__xludf.DUMMYFUNCTION("""COMPUTED_VALUE"""),"Adarniya Lokesh Verma ji अचिन्त्य चिन्तन से मनोबल न गंवायें : Rare Book : Allocated on 09-Sep-24 Contact Number  9026442452")</f>
        <v>Adarniya Lokesh Verma ji अचिन्त्य चिन्तन से मनोबल न गंवायें : Rare Book : Allocated on 09-Sep-24 Contact Number  9026442452</v>
      </c>
      <c r="CH14" s="1" t="str">
        <f ca="1">IFERROR(__xludf.DUMMYFUNCTION("""COMPUTED_VALUE"""),"lokesh16191@gmail.com : अचिन्त्य चिन्तन से मनोबल न गंवायें : Rare Book")</f>
        <v>lokesh16191@gmail.com : अचिन्त्य चिन्तन से मनोबल न गंवायें : Rare Book</v>
      </c>
      <c r="CI14" s="5">
        <f ca="1">IFERROR(__xludf.DUMMYFUNCTION("""COMPUTED_VALUE"""),45544.8122470601)</f>
        <v>45544.812247060101</v>
      </c>
    </row>
    <row r="15" spans="1:87" x14ac:dyDescent="0.25">
      <c r="A15" s="5">
        <f ca="1">IFERROR(__xludf.DUMMYFUNCTION("""COMPUTED_VALUE"""),45544.7211209606)</f>
        <v>45544.721120960603</v>
      </c>
      <c r="B15" s="1" t="str">
        <f ca="1">IFERROR(__xludf.DUMMYFUNCTION("""COMPUTED_VALUE"""),"rekhabhagat2511@gmail.com")</f>
        <v>rekhabhagat2511@gmail.com</v>
      </c>
      <c r="C15" s="1" t="str">
        <f ca="1">IFERROR(__xludf.DUMMYFUNCTION("""COMPUTED_VALUE"""),"Rekha Bhagat ")</f>
        <v xml:space="preserve">Rekha Bhagat </v>
      </c>
      <c r="D15" s="1">
        <f ca="1">IFERROR(__xludf.DUMMYFUNCTION("""COMPUTED_VALUE"""),9424811235)</f>
        <v>9424811235</v>
      </c>
      <c r="E15" s="1" t="str">
        <f ca="1">IFERROR(__xludf.DUMMYFUNCTION("""COMPUTED_VALUE"""),"Yes")</f>
        <v>Yes</v>
      </c>
      <c r="F15" s="1" t="str">
        <f ca="1">IFERROR(__xludf.DUMMYFUNCTION("""COMPUTED_VALUE"""),"हिन्दी")</f>
        <v>हिन्दी</v>
      </c>
      <c r="G15" s="1" t="str">
        <f ca="1">IFERROR(__xludf.DUMMYFUNCTION("""COMPUTED_VALUE"""),"युग द्रष्टा पं. श्रीराम शर्मा आचार्यजी")</f>
        <v>युग द्रष्टा पं. श्रीराम शर्मा आचार्यजी</v>
      </c>
      <c r="H15" s="1"/>
      <c r="I15" s="1"/>
      <c r="J15" s="1"/>
      <c r="K15" s="1"/>
      <c r="L15" s="1"/>
      <c r="M15" s="1"/>
      <c r="N15" s="1"/>
      <c r="O15" s="1"/>
      <c r="P15" s="1" t="str">
        <f ca="1">IFERROR(__xludf.DUMMYFUNCTION("""COMPUTED_VALUE"""),"युगॠषी का जीवनदर्शन")</f>
        <v>युगॠषी का जीवनदर्शन</v>
      </c>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f ca="1">IFERROR(__xludf.DUMMYFUNCTION("""COMPUTED_VALUE"""),19)</f>
        <v>19</v>
      </c>
      <c r="BX15" s="1">
        <f ca="1">IFERROR(__xludf.DUMMYFUNCTION("""COMPUTED_VALUE"""),15)</f>
        <v>15</v>
      </c>
      <c r="BY15" s="1">
        <f ca="1">IFERROR(__xludf.DUMMYFUNCTION("""COMPUTED_VALUE"""),16)</f>
        <v>16</v>
      </c>
      <c r="BZ15" s="1">
        <f ca="1">IFERROR(__xludf.DUMMYFUNCTION("""COMPUTED_VALUE"""),4)</f>
        <v>4</v>
      </c>
      <c r="CA15" s="1"/>
      <c r="CB15" s="1"/>
      <c r="CC15" s="1" t="str">
        <f ca="1">IFERROR(__xludf.DUMMYFUNCTION("""COMPUTED_VALUE"""),"युग ऋषि की अमर वाणी भाग १ : Rare Book")</f>
        <v>युग ऋषि की अमर वाणी भाग १ : Rare Book</v>
      </c>
      <c r="CD15" s="3" t="str">
        <f ca="1">IFERROR(__xludf.DUMMYFUNCTION("""COMPUTED_VALUE"""),"https://vicharkrantibooks.org/productdetail?book_name=HINP1059_YUG_RUSHI_KI_AMAR_VANI_BHAG_1_xxyyyy&amp;product_id=1624")</f>
        <v>https://vicharkrantibooks.org/productdetail?book_name=HINP1059_YUG_RUSHI_KI_AMAR_VANI_BHAG_1_xxyyyy&amp;product_id=1624</v>
      </c>
      <c r="CE15" s="1" t="str">
        <f ca="1">IFERROR(__xludf.DUMMYFUNCTION("""COMPUTED_VALUE"""),"Audiobook : युग ऋषि की अमर वाणी भाग १ : Rare Book : rekhabhagat2511@gmail.com : Recorded")</f>
        <v>Audiobook : युग ऋषि की अमर वाणी भाग १ : Rare Book : rekhabhagat2511@gmail.com : Recorded</v>
      </c>
      <c r="CF15" s="1" t="str">
        <f ca="1">IFERROR(__xludf.DUMMYFUNCTION("""COMPUTED_VALUE"""),"#N/A")</f>
        <v>#N/A</v>
      </c>
      <c r="CG15" s="1" t="str">
        <f ca="1">IFERROR(__xludf.DUMMYFUNCTION("""COMPUTED_VALUE"""),"Adarniya Rekha Bhagat  ji युग ऋषि की अमर वाणी भाग १ : Rare Book : Allocated on 09-Sep-24 Contact Number  9424811235")</f>
        <v>Adarniya Rekha Bhagat  ji युग ऋषि की अमर वाणी भाग १ : Rare Book : Allocated on 09-Sep-24 Contact Number  9424811235</v>
      </c>
      <c r="CH15" s="1" t="str">
        <f ca="1">IFERROR(__xludf.DUMMYFUNCTION("""COMPUTED_VALUE"""),"rekhabhagat2511@gmail.com : युग ऋषि की अमर वाणी भाग १ : Rare Book")</f>
        <v>rekhabhagat2511@gmail.com : युग ऋषि की अमर वाणी भाग १ : Rare Book</v>
      </c>
      <c r="CI15" s="5">
        <f ca="1">IFERROR(__xludf.DUMMYFUNCTION("""COMPUTED_VALUE"""),45544.7211209606)</f>
        <v>45544.721120960603</v>
      </c>
    </row>
    <row r="16" spans="1:87" x14ac:dyDescent="0.25">
      <c r="A16" s="5">
        <f ca="1">IFERROR(__xludf.DUMMYFUNCTION("""COMPUTED_VALUE"""),45543.4489908449)</f>
        <v>45543.448990844903</v>
      </c>
      <c r="B16" s="1" t="str">
        <f ca="1">IFERROR(__xludf.DUMMYFUNCTION("""COMPUTED_VALUE"""),"ashwebdeveloper@gmail.com")</f>
        <v>ashwebdeveloper@gmail.com</v>
      </c>
      <c r="C16" s="1" t="str">
        <f ca="1">IFERROR(__xludf.DUMMYFUNCTION("""COMPUTED_VALUE"""),"Ashish Kumar Singh")</f>
        <v>Ashish Kumar Singh</v>
      </c>
      <c r="D16" s="1">
        <f ca="1">IFERROR(__xludf.DUMMYFUNCTION("""COMPUTED_VALUE"""),9899808229)</f>
        <v>9899808229</v>
      </c>
      <c r="E16" s="1" t="str">
        <f ca="1">IFERROR(__xludf.DUMMYFUNCTION("""COMPUTED_VALUE"""),"Artificial Intelligence")</f>
        <v>Artificial Intelligence</v>
      </c>
      <c r="F16" s="1" t="str">
        <f ca="1">IFERROR(__xludf.DUMMYFUNCTION("""COMPUTED_VALUE"""),"English")</f>
        <v>English</v>
      </c>
      <c r="G16" s="1" t="str">
        <f ca="1">IFERROR(__xludf.DUMMYFUNCTION("""COMPUTED_VALUE"""),"अध्यात्म, धर्म एवं दर्शन")</f>
        <v>अध्यात्म, धर्म एवं दर्शन</v>
      </c>
      <c r="H16" s="1" t="str">
        <f ca="1">IFERROR(__xludf.DUMMYFUNCTION("""COMPUTED_VALUE"""),"आत्मज्ञान एवं आत्मनिर्माण")</f>
        <v>आत्मज्ञान एवं आत्मनिर्माण</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f ca="1">IFERROR(__xludf.DUMMYFUNCTION("""COMPUTED_VALUE"""),1)</f>
        <v>1</v>
      </c>
      <c r="BX16" s="1">
        <f ca="1">IFERROR(__xludf.DUMMYFUNCTION("""COMPUTED_VALUE"""),1)</f>
        <v>1</v>
      </c>
      <c r="BY16" s="1">
        <f ca="1">IFERROR(__xludf.DUMMYFUNCTION("""COMPUTED_VALUE"""),1)</f>
        <v>1</v>
      </c>
      <c r="BZ16" s="1">
        <f ca="1">IFERROR(__xludf.DUMMYFUNCTION("""COMPUTED_VALUE"""),0)</f>
        <v>0</v>
      </c>
      <c r="CA16" s="1"/>
      <c r="CB16" s="1"/>
      <c r="CC16" s="1" t="str">
        <f ca="1">IFERROR(__xludf.DUMMYFUNCTION("""COMPUTED_VALUE"""),"In The Angelic Light Of Rishi Thoughts 1 : EP_70_1")</f>
        <v>In The Angelic Light Of Rishi Thoughts 1 : EP_70_1</v>
      </c>
      <c r="CD16" s="3" t="str">
        <f ca="1">IFERROR(__xludf.DUMMYFUNCTION("""COMPUTED_VALUE"""),"https://vicharkrantibooks.org/productdetail?book_name=ENGP0712_IN_THE_ANGELIC_LIGHT_OF_RISHI_THOUGHTS_1_xxyyyy&amp;product_id=3460")</f>
        <v>https://vicharkrantibooks.org/productdetail?book_name=ENGP0712_IN_THE_ANGELIC_LIGHT_OF_RISHI_THOUGHTS_1_xxyyyy&amp;product_id=3460</v>
      </c>
      <c r="CE16" s="1" t="str">
        <f ca="1">IFERROR(__xludf.DUMMYFUNCTION("""COMPUTED_VALUE"""),"Audiobook : In The Angelic Light Of Rishi Thoughts 1 : EP_70_1 : ashwebdeveloper@gmail.com : Recorded")</f>
        <v>Audiobook : In The Angelic Light Of Rishi Thoughts 1 : EP_70_1 : ashwebdeveloper@gmail.com : Recorded</v>
      </c>
      <c r="CF16" s="1" t="str">
        <f ca="1">IFERROR(__xludf.DUMMYFUNCTION("""COMPUTED_VALUE"""),"#N/A")</f>
        <v>#N/A</v>
      </c>
      <c r="CG16" s="1" t="str">
        <f ca="1">IFERROR(__xludf.DUMMYFUNCTION("""COMPUTED_VALUE"""),"Adarniya Ashish Kumar Singh ji In The Angelic Light Of Rishi Thoughts 1 : EP_70_1 : Allocated on 08-Sep-24 Contact Number  9899808229")</f>
        <v>Adarniya Ashish Kumar Singh ji In The Angelic Light Of Rishi Thoughts 1 : EP_70_1 : Allocated on 08-Sep-24 Contact Number  9899808229</v>
      </c>
      <c r="CH16" s="1" t="str">
        <f ca="1">IFERROR(__xludf.DUMMYFUNCTION("""COMPUTED_VALUE"""),"ashwebdeveloper@gmail.com : In The Angelic Light Of Rishi Thoughts 1 : EP_70_1")</f>
        <v>ashwebdeveloper@gmail.com : In The Angelic Light Of Rishi Thoughts 1 : EP_70_1</v>
      </c>
      <c r="CI16" s="5">
        <f ca="1">IFERROR(__xludf.DUMMYFUNCTION("""COMPUTED_VALUE"""),45543.4489908449)</f>
        <v>45543.448990844903</v>
      </c>
    </row>
    <row r="17" spans="1:87" x14ac:dyDescent="0.25">
      <c r="A17" s="5">
        <f ca="1">IFERROR(__xludf.DUMMYFUNCTION("""COMPUTED_VALUE"""),45542.8920318287)</f>
        <v>45542.892031828698</v>
      </c>
      <c r="B17" s="1" t="str">
        <f ca="1">IFERROR(__xludf.DUMMYFUNCTION("""COMPUTED_VALUE"""),"guptarakhi072@gmail.com")</f>
        <v>guptarakhi072@gmail.com</v>
      </c>
      <c r="C17" s="1" t="str">
        <f ca="1">IFERROR(__xludf.DUMMYFUNCTION("""COMPUTED_VALUE"""),"Rakhi Gupta ")</f>
        <v xml:space="preserve">Rakhi Gupta </v>
      </c>
      <c r="D17" s="1">
        <f ca="1">IFERROR(__xludf.DUMMYFUNCTION("""COMPUTED_VALUE"""),8128540757)</f>
        <v>8128540757</v>
      </c>
      <c r="E17" s="1" t="str">
        <f ca="1">IFERROR(__xludf.DUMMYFUNCTION("""COMPUTED_VALUE"""),"Yes")</f>
        <v>Yes</v>
      </c>
      <c r="F17" s="1" t="str">
        <f ca="1">IFERROR(__xludf.DUMMYFUNCTION("""COMPUTED_VALUE"""),"हिन्दी")</f>
        <v>हिन्दी</v>
      </c>
      <c r="G17" s="1" t="str">
        <f ca="1">IFERROR(__xludf.DUMMYFUNCTION("""COMPUTED_VALUE"""),"भारतीय संस्कृति")</f>
        <v>भारतीय संस्कृति</v>
      </c>
      <c r="H17" s="1"/>
      <c r="I17" s="1"/>
      <c r="J17" s="1"/>
      <c r="K17" s="1"/>
      <c r="L17" s="1"/>
      <c r="M17" s="1"/>
      <c r="N17" s="1"/>
      <c r="O17" s="1" t="str">
        <f ca="1">IFERROR(__xludf.DUMMYFUNCTION("""COMPUTED_VALUE"""),"भारतीय संस्कृति")</f>
        <v>भारतीय संस्कृति</v>
      </c>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f ca="1">IFERROR(__xludf.DUMMYFUNCTION("""COMPUTED_VALUE"""),21)</f>
        <v>21</v>
      </c>
      <c r="BX17" s="1">
        <f ca="1">IFERROR(__xludf.DUMMYFUNCTION("""COMPUTED_VALUE"""),20)</f>
        <v>20</v>
      </c>
      <c r="BY17" s="1">
        <f ca="1">IFERROR(__xludf.DUMMYFUNCTION("""COMPUTED_VALUE"""),21)</f>
        <v>21</v>
      </c>
      <c r="BZ17" s="1">
        <f ca="1">IFERROR(__xludf.DUMMYFUNCTION("""COMPUTED_VALUE"""),14)</f>
        <v>14</v>
      </c>
      <c r="CA17" s="1"/>
      <c r="CB17" s="1"/>
      <c r="CC17" s="1" t="str">
        <f ca="1">IFERROR(__xludf.DUMMYFUNCTION("""COMPUTED_VALUE"""),"देव संस्कृति के प्रतीक शिखा और सूत्र : Rare Book")</f>
        <v>देव संस्कृति के प्रतीक शिखा और सूत्र : Rare Book</v>
      </c>
      <c r="CD17" s="3" t="str">
        <f ca="1">IFERROR(__xludf.DUMMYFUNCTION("""COMPUTED_VALUE"""),"https://vicharkrantibooks.org/productdetail?book_name=HINP0212_DEV_SANSKRUTI_KE_PRATIK_SHIKHA_AUR_SUTR_xxyyyy&amp;product_id=777")</f>
        <v>https://vicharkrantibooks.org/productdetail?book_name=HINP0212_DEV_SANSKRUTI_KE_PRATIK_SHIKHA_AUR_SUTR_xxyyyy&amp;product_id=777</v>
      </c>
      <c r="CE17" s="1" t="str">
        <f ca="1">IFERROR(__xludf.DUMMYFUNCTION("""COMPUTED_VALUE"""),"Audiobook : देव संस्कृति के प्रतीक शिखा और सूत्र : Rare Book : guptarakhi072@gmail.com : Recorded")</f>
        <v>Audiobook : देव संस्कृति के प्रतीक शिखा और सूत्र : Rare Book : guptarakhi072@gmail.com : Recorded</v>
      </c>
      <c r="CF17" s="1" t="str">
        <f ca="1">IFERROR(__xludf.DUMMYFUNCTION("""COMPUTED_VALUE"""),"#N/A")</f>
        <v>#N/A</v>
      </c>
      <c r="CG17" s="1" t="str">
        <f ca="1">IFERROR(__xludf.DUMMYFUNCTION("""COMPUTED_VALUE"""),"Adarniya Rakhi Gupta  ji देव संस्कृति के प्रतीक शिखा और सूत्र : Rare Book : Allocated on 07-Sep-24 Contact Number  8128540757")</f>
        <v>Adarniya Rakhi Gupta  ji देव संस्कृति के प्रतीक शिखा और सूत्र : Rare Book : Allocated on 07-Sep-24 Contact Number  8128540757</v>
      </c>
      <c r="CH17" s="1" t="str">
        <f ca="1">IFERROR(__xludf.DUMMYFUNCTION("""COMPUTED_VALUE"""),"guptarakhi072@gmail.com : देव संस्कृति के प्रतीक शिखा और सूत्र : Rare Book")</f>
        <v>guptarakhi072@gmail.com : देव संस्कृति के प्रतीक शिखा और सूत्र : Rare Book</v>
      </c>
      <c r="CI17" s="5">
        <f ca="1">IFERROR(__xludf.DUMMYFUNCTION("""COMPUTED_VALUE"""),45542.8920318287)</f>
        <v>45542.892031828698</v>
      </c>
    </row>
    <row r="18" spans="1:87" x14ac:dyDescent="0.25">
      <c r="A18" s="5">
        <f ca="1">IFERROR(__xludf.DUMMYFUNCTION("""COMPUTED_VALUE"""),45542.6654941203)</f>
        <v>45542.665494120301</v>
      </c>
      <c r="B18" s="1" t="str">
        <f ca="1">IFERROR(__xludf.DUMMYFUNCTION("""COMPUTED_VALUE"""),"rbbansalriya@gmail.com")</f>
        <v>rbbansalriya@gmail.com</v>
      </c>
      <c r="C18" s="1" t="str">
        <f ca="1">IFERROR(__xludf.DUMMYFUNCTION("""COMPUTED_VALUE"""),"Riya bansal ")</f>
        <v xml:space="preserve">Riya bansal </v>
      </c>
      <c r="D18" s="1">
        <f ca="1">IFERROR(__xludf.DUMMYFUNCTION("""COMPUTED_VALUE"""),9176361023)</f>
        <v>9176361023</v>
      </c>
      <c r="E18" s="1" t="str">
        <f ca="1">IFERROR(__xludf.DUMMYFUNCTION("""COMPUTED_VALUE"""),"Yes")</f>
        <v>Yes</v>
      </c>
      <c r="F18" s="1" t="str">
        <f ca="1">IFERROR(__xludf.DUMMYFUNCTION("""COMPUTED_VALUE"""),"हिन्दी")</f>
        <v>हिन्दी</v>
      </c>
      <c r="G18" s="1" t="str">
        <f ca="1">IFERROR(__xludf.DUMMYFUNCTION("""COMPUTED_VALUE"""),"भारतीय संस्कृति")</f>
        <v>भारतीय संस्कृति</v>
      </c>
      <c r="H18" s="1"/>
      <c r="I18" s="1"/>
      <c r="J18" s="1"/>
      <c r="K18" s="1"/>
      <c r="L18" s="1"/>
      <c r="M18" s="1"/>
      <c r="N18" s="1"/>
      <c r="O18" s="1" t="str">
        <f ca="1">IFERROR(__xludf.DUMMYFUNCTION("""COMPUTED_VALUE"""),"भारतीय संस्कृति")</f>
        <v>भारतीय संस्कृति</v>
      </c>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f ca="1">IFERROR(__xludf.DUMMYFUNCTION("""COMPUTED_VALUE"""),54)</f>
        <v>54</v>
      </c>
      <c r="BX18" s="1">
        <f ca="1">IFERROR(__xludf.DUMMYFUNCTION("""COMPUTED_VALUE"""),51)</f>
        <v>51</v>
      </c>
      <c r="BY18" s="1">
        <f ca="1">IFERROR(__xludf.DUMMYFUNCTION("""COMPUTED_VALUE"""),54)</f>
        <v>54</v>
      </c>
      <c r="BZ18" s="1">
        <f ca="1">IFERROR(__xludf.DUMMYFUNCTION("""COMPUTED_VALUE"""),43)</f>
        <v>43</v>
      </c>
      <c r="CA18" s="1"/>
      <c r="CB18" s="1"/>
      <c r="CC18" s="1" t="str">
        <f ca="1">IFERROR(__xludf.DUMMYFUNCTION("""COMPUTED_VALUE"""),"गायत्री अनुष्ठान और उसका विधि विधान : Rare Book")</f>
        <v>गायत्री अनुष्ठान और उसका विधि विधान : Rare Book</v>
      </c>
      <c r="CD18" s="3" t="str">
        <f ca="1">IFERROR(__xludf.DUMMYFUNCTION("""COMPUTED_VALUE"""),"https://vicharkrantibooks.org/productdetail?book_name=HINP0276_GAYATRI_ANUSHTHAN_AUR_USAKA_VIDHI_VIDHAN_xx1978&amp;product_id=841")</f>
        <v>https://vicharkrantibooks.org/productdetail?book_name=HINP0276_GAYATRI_ANUSHTHAN_AUR_USAKA_VIDHI_VIDHAN_xx1978&amp;product_id=841</v>
      </c>
      <c r="CE18" s="1" t="str">
        <f ca="1">IFERROR(__xludf.DUMMYFUNCTION("""COMPUTED_VALUE"""),"Audiobook : गायत्री अनुष्ठान और उसका विधि विधान : Rare Book : rbbansalriya@gmail.com : Recorded")</f>
        <v>Audiobook : गायत्री अनुष्ठान और उसका विधि विधान : Rare Book : rbbansalriya@gmail.com : Recorded</v>
      </c>
      <c r="CF18" s="1" t="str">
        <f ca="1">IFERROR(__xludf.DUMMYFUNCTION("""COMPUTED_VALUE"""),"#N/A")</f>
        <v>#N/A</v>
      </c>
      <c r="CG18" s="1" t="str">
        <f ca="1">IFERROR(__xludf.DUMMYFUNCTION("""COMPUTED_VALUE"""),"Adarniya Riya bansal  ji गायत्री अनुष्ठान और उसका विधि विधान : Rare Book : Allocated on 07-Sep-24 Contact Number  9176361023")</f>
        <v>Adarniya Riya bansal  ji गायत्री अनुष्ठान और उसका विधि विधान : Rare Book : Allocated on 07-Sep-24 Contact Number  9176361023</v>
      </c>
      <c r="CH18" s="1" t="str">
        <f ca="1">IFERROR(__xludf.DUMMYFUNCTION("""COMPUTED_VALUE"""),"rbbansalriya@gmail.com : गायत्री अनुष्ठान और उसका विधि विधान : Rare Book")</f>
        <v>rbbansalriya@gmail.com : गायत्री अनुष्ठान और उसका विधि विधान : Rare Book</v>
      </c>
      <c r="CI18" s="5">
        <f ca="1">IFERROR(__xludf.DUMMYFUNCTION("""COMPUTED_VALUE"""),45542.6654941203)</f>
        <v>45542.665494120301</v>
      </c>
    </row>
    <row r="19" spans="1:87" x14ac:dyDescent="0.25">
      <c r="A19" s="5">
        <f ca="1">IFERROR(__xludf.DUMMYFUNCTION("""COMPUTED_VALUE"""),45541.8947751041)</f>
        <v>45541.894775104098</v>
      </c>
      <c r="B19" s="1" t="str">
        <f ca="1">IFERROR(__xludf.DUMMYFUNCTION("""COMPUTED_VALUE"""),"druma4107@gmail.com")</f>
        <v>druma4107@gmail.com</v>
      </c>
      <c r="C19" s="1" t="str">
        <f ca="1">IFERROR(__xludf.DUMMYFUNCTION("""COMPUTED_VALUE"""),"Dr Uma Agarwal ")</f>
        <v xml:space="preserve">Dr Uma Agarwal </v>
      </c>
      <c r="D19" s="1">
        <f ca="1">IFERROR(__xludf.DUMMYFUNCTION("""COMPUTED_VALUE"""),9410861182)</f>
        <v>9410861182</v>
      </c>
      <c r="E19" s="1" t="str">
        <f ca="1">IFERROR(__xludf.DUMMYFUNCTION("""COMPUTED_VALUE"""),"Yes")</f>
        <v>Yes</v>
      </c>
      <c r="F19" s="1" t="str">
        <f ca="1">IFERROR(__xludf.DUMMYFUNCTION("""COMPUTED_VALUE"""),"हिन्दी")</f>
        <v>हिन्दी</v>
      </c>
      <c r="G19" s="1" t="str">
        <f ca="1">IFERROR(__xludf.DUMMYFUNCTION("""COMPUTED_VALUE"""),"राष्ट्र निर्माण")</f>
        <v>राष्ट्र निर्माण</v>
      </c>
      <c r="H19" s="1"/>
      <c r="I19" s="1"/>
      <c r="J19" s="1"/>
      <c r="K19" s="1"/>
      <c r="L19" s="1"/>
      <c r="M19" s="1"/>
      <c r="N19" s="1"/>
      <c r="O19" s="1"/>
      <c r="P19" s="1"/>
      <c r="Q19" s="1"/>
      <c r="R19" s="1" t="str">
        <f ca="1">IFERROR(__xludf.DUMMYFUNCTION("""COMPUTED_VALUE"""),"सार्थक एवं समग्र शिक्षा")</f>
        <v>सार्थक एवं समग्र शिक्षा</v>
      </c>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f ca="1">IFERROR(__xludf.DUMMYFUNCTION("""COMPUTED_VALUE"""),104)</f>
        <v>104</v>
      </c>
      <c r="BX19" s="1">
        <f ca="1">IFERROR(__xludf.DUMMYFUNCTION("""COMPUTED_VALUE"""),2)</f>
        <v>2</v>
      </c>
      <c r="BY19" s="1">
        <f ca="1">IFERROR(__xludf.DUMMYFUNCTION("""COMPUTED_VALUE"""),101)</f>
        <v>101</v>
      </c>
      <c r="BZ19" s="1">
        <f ca="1">IFERROR(__xludf.DUMMYFUNCTION("""COMPUTED_VALUE"""),43)</f>
        <v>43</v>
      </c>
      <c r="CA19" s="1"/>
      <c r="CB19" s="1"/>
      <c r="CC19" s="1" t="str">
        <f ca="1">IFERROR(__xludf.DUMMYFUNCTION("""COMPUTED_VALUE"""),"प्रौढ महिला शिक्षा योजना : Rare Book")</f>
        <v>प्रौढ महिला शिक्षा योजना : Rare Book</v>
      </c>
      <c r="CD19" s="3" t="str">
        <f ca="1">IFERROR(__xludf.DUMMYFUNCTION("""COMPUTED_VALUE"""),"https://vicharkrantibooks.org/productdetail?book_name=HINP0684_PRAUDH_MAHILA_SHIKSHA_YOJANA_2nd1976&amp;product_id=1249")</f>
        <v>https://vicharkrantibooks.org/productdetail?book_name=HINP0684_PRAUDH_MAHILA_SHIKSHA_YOJANA_2nd1976&amp;product_id=1249</v>
      </c>
      <c r="CE19" s="1" t="str">
        <f ca="1">IFERROR(__xludf.DUMMYFUNCTION("""COMPUTED_VALUE"""),"Audiobook : प्रौढ महिला शिक्षा योजना : Rare Book : druma4107@gmail.com : Recorded")</f>
        <v>Audiobook : प्रौढ महिला शिक्षा योजना : Rare Book : druma4107@gmail.com : Recorded</v>
      </c>
      <c r="CF19" s="1" t="str">
        <f ca="1">IFERROR(__xludf.DUMMYFUNCTION("""COMPUTED_VALUE"""),"Audiobook : प्रौढ महिला शिक्षा योजना : Rare Book : druma4107@gmail.com : Recorded")</f>
        <v>Audiobook : प्रौढ महिला शिक्षा योजना : Rare Book : druma4107@gmail.com : Recorded</v>
      </c>
      <c r="CG19" s="1" t="str">
        <f ca="1">IFERROR(__xludf.DUMMYFUNCTION("""COMPUTED_VALUE"""),"Adarniya Dr Uma Agarwal  ji प्रौढ महिला शिक्षा योजना : Rare Book : Allocated on 06-Sep-24 Contact Number  9410861182")</f>
        <v>Adarniya Dr Uma Agarwal  ji प्रौढ महिला शिक्षा योजना : Rare Book : Allocated on 06-Sep-24 Contact Number  9410861182</v>
      </c>
      <c r="CH19" s="1" t="str">
        <f ca="1">IFERROR(__xludf.DUMMYFUNCTION("""COMPUTED_VALUE"""),"druma4107@gmail.com : प्रौढ महिला शिक्षा योजना : Rare Book")</f>
        <v>druma4107@gmail.com : प्रौढ महिला शिक्षा योजना : Rare Book</v>
      </c>
      <c r="CI19" s="5">
        <f ca="1">IFERROR(__xludf.DUMMYFUNCTION("""COMPUTED_VALUE"""),45541.8947751041)</f>
        <v>45541.894775104098</v>
      </c>
    </row>
    <row r="20" spans="1:87" x14ac:dyDescent="0.25">
      <c r="A20" s="5">
        <f ca="1">IFERROR(__xludf.DUMMYFUNCTION("""COMPUTED_VALUE"""),45541.80807228)</f>
        <v>45541.80807228</v>
      </c>
      <c r="B20" s="1" t="str">
        <f ca="1">IFERROR(__xludf.DUMMYFUNCTION("""COMPUTED_VALUE"""),"sukhdasinghal@gmail.com")</f>
        <v>sukhdasinghal@gmail.com</v>
      </c>
      <c r="C20" s="1" t="str">
        <f ca="1">IFERROR(__xludf.DUMMYFUNCTION("""COMPUTED_VALUE"""),"Sukhda singhal")</f>
        <v>Sukhda singhal</v>
      </c>
      <c r="D20" s="1">
        <f ca="1">IFERROR(__xludf.DUMMYFUNCTION("""COMPUTED_VALUE"""),9411695085)</f>
        <v>9411695085</v>
      </c>
      <c r="E20" s="1"/>
      <c r="F20" s="1" t="str">
        <f ca="1">IFERROR(__xludf.DUMMYFUNCTION("""COMPUTED_VALUE"""),"हिन्दी")</f>
        <v>हिन्दी</v>
      </c>
      <c r="G20" s="1" t="str">
        <f ca="1">IFERROR(__xludf.DUMMYFUNCTION("""COMPUTED_VALUE"""),"जीवन प्रबंध")</f>
        <v>जीवन प्रबंध</v>
      </c>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f ca="1">IFERROR(__xludf.DUMMYFUNCTION("""COMPUTED_VALUE"""),3)</f>
        <v>3</v>
      </c>
      <c r="BX20" s="1">
        <f ca="1">IFERROR(__xludf.DUMMYFUNCTION("""COMPUTED_VALUE"""),2)</f>
        <v>2</v>
      </c>
      <c r="BY20" s="1">
        <f ca="1">IFERROR(__xludf.DUMMYFUNCTION("""COMPUTED_VALUE"""),3)</f>
        <v>3</v>
      </c>
      <c r="BZ20" s="1">
        <f ca="1">IFERROR(__xludf.DUMMYFUNCTION("""COMPUTED_VALUE"""),0)</f>
        <v>0</v>
      </c>
      <c r="CA20" s="1"/>
      <c r="CB20" s="1"/>
      <c r="CC20" s="1" t="str">
        <f ca="1">IFERROR(__xludf.DUMMYFUNCTION("""COMPUTED_VALUE"""),"महाकाल का दिव्य चिंतन : Rare Book")</f>
        <v>महाकाल का दिव्य चिंतन : Rare Book</v>
      </c>
      <c r="CD20" s="3" t="str">
        <f ca="1">IFERROR(__xludf.DUMMYFUNCTION("""COMPUTED_VALUE"""),"https://vicharkrantibooks.org/productdetail?book_name=HINP0464_MAHAKAL_KA_DIVY_CHINTAN_xxyyyy&amp;product_id=1029")</f>
        <v>https://vicharkrantibooks.org/productdetail?book_name=HINP0464_MAHAKAL_KA_DIVY_CHINTAN_xxyyyy&amp;product_id=1029</v>
      </c>
      <c r="CE20" s="1" t="str">
        <f ca="1">IFERROR(__xludf.DUMMYFUNCTION("""COMPUTED_VALUE"""),"Audiobook : महाकाल का दिव्य चिंतन : Rare Book : sukhdasinghal@gmail.com : Recorded")</f>
        <v>Audiobook : महाकाल का दिव्य चिंतन : Rare Book : sukhdasinghal@gmail.com : Recorded</v>
      </c>
      <c r="CF20" s="1" t="str">
        <f ca="1">IFERROR(__xludf.DUMMYFUNCTION("""COMPUTED_VALUE"""),"#N/A")</f>
        <v>#N/A</v>
      </c>
      <c r="CG20" s="1" t="str">
        <f ca="1">IFERROR(__xludf.DUMMYFUNCTION("""COMPUTED_VALUE"""),"Adarniya Sukhda singhal ji महाकाल का दिव्य चिंतन : Rare Book : Allocated on 06-Sep-24 Contact Number  9411695085")</f>
        <v>Adarniya Sukhda singhal ji महाकाल का दिव्य चिंतन : Rare Book : Allocated on 06-Sep-24 Contact Number  9411695085</v>
      </c>
      <c r="CH20" s="1" t="str">
        <f ca="1">IFERROR(__xludf.DUMMYFUNCTION("""COMPUTED_VALUE"""),"sukhdasinghal@gmail.com : महाकाल का दिव्य चिंतन : Rare Book")</f>
        <v>sukhdasinghal@gmail.com : महाकाल का दिव्य चिंतन : Rare Book</v>
      </c>
      <c r="CI20" s="5">
        <f ca="1">IFERROR(__xludf.DUMMYFUNCTION("""COMPUTED_VALUE"""),45541.80807228)</f>
        <v>45541.80807228</v>
      </c>
    </row>
    <row r="21" spans="1:87" x14ac:dyDescent="0.25">
      <c r="A21" s="5">
        <f ca="1">IFERROR(__xludf.DUMMYFUNCTION("""COMPUTED_VALUE"""),45540.9523740972)</f>
        <v>45540.9523740972</v>
      </c>
      <c r="B21" s="1" t="str">
        <f ca="1">IFERROR(__xludf.DUMMYFUNCTION("""COMPUTED_VALUE"""),"dave.chhaya@gmail.com")</f>
        <v>dave.chhaya@gmail.com</v>
      </c>
      <c r="C21" s="1" t="str">
        <f ca="1">IFERROR(__xludf.DUMMYFUNCTION("""COMPUTED_VALUE"""),"Chhaya Deepak Dave ")</f>
        <v xml:space="preserve">Chhaya Deepak Dave </v>
      </c>
      <c r="D21" s="1">
        <f ca="1">IFERROR(__xludf.DUMMYFUNCTION("""COMPUTED_VALUE"""),9879596556)</f>
        <v>9879596556</v>
      </c>
      <c r="E21" s="1" t="str">
        <f ca="1">IFERROR(__xludf.DUMMYFUNCTION("""COMPUTED_VALUE"""),"Yes")</f>
        <v>Yes</v>
      </c>
      <c r="F21" s="1" t="str">
        <f ca="1">IFERROR(__xludf.DUMMYFUNCTION("""COMPUTED_VALUE"""),"गुजराती")</f>
        <v>गुजराती</v>
      </c>
      <c r="G21" s="1" t="str">
        <f ca="1">IFERROR(__xludf.DUMMYFUNCTION("""COMPUTED_VALUE"""),"युग द्रष्टा पं. श्रीराम शर्मा आचार्यजी")</f>
        <v>युग द्रष्टा पं. श्रीराम शर्मा आचार्यजी</v>
      </c>
      <c r="H21" s="1"/>
      <c r="I21" s="1"/>
      <c r="J21" s="1"/>
      <c r="K21" s="1"/>
      <c r="L21" s="1"/>
      <c r="M21" s="1"/>
      <c r="N21" s="1"/>
      <c r="O21" s="1"/>
      <c r="P21" s="1" t="str">
        <f ca="1">IFERROR(__xludf.DUMMYFUNCTION("""COMPUTED_VALUE"""),"युगॠषी की अमृतवाणी")</f>
        <v>युगॠषी की अमृतवाणी</v>
      </c>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f ca="1">IFERROR(__xludf.DUMMYFUNCTION("""COMPUTED_VALUE"""),46)</f>
        <v>46</v>
      </c>
      <c r="BX21" s="1">
        <f ca="1">IFERROR(__xludf.DUMMYFUNCTION("""COMPUTED_VALUE"""),46)</f>
        <v>46</v>
      </c>
      <c r="BY21" s="1">
        <f ca="1">IFERROR(__xludf.DUMMYFUNCTION("""COMPUTED_VALUE"""),46)</f>
        <v>46</v>
      </c>
      <c r="BZ21" s="1">
        <f ca="1">IFERROR(__xludf.DUMMYFUNCTION("""COMPUTED_VALUE"""),16)</f>
        <v>16</v>
      </c>
      <c r="CA21" s="1"/>
      <c r="CB21" s="1"/>
      <c r="CC21" s="1" t="str">
        <f ca="1">IFERROR(__xludf.DUMMYFUNCTION("""COMPUTED_VALUE"""),"આત્મિક ઉન્નતિ સંયમ સેવા : G_JS_23")</f>
        <v>આત્મિક ઉન્નતિ સંયમ સેવા : G_JS_23</v>
      </c>
      <c r="CD21" s="3" t="str">
        <f ca="1">IFERROR(__xludf.DUMMYFUNCTION("""COMPUTED_VALUE"""),"https://vicharkrantibooks.org/productdetail?book_name=GUJP0105_ATMIK_UNNTINA_CHAR_CHARAN_SADHANA_SWADHYAY_SANYAM_SEVA_XXYYYY&amp;product_id=3748")</f>
        <v>https://vicharkrantibooks.org/productdetail?book_name=GUJP0105_ATMIK_UNNTINA_CHAR_CHARAN_SADHANA_SWADHYAY_SANYAM_SEVA_XXYYYY&amp;product_id=3748</v>
      </c>
      <c r="CE21" s="1" t="str">
        <f ca="1">IFERROR(__xludf.DUMMYFUNCTION("""COMPUTED_VALUE"""),"Audiobook : આત્મિક ઉન્નતિ સંયમ સેવા : G_JS_23 : dave.chhaya@gmail.com : Recorded")</f>
        <v>Audiobook : આત્મિક ઉન્નતિ સંયમ સેવા : G_JS_23 : dave.chhaya@gmail.com : Recorded</v>
      </c>
      <c r="CF21" s="1" t="str">
        <f ca="1">IFERROR(__xludf.DUMMYFUNCTION("""COMPUTED_VALUE"""),"Audiobook : આત્મિક ઉન્નતિ સંયમ સેવા : G_JS_23 : dave.chhaya@gmail.com : Recorded")</f>
        <v>Audiobook : આત્મિક ઉન્નતિ સંયમ સેવા : G_JS_23 : dave.chhaya@gmail.com : Recorded</v>
      </c>
      <c r="CG21" s="1" t="str">
        <f ca="1">IFERROR(__xludf.DUMMYFUNCTION("""COMPUTED_VALUE"""),"Adarniya Chhaya Deepak Dave  ji આત્મિક ઉન્નતિ સંયમ સેવા : G_JS_23 : Allocated on 05-Sep-24 Contact Number  9879596556")</f>
        <v>Adarniya Chhaya Deepak Dave  ji આત્મિક ઉન્નતિ સંયમ સેવા : G_JS_23 : Allocated on 05-Sep-24 Contact Number  9879596556</v>
      </c>
      <c r="CH21" s="1" t="str">
        <f ca="1">IFERROR(__xludf.DUMMYFUNCTION("""COMPUTED_VALUE"""),"dave.chhaya@gmail.com : આત્મિક ઉન્નતિ સંયમ સેવા : G_JS_23")</f>
        <v>dave.chhaya@gmail.com : આત્મિક ઉન્નતિ સંયમ સેવા : G_JS_23</v>
      </c>
      <c r="CI21" s="5">
        <f ca="1">IFERROR(__xludf.DUMMYFUNCTION("""COMPUTED_VALUE"""),45540.9523740972)</f>
        <v>45540.9523740972</v>
      </c>
    </row>
    <row r="22" spans="1:87" x14ac:dyDescent="0.25">
      <c r="A22" s="5">
        <f ca="1">IFERROR(__xludf.DUMMYFUNCTION("""COMPUTED_VALUE"""),45540.9263836226)</f>
        <v>45540.926383622602</v>
      </c>
      <c r="B22" s="1" t="str">
        <f ca="1">IFERROR(__xludf.DUMMYFUNCTION("""COMPUTED_VALUE"""),"lokesh16191@gmail.com")</f>
        <v>lokesh16191@gmail.com</v>
      </c>
      <c r="C22" s="1" t="str">
        <f ca="1">IFERROR(__xludf.DUMMYFUNCTION("""COMPUTED_VALUE"""),"Lokesh Verma")</f>
        <v>Lokesh Verma</v>
      </c>
      <c r="D22" s="1">
        <f ca="1">IFERROR(__xludf.DUMMYFUNCTION("""COMPUTED_VALUE"""),9026442452)</f>
        <v>9026442452</v>
      </c>
      <c r="E22" s="1" t="str">
        <f ca="1">IFERROR(__xludf.DUMMYFUNCTION("""COMPUTED_VALUE"""),"Artificial Intelligence")</f>
        <v>Artificial Intelligence</v>
      </c>
      <c r="F22" s="1" t="str">
        <f ca="1">IFERROR(__xludf.DUMMYFUNCTION("""COMPUTED_VALUE"""),"हिन्दी or English")</f>
        <v>हिन्दी or English</v>
      </c>
      <c r="G22" s="1" t="str">
        <f ca="1">IFERROR(__xludf.DUMMYFUNCTION("""COMPUTED_VALUE"""),"समग्र स्वास्थ्य")</f>
        <v>समग्र स्वास्थ्य</v>
      </c>
      <c r="H22" s="1"/>
      <c r="I22" s="1"/>
      <c r="J22" s="1"/>
      <c r="K22" s="1"/>
      <c r="L22" s="1"/>
      <c r="M22" s="1"/>
      <c r="N22" s="1"/>
      <c r="O22" s="1"/>
      <c r="P22" s="1"/>
      <c r="Q22" s="1"/>
      <c r="R22" s="1"/>
      <c r="S22" s="1"/>
      <c r="T22" s="1"/>
      <c r="U22" s="1" t="str">
        <f ca="1">IFERROR(__xludf.DUMMYFUNCTION("""COMPUTED_VALUE"""),"आहार-विहार एवं उपवास")</f>
        <v>आहार-विहार एवं उपवास</v>
      </c>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f ca="1">IFERROR(__xludf.DUMMYFUNCTION("""COMPUTED_VALUE"""),4)</f>
        <v>4</v>
      </c>
      <c r="BX22" s="1">
        <f ca="1">IFERROR(__xludf.DUMMYFUNCTION("""COMPUTED_VALUE"""),3)</f>
        <v>3</v>
      </c>
      <c r="BY22" s="1">
        <f ca="1">IFERROR(__xludf.DUMMYFUNCTION("""COMPUTED_VALUE"""),4)</f>
        <v>4</v>
      </c>
      <c r="BZ22" s="1">
        <f ca="1">IFERROR(__xludf.DUMMYFUNCTION("""COMPUTED_VALUE"""),1)</f>
        <v>1</v>
      </c>
      <c r="CA22" s="1"/>
      <c r="CB22" s="1"/>
      <c r="CC22" s="1" t="str">
        <f ca="1">IFERROR(__xludf.DUMMYFUNCTION("""COMPUTED_VALUE"""),"मांसाहार मानवता का अपमान  : Rare Book")</f>
        <v>मांसाहार मानवता का अपमान  : Rare Book</v>
      </c>
      <c r="CD22" s="3" t="str">
        <f ca="1">IFERROR(__xludf.DUMMYFUNCTION("""COMPUTED_VALUE"""),"https://vicharkrantibooks.org/productdetail?book_name=HINP0520_MANSAHAR_MANAVATA_KA_APAMAN_xx1978&amp;product_id=1085")</f>
        <v>https://vicharkrantibooks.org/productdetail?book_name=HINP0520_MANSAHAR_MANAVATA_KA_APAMAN_xx1978&amp;product_id=1085</v>
      </c>
      <c r="CE22" s="1" t="str">
        <f ca="1">IFERROR(__xludf.DUMMYFUNCTION("""COMPUTED_VALUE"""),"Audiobook : मांसाहार मानवता का अपमान  : Rare Book : lokesh16191@gmail.com : Recorded")</f>
        <v>Audiobook : मांसाहार मानवता का अपमान  : Rare Book : lokesh16191@gmail.com : Recorded</v>
      </c>
      <c r="CF22" s="1" t="str">
        <f ca="1">IFERROR(__xludf.DUMMYFUNCTION("""COMPUTED_VALUE"""),"#N/A")</f>
        <v>#N/A</v>
      </c>
      <c r="CG22" s="1" t="str">
        <f ca="1">IFERROR(__xludf.DUMMYFUNCTION("""COMPUTED_VALUE"""),"Adarniya Lokesh Verma ji मांसाहार मानवता का अपमान  : Rare Book : Allocated on 05-Sep-24 Contact Number  9026442452")</f>
        <v>Adarniya Lokesh Verma ji मांसाहार मानवता का अपमान  : Rare Book : Allocated on 05-Sep-24 Contact Number  9026442452</v>
      </c>
      <c r="CH22" s="1" t="str">
        <f ca="1">IFERROR(__xludf.DUMMYFUNCTION("""COMPUTED_VALUE"""),"lokesh16191@gmail.com : मांसाहार मानवता का अपमान  : Rare Book")</f>
        <v>lokesh16191@gmail.com : मांसाहार मानवता का अपमान  : Rare Book</v>
      </c>
      <c r="CI22" s="5">
        <f ca="1">IFERROR(__xludf.DUMMYFUNCTION("""COMPUTED_VALUE"""),45540.9263836226)</f>
        <v>45540.926383622602</v>
      </c>
    </row>
    <row r="23" spans="1:87" x14ac:dyDescent="0.25">
      <c r="A23" s="5">
        <f ca="1">IFERROR(__xludf.DUMMYFUNCTION("""COMPUTED_VALUE"""),45540.9039247569)</f>
        <v>45540.903924756902</v>
      </c>
      <c r="B23" s="1" t="str">
        <f ca="1">IFERROR(__xludf.DUMMYFUNCTION("""COMPUTED_VALUE"""),"ojhakrishna2310@gmail.com")</f>
        <v>ojhakrishna2310@gmail.com</v>
      </c>
      <c r="C23" s="1" t="str">
        <f ca="1">IFERROR(__xludf.DUMMYFUNCTION("""COMPUTED_VALUE"""),"Krishna arunkumar ojha")</f>
        <v>Krishna arunkumar ojha</v>
      </c>
      <c r="D23" s="1">
        <f ca="1">IFERROR(__xludf.DUMMYFUNCTION("""COMPUTED_VALUE"""),9637907058)</f>
        <v>9637907058</v>
      </c>
      <c r="E23" s="1" t="str">
        <f ca="1">IFERROR(__xludf.DUMMYFUNCTION("""COMPUTED_VALUE"""),"No")</f>
        <v>No</v>
      </c>
      <c r="F23" s="1" t="str">
        <f ca="1">IFERROR(__xludf.DUMMYFUNCTION("""COMPUTED_VALUE"""),"हिन्दी")</f>
        <v>हिन्दी</v>
      </c>
      <c r="G23" s="1" t="str">
        <f ca="1">IFERROR(__xludf.DUMMYFUNCTION("""COMPUTED_VALUE"""),"समग्र स्वास्थ्य")</f>
        <v>समग्र स्वास्थ्य</v>
      </c>
      <c r="H23" s="1"/>
      <c r="I23" s="1"/>
      <c r="J23" s="1"/>
      <c r="K23" s="1"/>
      <c r="L23" s="1"/>
      <c r="M23" s="1"/>
      <c r="N23" s="1"/>
      <c r="O23" s="1"/>
      <c r="P23" s="1"/>
      <c r="Q23" s="1"/>
      <c r="R23" s="1"/>
      <c r="S23" s="1"/>
      <c r="T23" s="1"/>
      <c r="U23" s="1" t="str">
        <f ca="1">IFERROR(__xludf.DUMMYFUNCTION("""COMPUTED_VALUE"""),"आहार-विहार एवं उपवास")</f>
        <v>आहार-विहार एवं उपवास</v>
      </c>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f ca="1">IFERROR(__xludf.DUMMYFUNCTION("""COMPUTED_VALUE"""),13)</f>
        <v>13</v>
      </c>
      <c r="BX23" s="1">
        <f ca="1">IFERROR(__xludf.DUMMYFUNCTION("""COMPUTED_VALUE"""),7)</f>
        <v>7</v>
      </c>
      <c r="BY23" s="1">
        <f ca="1">IFERROR(__xludf.DUMMYFUNCTION("""COMPUTED_VALUE"""),13)</f>
        <v>13</v>
      </c>
      <c r="BZ23" s="1">
        <f ca="1">IFERROR(__xludf.DUMMYFUNCTION("""COMPUTED_VALUE"""),0)</f>
        <v>0</v>
      </c>
      <c r="CA23" s="1"/>
      <c r="CB23" s="1"/>
      <c r="CC23" s="1" t="str">
        <f ca="1">IFERROR(__xludf.DUMMYFUNCTION("""COMPUTED_VALUE"""),"जिह्वा पर नियंत्रण हो तो स्वास्थ्य सुधरे : Rare Book")</f>
        <v>जिह्वा पर नियंत्रण हो तो स्वास्थ्य सुधरे : Rare Book</v>
      </c>
      <c r="CD23" s="3" t="str">
        <f ca="1">IFERROR(__xludf.DUMMYFUNCTION("""COMPUTED_VALUE"""),"https://vicharkrantibooks.org/productdetail?product_id=353")</f>
        <v>https://vicharkrantibooks.org/productdetail?product_id=353</v>
      </c>
      <c r="CE23" s="1" t="str">
        <f ca="1">IFERROR(__xludf.DUMMYFUNCTION("""COMPUTED_VALUE"""),"Audiobook : जिह्वा पर नियंत्रण हो तो स्वास्थ्य सुधरे : Rare Book : ojhakrishna2310@gmail.com : Recorded")</f>
        <v>Audiobook : जिह्वा पर नियंत्रण हो तो स्वास्थ्य सुधरे : Rare Book : ojhakrishna2310@gmail.com : Recorded</v>
      </c>
      <c r="CF23" s="1" t="str">
        <f ca="1">IFERROR(__xludf.DUMMYFUNCTION("""COMPUTED_VALUE"""),"#N/A")</f>
        <v>#N/A</v>
      </c>
      <c r="CG23" s="1" t="str">
        <f ca="1">IFERROR(__xludf.DUMMYFUNCTION("""COMPUTED_VALUE"""),"Adarniya Krishna arunkumar ojha ji जिह्वा पर नियंत्रण हो तो स्वास्थ्य सुधरे : Rare Book : Allocated on 05-Sep-24 Contact Number  9637907058")</f>
        <v>Adarniya Krishna arunkumar ojha ji जिह्वा पर नियंत्रण हो तो स्वास्थ्य सुधरे : Rare Book : Allocated on 05-Sep-24 Contact Number  9637907058</v>
      </c>
      <c r="CH23" s="1" t="str">
        <f ca="1">IFERROR(__xludf.DUMMYFUNCTION("""COMPUTED_VALUE"""),"ojhakrishna2310@gmail.com : जिह्वा पर नियंत्रण हो तो स्वास्थ्य सुधरे : Rare Book")</f>
        <v>ojhakrishna2310@gmail.com : जिह्वा पर नियंत्रण हो तो स्वास्थ्य सुधरे : Rare Book</v>
      </c>
      <c r="CI23" s="5">
        <f ca="1">IFERROR(__xludf.DUMMYFUNCTION("""COMPUTED_VALUE"""),45540.9039247569)</f>
        <v>45540.903924756902</v>
      </c>
    </row>
    <row r="24" spans="1:87" x14ac:dyDescent="0.25">
      <c r="A24" s="5">
        <f ca="1">IFERROR(__xludf.DUMMYFUNCTION("""COMPUTED_VALUE"""),45540.6869091088)</f>
        <v>45540.686909108801</v>
      </c>
      <c r="B24" s="1" t="str">
        <f ca="1">IFERROR(__xludf.DUMMYFUNCTION("""COMPUTED_VALUE"""),"divyabhatnagar73@gmail.com")</f>
        <v>divyabhatnagar73@gmail.com</v>
      </c>
      <c r="C24" s="1" t="str">
        <f ca="1">IFERROR(__xludf.DUMMYFUNCTION("""COMPUTED_VALUE"""),"Divya Bhatnagar ")</f>
        <v xml:space="preserve">Divya Bhatnagar </v>
      </c>
      <c r="D24" s="1">
        <f ca="1">IFERROR(__xludf.DUMMYFUNCTION("""COMPUTED_VALUE"""),9672806579)</f>
        <v>9672806579</v>
      </c>
      <c r="E24" s="1" t="str">
        <f ca="1">IFERROR(__xludf.DUMMYFUNCTION("""COMPUTED_VALUE"""),"Yes")</f>
        <v>Yes</v>
      </c>
      <c r="F24" s="1" t="str">
        <f ca="1">IFERROR(__xludf.DUMMYFUNCTION("""COMPUTED_VALUE"""),"हिन्दी")</f>
        <v>हिन्दी</v>
      </c>
      <c r="G24" s="1" t="str">
        <f ca="1">IFERROR(__xludf.DUMMYFUNCTION("""COMPUTED_VALUE"""),"युग परिवर्तन-विचार क्रांति")</f>
        <v>युग परिवर्तन-विचार क्रांति</v>
      </c>
      <c r="H24" s="1"/>
      <c r="I24" s="1"/>
      <c r="J24" s="1"/>
      <c r="K24" s="1"/>
      <c r="L24" s="1"/>
      <c r="M24" s="1"/>
      <c r="N24" s="1"/>
      <c r="O24" s="1"/>
      <c r="P24" s="1"/>
      <c r="Q24" s="1" t="str">
        <f ca="1">IFERROR(__xludf.DUMMYFUNCTION("""COMPUTED_VALUE"""),"विचार क्रांति")</f>
        <v>विचार क्रांति</v>
      </c>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f ca="1">IFERROR(__xludf.DUMMYFUNCTION("""COMPUTED_VALUE"""),12)</f>
        <v>12</v>
      </c>
      <c r="BX24" s="1">
        <f ca="1">IFERROR(__xludf.DUMMYFUNCTION("""COMPUTED_VALUE"""),1)</f>
        <v>1</v>
      </c>
      <c r="BY24" s="1">
        <f ca="1">IFERROR(__xludf.DUMMYFUNCTION("""COMPUTED_VALUE"""),11)</f>
        <v>11</v>
      </c>
      <c r="BZ24" s="1">
        <f ca="1">IFERROR(__xludf.DUMMYFUNCTION("""COMPUTED_VALUE"""),1)</f>
        <v>1</v>
      </c>
      <c r="CA24" s="1"/>
      <c r="CB24" s="1"/>
      <c r="CC24" s="1" t="str">
        <f ca="1">IFERROR(__xludf.DUMMYFUNCTION("""COMPUTED_VALUE"""),"युग परिवर्तन की प्रक्रिया और पद्धति : Rare Book")</f>
        <v>युग परिवर्तन की प्रक्रिया और पद्धति : Rare Book</v>
      </c>
      <c r="CD24" s="3" t="str">
        <f ca="1">IFERROR(__xludf.DUMMYFUNCTION("""COMPUTED_VALUE"""),"https://vicharkrantibooks.org/productdetail?book_name=HINP1055_YUG_PARIVARTAN_KI_PRAKRIYA_AUR_PADDHATI_xx1981&amp;product_id=1620")</f>
        <v>https://vicharkrantibooks.org/productdetail?book_name=HINP1055_YUG_PARIVARTAN_KI_PRAKRIYA_AUR_PADDHATI_xx1981&amp;product_id=1620</v>
      </c>
      <c r="CE24" s="1" t="str">
        <f ca="1">IFERROR(__xludf.DUMMYFUNCTION("""COMPUTED_VALUE"""),"Audiobook : युग परिवर्तन की प्रक्रिया और पद्धति : Rare Book : divyabhatnagar73@gmail.com : Recorded")</f>
        <v>Audiobook : युग परिवर्तन की प्रक्रिया और पद्धति : Rare Book : divyabhatnagar73@gmail.com : Recorded</v>
      </c>
      <c r="CF24" s="1" t="str">
        <f ca="1">IFERROR(__xludf.DUMMYFUNCTION("""COMPUTED_VALUE"""),"#N/A")</f>
        <v>#N/A</v>
      </c>
      <c r="CG24" s="1" t="str">
        <f ca="1">IFERROR(__xludf.DUMMYFUNCTION("""COMPUTED_VALUE"""),"Adarniya Divya Bhatnagar  ji युग परिवर्तन की प्रक्रिया और पद्धति : Rare Book : Allocated on 05-Sep-24 Contact Number  9672806579")</f>
        <v>Adarniya Divya Bhatnagar  ji युग परिवर्तन की प्रक्रिया और पद्धति : Rare Book : Allocated on 05-Sep-24 Contact Number  9672806579</v>
      </c>
      <c r="CH24" s="1" t="str">
        <f ca="1">IFERROR(__xludf.DUMMYFUNCTION("""COMPUTED_VALUE"""),"divyabhatnagar73@gmail.com : युग परिवर्तन की प्रक्रिया और पद्धति : Rare Book")</f>
        <v>divyabhatnagar73@gmail.com : युग परिवर्तन की प्रक्रिया और पद्धति : Rare Book</v>
      </c>
      <c r="CI24" s="5">
        <f ca="1">IFERROR(__xludf.DUMMYFUNCTION("""COMPUTED_VALUE"""),45540.6869091088)</f>
        <v>45540.686909108801</v>
      </c>
    </row>
    <row r="25" spans="1:87" x14ac:dyDescent="0.25">
      <c r="A25" s="5">
        <f ca="1">IFERROR(__xludf.DUMMYFUNCTION("""COMPUTED_VALUE"""),45540.6856665972)</f>
        <v>45540.685666597201</v>
      </c>
      <c r="B25" s="1" t="str">
        <f ca="1">IFERROR(__xludf.DUMMYFUNCTION("""COMPUTED_VALUE"""),"divyabhatnagar73@gmail.com")</f>
        <v>divyabhatnagar73@gmail.com</v>
      </c>
      <c r="C25" s="1" t="str">
        <f ca="1">IFERROR(__xludf.DUMMYFUNCTION("""COMPUTED_VALUE"""),"Divya Bhatnagar")</f>
        <v>Divya Bhatnagar</v>
      </c>
      <c r="D25" s="1" t="str">
        <f ca="1">IFERROR(__xludf.DUMMYFUNCTION("""COMPUTED_VALUE"""),"09672806579")</f>
        <v>09672806579</v>
      </c>
      <c r="E25" s="1" t="str">
        <f ca="1">IFERROR(__xludf.DUMMYFUNCTION("""COMPUTED_VALUE"""),"Yes")</f>
        <v>Yes</v>
      </c>
      <c r="F25" s="1" t="str">
        <f ca="1">IFERROR(__xludf.DUMMYFUNCTION("""COMPUTED_VALUE"""),"English")</f>
        <v>English</v>
      </c>
      <c r="G25" s="1" t="str">
        <f ca="1">IFERROR(__xludf.DUMMYFUNCTION("""COMPUTED_VALUE"""),"English")</f>
        <v>English</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f ca="1">IFERROR(__xludf.DUMMYFUNCTION("""COMPUTED_VALUE"""),12)</f>
        <v>12</v>
      </c>
      <c r="BX25" s="1">
        <f ca="1">IFERROR(__xludf.DUMMYFUNCTION("""COMPUTED_VALUE"""),10)</f>
        <v>10</v>
      </c>
      <c r="BY25" s="1">
        <f ca="1">IFERROR(__xludf.DUMMYFUNCTION("""COMPUTED_VALUE"""),11)</f>
        <v>11</v>
      </c>
      <c r="BZ25" s="1">
        <f ca="1">IFERROR(__xludf.DUMMYFUNCTION("""COMPUTED_VALUE"""),1)</f>
        <v>1</v>
      </c>
      <c r="CA25" s="1"/>
      <c r="CB25" s="1"/>
      <c r="CC25" s="1" t="str">
        <f ca="1">IFERROR(__xludf.DUMMYFUNCTION("""COMPUTED_VALUE"""),"Inspiring Stories : EPB_144")</f>
        <v>Inspiring Stories : EPB_144</v>
      </c>
      <c r="CD25" s="3" t="str">
        <f ca="1">IFERROR(__xludf.DUMMYFUNCTION("""COMPUTED_VALUE"""),"https://vicharkrantibooks.org/productdetail?book_name=ENGB0211_INSPIRING_STORIES_1st2013&amp;product_id=3529")</f>
        <v>https://vicharkrantibooks.org/productdetail?book_name=ENGB0211_INSPIRING_STORIES_1st2013&amp;product_id=3529</v>
      </c>
      <c r="CE25" s="1" t="str">
        <f ca="1">IFERROR(__xludf.DUMMYFUNCTION("""COMPUTED_VALUE"""),"Audiobook : Inspiring Stories : EPB_144 : divyabhatnagar73@gmail.com : Recorded")</f>
        <v>Audiobook : Inspiring Stories : EPB_144 : divyabhatnagar73@gmail.com : Recorded</v>
      </c>
      <c r="CF25" s="1" t="str">
        <f ca="1">IFERROR(__xludf.DUMMYFUNCTION("""COMPUTED_VALUE"""),"#N/A")</f>
        <v>#N/A</v>
      </c>
      <c r="CG25" s="1" t="str">
        <f ca="1">IFERROR(__xludf.DUMMYFUNCTION("""COMPUTED_VALUE"""),"Adarniya Divya Bhatnagar ji Inspiring Stories : EPB_144 : Allocated on 05-Sep-24 Contact Number  09672806579")</f>
        <v>Adarniya Divya Bhatnagar ji Inspiring Stories : EPB_144 : Allocated on 05-Sep-24 Contact Number  09672806579</v>
      </c>
      <c r="CH25" s="1" t="str">
        <f ca="1">IFERROR(__xludf.DUMMYFUNCTION("""COMPUTED_VALUE"""),"divyabhatnagar73@gmail.com : Inspiring Stories : EPB_144")</f>
        <v>divyabhatnagar73@gmail.com : Inspiring Stories : EPB_144</v>
      </c>
      <c r="CI25" s="5">
        <f ca="1">IFERROR(__xludf.DUMMYFUNCTION("""COMPUTED_VALUE"""),45540.6856665972)</f>
        <v>45540.685666597201</v>
      </c>
    </row>
    <row r="26" spans="1:87" x14ac:dyDescent="0.25">
      <c r="A26" s="5">
        <f ca="1">IFERROR(__xludf.DUMMYFUNCTION("""COMPUTED_VALUE"""),45539.9480198148)</f>
        <v>45539.948019814801</v>
      </c>
      <c r="B26" s="1" t="str">
        <f ca="1">IFERROR(__xludf.DUMMYFUNCTION("""COMPUTED_VALUE"""),"druma4107@gmail.com")</f>
        <v>druma4107@gmail.com</v>
      </c>
      <c r="C26" s="1" t="str">
        <f ca="1">IFERROR(__xludf.DUMMYFUNCTION("""COMPUTED_VALUE"""),"Dr Uma Agrawal ")</f>
        <v xml:space="preserve">Dr Uma Agrawal </v>
      </c>
      <c r="D26" s="1">
        <f ca="1">IFERROR(__xludf.DUMMYFUNCTION("""COMPUTED_VALUE"""),9410861182)</f>
        <v>9410861182</v>
      </c>
      <c r="E26" s="1" t="str">
        <f ca="1">IFERROR(__xludf.DUMMYFUNCTION("""COMPUTED_VALUE"""),"Yes")</f>
        <v>Yes</v>
      </c>
      <c r="F26" s="1" t="str">
        <f ca="1">IFERROR(__xludf.DUMMYFUNCTION("""COMPUTED_VALUE"""),"हिन्दी")</f>
        <v>हिन्दी</v>
      </c>
      <c r="G26" s="1" t="str">
        <f ca="1">IFERROR(__xludf.DUMMYFUNCTION("""COMPUTED_VALUE"""),"राष्ट्र निर्माण")</f>
        <v>राष्ट्र निर्माण</v>
      </c>
      <c r="H26" s="1"/>
      <c r="I26" s="1"/>
      <c r="J26" s="1"/>
      <c r="K26" s="1"/>
      <c r="L26" s="1"/>
      <c r="M26" s="1"/>
      <c r="N26" s="1"/>
      <c r="O26" s="1"/>
      <c r="P26" s="1"/>
      <c r="Q26" s="1"/>
      <c r="R26" s="1" t="str">
        <f ca="1">IFERROR(__xludf.DUMMYFUNCTION("""COMPUTED_VALUE"""),"सार्थक एवं समग्र शिक्षा")</f>
        <v>सार्थक एवं समग्र शिक्षा</v>
      </c>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f ca="1">IFERROR(__xludf.DUMMYFUNCTION("""COMPUTED_VALUE"""),104)</f>
        <v>104</v>
      </c>
      <c r="BX26" s="1">
        <f ca="1">IFERROR(__xludf.DUMMYFUNCTION("""COMPUTED_VALUE"""),43)</f>
        <v>43</v>
      </c>
      <c r="BY26" s="1">
        <f ca="1">IFERROR(__xludf.DUMMYFUNCTION("""COMPUTED_VALUE"""),101)</f>
        <v>101</v>
      </c>
      <c r="BZ26" s="1">
        <f ca="1">IFERROR(__xludf.DUMMYFUNCTION("""COMPUTED_VALUE"""),43)</f>
        <v>43</v>
      </c>
      <c r="CA26" s="1"/>
      <c r="CB26" s="1"/>
      <c r="CC26" s="1" t="str">
        <f ca="1">IFERROR(__xludf.DUMMYFUNCTION("""COMPUTED_VALUE"""),"भ्रष्ट राजनेताओं का अंत अति निकट : Rare Book")</f>
        <v>भ्रष्ट राजनेताओं का अंत अति निकट : Rare Book</v>
      </c>
      <c r="CD26" s="3" t="str">
        <f ca="1">IFERROR(__xludf.DUMMYFUNCTION("""COMPUTED_VALUE"""),"https://vicharkrantibooks.org/productdetail?book_name=HINP0168_BHRASHT_RAJANETAON_KA_ANT_ATI_NIKAT_xxyyyy&amp;product_id=733")</f>
        <v>https://vicharkrantibooks.org/productdetail?book_name=HINP0168_BHRASHT_RAJANETAON_KA_ANT_ATI_NIKAT_xxyyyy&amp;product_id=733</v>
      </c>
      <c r="CE26" s="1" t="str">
        <f ca="1">IFERROR(__xludf.DUMMYFUNCTION("""COMPUTED_VALUE"""),"Audiobook : भ्रष्ट राजनेताओं का अंत अति निकट : Rare Book : druma4107@gmail.com : Recorded")</f>
        <v>Audiobook : भ्रष्ट राजनेताओं का अंत अति निकट : Rare Book : druma4107@gmail.com : Recorded</v>
      </c>
      <c r="CF26" s="1" t="str">
        <f ca="1">IFERROR(__xludf.DUMMYFUNCTION("""COMPUTED_VALUE"""),"Audiobook : भ्रष्ट राजनेताओं का अंत अति निकट : Rare Book : druma4107@gmail.com : Recorded")</f>
        <v>Audiobook : भ्रष्ट राजनेताओं का अंत अति निकट : Rare Book : druma4107@gmail.com : Recorded</v>
      </c>
      <c r="CG26" s="1" t="str">
        <f ca="1">IFERROR(__xludf.DUMMYFUNCTION("""COMPUTED_VALUE"""),"Adarniya Dr Uma Agrawal  ji भ्रष्ट राजनेताओं का अंत अति निकट : Rare Book : Allocated on 04-Sep-24 Contact Number  9410861182")</f>
        <v>Adarniya Dr Uma Agrawal  ji भ्रष्ट राजनेताओं का अंत अति निकट : Rare Book : Allocated on 04-Sep-24 Contact Number  9410861182</v>
      </c>
      <c r="CH26" s="1" t="str">
        <f ca="1">IFERROR(__xludf.DUMMYFUNCTION("""COMPUTED_VALUE"""),"druma4107@gmail.com : भ्रष्ट राजनेताओं का अंत अति निकट : Rare Book")</f>
        <v>druma4107@gmail.com : भ्रष्ट राजनेताओं का अंत अति निकट : Rare Book</v>
      </c>
      <c r="CI26" s="5">
        <f ca="1">IFERROR(__xludf.DUMMYFUNCTION("""COMPUTED_VALUE"""),45539.9480198148)</f>
        <v>45539.948019814801</v>
      </c>
    </row>
    <row r="27" spans="1:87" x14ac:dyDescent="0.25">
      <c r="A27" s="5">
        <f ca="1">IFERROR(__xludf.DUMMYFUNCTION("""COMPUTED_VALUE"""),45539.5436905902)</f>
        <v>45539.543690590202</v>
      </c>
      <c r="B27" s="1" t="str">
        <f ca="1">IFERROR(__xludf.DUMMYFUNCTION("""COMPUTED_VALUE"""),"mishra.iresh@gmail.com")</f>
        <v>mishra.iresh@gmail.com</v>
      </c>
      <c r="C27" s="1" t="str">
        <f ca="1">IFERROR(__xludf.DUMMYFUNCTION("""COMPUTED_VALUE"""),"Iresh Mishra")</f>
        <v>Iresh Mishra</v>
      </c>
      <c r="D27" s="1">
        <f ca="1">IFERROR(__xludf.DUMMYFUNCTION("""COMPUTED_VALUE"""),8839336719)</f>
        <v>8839336719</v>
      </c>
      <c r="E27" s="1" t="str">
        <f ca="1">IFERROR(__xludf.DUMMYFUNCTION("""COMPUTED_VALUE"""),"Artificial Intelligence")</f>
        <v>Artificial Intelligence</v>
      </c>
      <c r="F27" s="1" t="str">
        <f ca="1">IFERROR(__xludf.DUMMYFUNCTION("""COMPUTED_VALUE"""),"हिन्दी or English")</f>
        <v>हिन्दी or English</v>
      </c>
      <c r="G27" s="1" t="str">
        <f ca="1">IFERROR(__xludf.DUMMYFUNCTION("""COMPUTED_VALUE"""),"जीवन प्रबंध")</f>
        <v>जीवन प्रबंध</v>
      </c>
      <c r="H27" s="1"/>
      <c r="I27" s="1"/>
      <c r="J27" s="1"/>
      <c r="K27" s="1"/>
      <c r="L27" s="1" t="str">
        <f ca="1">IFERROR(__xludf.DUMMYFUNCTION("""COMPUTED_VALUE"""),"मन की शक्ति एवं मनोविज्ञान")</f>
        <v>मन की शक्ति एवं मनोविज्ञान</v>
      </c>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f ca="1">IFERROR(__xludf.DUMMYFUNCTION("""COMPUTED_VALUE"""),2)</f>
        <v>2</v>
      </c>
      <c r="BX27" s="1">
        <f ca="1">IFERROR(__xludf.DUMMYFUNCTION("""COMPUTED_VALUE"""),2)</f>
        <v>2</v>
      </c>
      <c r="BY27" s="1">
        <f ca="1">IFERROR(__xludf.DUMMYFUNCTION("""COMPUTED_VALUE"""),2)</f>
        <v>2</v>
      </c>
      <c r="BZ27" s="1">
        <f ca="1">IFERROR(__xludf.DUMMYFUNCTION("""COMPUTED_VALUE"""),0)</f>
        <v>0</v>
      </c>
      <c r="CA27" s="1"/>
      <c r="CB27" s="1"/>
      <c r="CC27" s="1" t="str">
        <f ca="1">IFERROR(__xludf.DUMMYFUNCTION("""COMPUTED_VALUE"""),"हँसती हँसाती जिंदगी जिएँ : Rare Book")</f>
        <v>हँसती हँसाती जिंदगी जिएँ : Rare Book</v>
      </c>
      <c r="CD27" s="3" t="str">
        <f ca="1">IFERROR(__xludf.DUMMYFUNCTION("""COMPUTED_VALUE"""),"https://vicharkrantibooks.org/productdetail?book_name=HINP1097_HANSATI-HANSATI_JINDAGI_JIYEN_xxyyyy&amp;product_id=1662")</f>
        <v>https://vicharkrantibooks.org/productdetail?book_name=HINP1097_HANSATI-HANSATI_JINDAGI_JIYEN_xxyyyy&amp;product_id=1662</v>
      </c>
      <c r="CE27" s="1" t="str">
        <f ca="1">IFERROR(__xludf.DUMMYFUNCTION("""COMPUTED_VALUE"""),"Audiobook : हँसती हँसाती जिंदगी जिएँ : Rare Book : mishra.iresh@gmail.com : Recorded")</f>
        <v>Audiobook : हँसती हँसाती जिंदगी जिएँ : Rare Book : mishra.iresh@gmail.com : Recorded</v>
      </c>
      <c r="CF27" s="1" t="str">
        <f ca="1">IFERROR(__xludf.DUMMYFUNCTION("""COMPUTED_VALUE"""),"#N/A")</f>
        <v>#N/A</v>
      </c>
      <c r="CG27" s="1" t="str">
        <f ca="1">IFERROR(__xludf.DUMMYFUNCTION("""COMPUTED_VALUE"""),"Adarniya Iresh Mishra ji हँसती हँसाती जिंदगी जिएँ : Rare Book : Allocated on 04-Sep-24 Contact Number  8839336719")</f>
        <v>Adarniya Iresh Mishra ji हँसती हँसाती जिंदगी जिएँ : Rare Book : Allocated on 04-Sep-24 Contact Number  8839336719</v>
      </c>
      <c r="CH27" s="1" t="str">
        <f ca="1">IFERROR(__xludf.DUMMYFUNCTION("""COMPUTED_VALUE"""),"mishra.iresh@gmail.com : हँसती हँसाती जिंदगी जिएँ : Rare Book")</f>
        <v>mishra.iresh@gmail.com : हँसती हँसाती जिंदगी जिएँ : Rare Book</v>
      </c>
      <c r="CI27" s="5">
        <f ca="1">IFERROR(__xludf.DUMMYFUNCTION("""COMPUTED_VALUE"""),45539.5436905902)</f>
        <v>45539.543690590202</v>
      </c>
    </row>
    <row r="28" spans="1:87" x14ac:dyDescent="0.25">
      <c r="A28" s="5">
        <f ca="1">IFERROR(__xludf.DUMMYFUNCTION("""COMPUTED_VALUE"""),45538.7481722685)</f>
        <v>45538.748172268497</v>
      </c>
      <c r="B28" s="1" t="str">
        <f ca="1">IFERROR(__xludf.DUMMYFUNCTION("""COMPUTED_VALUE"""),"dave.chhaya@gmail.com")</f>
        <v>dave.chhaya@gmail.com</v>
      </c>
      <c r="C28" s="1" t="str">
        <f ca="1">IFERROR(__xludf.DUMMYFUNCTION("""COMPUTED_VALUE"""),"Chhaya Deepak Dave ")</f>
        <v xml:space="preserve">Chhaya Deepak Dave </v>
      </c>
      <c r="D28" s="1">
        <f ca="1">IFERROR(__xludf.DUMMYFUNCTION("""COMPUTED_VALUE"""),9879596556)</f>
        <v>9879596556</v>
      </c>
      <c r="E28" s="1" t="str">
        <f ca="1">IFERROR(__xludf.DUMMYFUNCTION("""COMPUTED_VALUE"""),"Yes")</f>
        <v>Yes</v>
      </c>
      <c r="F28" s="1" t="str">
        <f ca="1">IFERROR(__xludf.DUMMYFUNCTION("""COMPUTED_VALUE"""),"गुजराती")</f>
        <v>गुजराती</v>
      </c>
      <c r="G28" s="1" t="str">
        <f ca="1">IFERROR(__xludf.DUMMYFUNCTION("""COMPUTED_VALUE"""),"युग द्रष्टा पं. श्रीराम शर्मा आचार्यजी")</f>
        <v>युग द्रष्टा पं. श्रीराम शर्मा आचार्यजी</v>
      </c>
      <c r="H28" s="1"/>
      <c r="I28" s="1"/>
      <c r="J28" s="1"/>
      <c r="K28" s="1"/>
      <c r="L28" s="1"/>
      <c r="M28" s="1"/>
      <c r="N28" s="1"/>
      <c r="O28" s="1"/>
      <c r="P28" s="1" t="str">
        <f ca="1">IFERROR(__xludf.DUMMYFUNCTION("""COMPUTED_VALUE"""),"युगॠषी की अमृतवाणी")</f>
        <v>युगॠषी की अमृतवाणी</v>
      </c>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f ca="1">IFERROR(__xludf.DUMMYFUNCTION("""COMPUTED_VALUE"""),46)</f>
        <v>46</v>
      </c>
      <c r="BX28" s="1">
        <f ca="1">IFERROR(__xludf.DUMMYFUNCTION("""COMPUTED_VALUE"""),46)</f>
        <v>46</v>
      </c>
      <c r="BY28" s="1">
        <f ca="1">IFERROR(__xludf.DUMMYFUNCTION("""COMPUTED_VALUE"""),46)</f>
        <v>46</v>
      </c>
      <c r="BZ28" s="1">
        <f ca="1">IFERROR(__xludf.DUMMYFUNCTION("""COMPUTED_VALUE"""),16)</f>
        <v>16</v>
      </c>
      <c r="CA28" s="1"/>
      <c r="CB28" s="1"/>
      <c r="CC28" s="1" t="str">
        <f ca="1">IFERROR(__xludf.DUMMYFUNCTION("""COMPUTED_VALUE"""),"પ્રત્યેક ઘર બને દેવમંદિર અને જ્ઞાનમંદિર : G_JS_56")</f>
        <v>પ્રત્યેક ઘર બને દેવમંદિર અને જ્ઞાનમંદિર : G_JS_56</v>
      </c>
      <c r="CD28" s="3" t="str">
        <f ca="1">IFERROR(__xludf.DUMMYFUNCTION("""COMPUTED_VALUE"""),"https://vicharkrantibooks.org/productdetail?product_id=3781")</f>
        <v>https://vicharkrantibooks.org/productdetail?product_id=3781</v>
      </c>
      <c r="CE28" s="1" t="str">
        <f ca="1">IFERROR(__xludf.DUMMYFUNCTION("""COMPUTED_VALUE"""),"Audiobook : પ્રત્યેક ઘર બને દેવમંદિર અને જ્ઞાનમંદિર : G_JS_56 : dave.chhaya@gmail.com : Recorded")</f>
        <v>Audiobook : પ્રત્યેક ઘર બને દેવમંદિર અને જ્ઞાનમંદિર : G_JS_56 : dave.chhaya@gmail.com : Recorded</v>
      </c>
      <c r="CF28" s="1" t="str">
        <f ca="1">IFERROR(__xludf.DUMMYFUNCTION("""COMPUTED_VALUE"""),"Audiobook : પ્રત્યેક ઘર બને દેવમંદિર અને જ્ઞાનમંદિર : G_JS_56 : dave.chhaya@gmail.com : Recorded")</f>
        <v>Audiobook : પ્રત્યેક ઘર બને દેવમંદિર અને જ્ઞાનમંદિર : G_JS_56 : dave.chhaya@gmail.com : Recorded</v>
      </c>
      <c r="CG28" s="1" t="str">
        <f ca="1">IFERROR(__xludf.DUMMYFUNCTION("""COMPUTED_VALUE"""),"Adarniya Chhaya Deepak Dave  ji પ્રત્યેક ઘર બને દેવમંદિર અને જ્ઞાનમંદિર : G_JS_56 : Allocated on 03-Sep-24 Contact Number  9879596556")</f>
        <v>Adarniya Chhaya Deepak Dave  ji પ્રત્યેક ઘર બને દેવમંદિર અને જ્ઞાનમંદિર : G_JS_56 : Allocated on 03-Sep-24 Contact Number  9879596556</v>
      </c>
      <c r="CH28" s="1" t="str">
        <f ca="1">IFERROR(__xludf.DUMMYFUNCTION("""COMPUTED_VALUE"""),"dave.chhaya@gmail.com : પ્રત્યેક ઘર બને દેવમંદિર અને જ્ઞાનમંદિર : G_JS_56")</f>
        <v>dave.chhaya@gmail.com : પ્રત્યેક ઘર બને દેવમંદિર અને જ્ઞાનમંદિર : G_JS_56</v>
      </c>
      <c r="CI28" s="5">
        <f ca="1">IFERROR(__xludf.DUMMYFUNCTION("""COMPUTED_VALUE"""),45538.7481722685)</f>
        <v>45538.748172268497</v>
      </c>
    </row>
    <row r="29" spans="1:87" x14ac:dyDescent="0.25">
      <c r="A29" s="5">
        <f ca="1">IFERROR(__xludf.DUMMYFUNCTION("""COMPUTED_VALUE"""),45537.8320566782)</f>
        <v>45537.832056678199</v>
      </c>
      <c r="B29" s="1" t="str">
        <f ca="1">IFERROR(__xludf.DUMMYFUNCTION("""COMPUTED_VALUE"""),"vishal22384.bhanti@gmail.com")</f>
        <v>vishal22384.bhanti@gmail.com</v>
      </c>
      <c r="C29" s="1" t="str">
        <f ca="1">IFERROR(__xludf.DUMMYFUNCTION("""COMPUTED_VALUE"""),"Vishal Bhanti")</f>
        <v>Vishal Bhanti</v>
      </c>
      <c r="D29" s="1">
        <f ca="1">IFERROR(__xludf.DUMMYFUNCTION("""COMPUTED_VALUE"""),7875549380)</f>
        <v>7875549380</v>
      </c>
      <c r="E29" s="1" t="str">
        <f ca="1">IFERROR(__xludf.DUMMYFUNCTION("""COMPUTED_VALUE"""),"Artificial Intelligence")</f>
        <v>Artificial Intelligence</v>
      </c>
      <c r="F29" s="1" t="str">
        <f ca="1">IFERROR(__xludf.DUMMYFUNCTION("""COMPUTED_VALUE"""),"English")</f>
        <v>English</v>
      </c>
      <c r="G29" s="1" t="str">
        <f ca="1">IFERROR(__xludf.DUMMYFUNCTION("""COMPUTED_VALUE"""),"अध्यात्म, धर्म एवं दर्शन")</f>
        <v>अध्यात्म, धर्म एवं दर्शन</v>
      </c>
      <c r="H29" s="1" t="str">
        <f ca="1">IFERROR(__xludf.DUMMYFUNCTION("""COMPUTED_VALUE"""),"अध्यात्म, धर्म एवं आस्तिकता")</f>
        <v>अध्यात्म, धर्म एवं आस्तिकता</v>
      </c>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f ca="1">IFERROR(__xludf.DUMMYFUNCTION("""COMPUTED_VALUE"""),2)</f>
        <v>2</v>
      </c>
      <c r="BX29" s="1">
        <f ca="1">IFERROR(__xludf.DUMMYFUNCTION("""COMPUTED_VALUE"""),2)</f>
        <v>2</v>
      </c>
      <c r="BY29" s="1">
        <f ca="1">IFERROR(__xludf.DUMMYFUNCTION("""COMPUTED_VALUE"""),2)</f>
        <v>2</v>
      </c>
      <c r="BZ29" s="1">
        <f ca="1">IFERROR(__xludf.DUMMYFUNCTION("""COMPUTED_VALUE"""),0)</f>
        <v>0</v>
      </c>
      <c r="CA29" s="1"/>
      <c r="CB29" s="1"/>
      <c r="CC29" s="1" t="str">
        <f ca="1">IFERROR(__xludf.DUMMYFUNCTION("""COMPUTED_VALUE"""),"In The Angelic Light Of Rishi Thoughts 5 : EP_70_5")</f>
        <v>In The Angelic Light Of Rishi Thoughts 5 : EP_70_5</v>
      </c>
      <c r="CD29" s="3" t="str">
        <f ca="1">IFERROR(__xludf.DUMMYFUNCTION("""COMPUTED_VALUE"""),"https://vicharkrantibooks.org/productdetail?book_name=ENGP0716_IN_THE_ANGELIC_LIGHT_OF_RISHI_THOUGHTS_5_xxyyyy&amp;product_id=3464")</f>
        <v>https://vicharkrantibooks.org/productdetail?book_name=ENGP0716_IN_THE_ANGELIC_LIGHT_OF_RISHI_THOUGHTS_5_xxyyyy&amp;product_id=3464</v>
      </c>
      <c r="CE29" s="1" t="str">
        <f ca="1">IFERROR(__xludf.DUMMYFUNCTION("""COMPUTED_VALUE"""),"Audiobook : In The Angelic Light Of Rishi Thoughts 5 : EP_70_5 : vishal22384.bhanti@gmail.com : Recorded")</f>
        <v>Audiobook : In The Angelic Light Of Rishi Thoughts 5 : EP_70_5 : vishal22384.bhanti@gmail.com : Recorded</v>
      </c>
      <c r="CF29" s="1" t="str">
        <f ca="1">IFERROR(__xludf.DUMMYFUNCTION("""COMPUTED_VALUE"""),"#N/A")</f>
        <v>#N/A</v>
      </c>
      <c r="CG29" s="1" t="str">
        <f ca="1">IFERROR(__xludf.DUMMYFUNCTION("""COMPUTED_VALUE"""),"Adarniya Vishal Bhanti ji In The Angelic Light Of Rishi Thoughts 5 : EP_70_5 : Allocated on 02-Sep-24 Contact Number  7875549380")</f>
        <v>Adarniya Vishal Bhanti ji In The Angelic Light Of Rishi Thoughts 5 : EP_70_5 : Allocated on 02-Sep-24 Contact Number  7875549380</v>
      </c>
      <c r="CH29" s="1" t="str">
        <f ca="1">IFERROR(__xludf.DUMMYFUNCTION("""COMPUTED_VALUE"""),"vishal22384.bhanti@gmail.com : In The Angelic Light Of Rishi Thoughts 5 : EP_70_5")</f>
        <v>vishal22384.bhanti@gmail.com : In The Angelic Light Of Rishi Thoughts 5 : EP_70_5</v>
      </c>
      <c r="CI29" s="5">
        <f ca="1">IFERROR(__xludf.DUMMYFUNCTION("""COMPUTED_VALUE"""),45537.8320566782)</f>
        <v>45537.832056678199</v>
      </c>
    </row>
    <row r="30" spans="1:87" x14ac:dyDescent="0.25">
      <c r="A30" s="5">
        <f ca="1">IFERROR(__xludf.DUMMYFUNCTION("""COMPUTED_VALUE"""),45534.6999766319)</f>
        <v>45534.699976631899</v>
      </c>
      <c r="B30" s="1" t="str">
        <f ca="1">IFERROR(__xludf.DUMMYFUNCTION("""COMPUTED_VALUE"""),"dave.chhaya@gmail.com")</f>
        <v>dave.chhaya@gmail.com</v>
      </c>
      <c r="C30" s="1" t="str">
        <f ca="1">IFERROR(__xludf.DUMMYFUNCTION("""COMPUTED_VALUE"""),"Chhaya Deepak Dave ")</f>
        <v xml:space="preserve">Chhaya Deepak Dave </v>
      </c>
      <c r="D30" s="1">
        <f ca="1">IFERROR(__xludf.DUMMYFUNCTION("""COMPUTED_VALUE"""),9879596556)</f>
        <v>9879596556</v>
      </c>
      <c r="E30" s="1" t="str">
        <f ca="1">IFERROR(__xludf.DUMMYFUNCTION("""COMPUTED_VALUE"""),"Yes")</f>
        <v>Yes</v>
      </c>
      <c r="F30" s="1" t="str">
        <f ca="1">IFERROR(__xludf.DUMMYFUNCTION("""COMPUTED_VALUE"""),"गुजराती")</f>
        <v>गुजराती</v>
      </c>
      <c r="G30" s="1" t="str">
        <f ca="1">IFERROR(__xludf.DUMMYFUNCTION("""COMPUTED_VALUE"""),"व्यक्ति निर्माण, युवा/विद्यार्थी एवं शिक्षक")</f>
        <v>व्यक्ति निर्माण, युवा/विद्यार्थी एवं शिक्षक</v>
      </c>
      <c r="H30" s="1"/>
      <c r="I30" s="1"/>
      <c r="J30" s="1"/>
      <c r="K30" s="1"/>
      <c r="L30" s="1"/>
      <c r="M30" s="1"/>
      <c r="N30" s="1"/>
      <c r="O30" s="1"/>
      <c r="P30" s="1"/>
      <c r="Q30" s="1"/>
      <c r="R30" s="1"/>
      <c r="S30" s="1"/>
      <c r="T30" s="1" t="str">
        <f ca="1">IFERROR(__xludf.DUMMYFUNCTION("""COMPUTED_VALUE"""),"विद्यार्थी एवं शिक्षक")</f>
        <v>विद्यार्थी एवं शिक्षक</v>
      </c>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f ca="1">IFERROR(__xludf.DUMMYFUNCTION("""COMPUTED_VALUE"""),46)</f>
        <v>46</v>
      </c>
      <c r="BX30" s="1">
        <f ca="1">IFERROR(__xludf.DUMMYFUNCTION("""COMPUTED_VALUE"""),46)</f>
        <v>46</v>
      </c>
      <c r="BY30" s="1">
        <f ca="1">IFERROR(__xludf.DUMMYFUNCTION("""COMPUTED_VALUE"""),46)</f>
        <v>46</v>
      </c>
      <c r="BZ30" s="1">
        <f ca="1">IFERROR(__xludf.DUMMYFUNCTION("""COMPUTED_VALUE"""),16)</f>
        <v>16</v>
      </c>
      <c r="CA30" s="1"/>
      <c r="CB30" s="1"/>
      <c r="CC30" s="1" t="str">
        <f ca="1">IFERROR(__xludf.DUMMYFUNCTION("""COMPUTED_VALUE"""),"આપણે બદલાઈશું તો યુગ બદલાશે : G_PP_21")</f>
        <v>આપણે બદલાઈશું તો યુગ બદલાશે : G_PP_21</v>
      </c>
      <c r="CD30" s="1" t="str">
        <f ca="1">IFERROR(__xludf.DUMMYFUNCTION("""COMPUTED_VALUE"""),"https://vicharkrantibooks.org/productdetail?product_id=3926.             https://vicharkrantibooks.org/productdetail?product_id=4155")</f>
        <v>https://vicharkrantibooks.org/productdetail?product_id=3926.             https://vicharkrantibooks.org/productdetail?product_id=4155</v>
      </c>
      <c r="CE30" s="1" t="str">
        <f ca="1">IFERROR(__xludf.DUMMYFUNCTION("""COMPUTED_VALUE"""),"Audiobook : આપણે બદલાઈશું તો યુગ બદલાશે : G_PP_21 : dave.chhaya@gmail.com : Recorded")</f>
        <v>Audiobook : આપણે બદલાઈશું તો યુગ બદલાશે : G_PP_21 : dave.chhaya@gmail.com : Recorded</v>
      </c>
      <c r="CF30" s="1" t="str">
        <f ca="1">IFERROR(__xludf.DUMMYFUNCTION("""COMPUTED_VALUE"""),"Audiobook : આપણે બદલાઈશું તો યુગ બદલાશે : G_PP_21 : dave.chhaya@gmail.com : Recorded")</f>
        <v>Audiobook : આપણે બદલાઈશું તો યુગ બદલાશે : G_PP_21 : dave.chhaya@gmail.com : Recorded</v>
      </c>
      <c r="CG30" s="1" t="str">
        <f ca="1">IFERROR(__xludf.DUMMYFUNCTION("""COMPUTED_VALUE"""),"Adarniya Chhaya Deepak Dave  ji આપણે બદલાઈશું તો યુગ બદલાશે : G_PP_21 : Allocated on 30-Aug-24 Contact Number  9879596556")</f>
        <v>Adarniya Chhaya Deepak Dave  ji આપણે બદલાઈશું તો યુગ બદલાશે : G_PP_21 : Allocated on 30-Aug-24 Contact Number  9879596556</v>
      </c>
      <c r="CH30" s="1" t="str">
        <f ca="1">IFERROR(__xludf.DUMMYFUNCTION("""COMPUTED_VALUE"""),"dave.chhaya@gmail.com : આપણે બદલાઈશું તો યુગ બદલાશે : G_PP_21")</f>
        <v>dave.chhaya@gmail.com : આપણે બદલાઈશું તો યુગ બદલાશે : G_PP_21</v>
      </c>
      <c r="CI30" s="5">
        <f ca="1">IFERROR(__xludf.DUMMYFUNCTION("""COMPUTED_VALUE"""),45534.6999766319)</f>
        <v>45534.699976631899</v>
      </c>
    </row>
    <row r="31" spans="1:87" x14ac:dyDescent="0.25">
      <c r="A31" s="5">
        <f ca="1">IFERROR(__xludf.DUMMYFUNCTION("""COMPUTED_VALUE"""),45534.6682756481)</f>
        <v>45534.668275648102</v>
      </c>
      <c r="B31" s="1" t="str">
        <f ca="1">IFERROR(__xludf.DUMMYFUNCTION("""COMPUTED_VALUE"""),"drbrpraj@gmail.com")</f>
        <v>drbrpraj@gmail.com</v>
      </c>
      <c r="C31" s="1" t="str">
        <f ca="1">IFERROR(__xludf.DUMMYFUNCTION("""COMPUTED_VALUE"""),"Dr. Baidyanath Ram Prajapati")</f>
        <v>Dr. Baidyanath Ram Prajapati</v>
      </c>
      <c r="D31" s="1" t="str">
        <f ca="1">IFERROR(__xludf.DUMMYFUNCTION("""COMPUTED_VALUE"""),"09811724821")</f>
        <v>09811724821</v>
      </c>
      <c r="E31" s="1" t="str">
        <f ca="1">IFERROR(__xludf.DUMMYFUNCTION("""COMPUTED_VALUE"""),"Yes")</f>
        <v>Yes</v>
      </c>
      <c r="F31" s="1" t="str">
        <f ca="1">IFERROR(__xludf.DUMMYFUNCTION("""COMPUTED_VALUE"""),"हिन्दी")</f>
        <v>हिन्दी</v>
      </c>
      <c r="G31" s="1" t="str">
        <f ca="1">IFERROR(__xludf.DUMMYFUNCTION("""COMPUTED_VALUE"""),"अध्यात्म, धर्म एवं दर्शन")</f>
        <v>अध्यात्म, धर्म एवं दर्शन</v>
      </c>
      <c r="H31" s="1" t="str">
        <f ca="1">IFERROR(__xludf.DUMMYFUNCTION("""COMPUTED_VALUE"""),"अध्यात्म, धर्म एवं आस्तिकता")</f>
        <v>अध्यात्म, धर्म एवं आस्तिकता</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f ca="1">IFERROR(__xludf.DUMMYFUNCTION("""COMPUTED_VALUE"""),8)</f>
        <v>8</v>
      </c>
      <c r="BX31" s="1">
        <f ca="1">IFERROR(__xludf.DUMMYFUNCTION("""COMPUTED_VALUE"""),9)</f>
        <v>9</v>
      </c>
      <c r="BY31" s="1">
        <f ca="1">IFERROR(__xludf.DUMMYFUNCTION("""COMPUTED_VALUE"""),20)</f>
        <v>20</v>
      </c>
      <c r="BZ31" s="1">
        <f ca="1">IFERROR(__xludf.DUMMYFUNCTION("""COMPUTED_VALUE"""),1)</f>
        <v>1</v>
      </c>
      <c r="CA31" s="1"/>
      <c r="CB31" s="1"/>
      <c r="CC31" s="1" t="str">
        <f ca="1">IFERROR(__xludf.DUMMYFUNCTION("""COMPUTED_VALUE"""),"आत्मिकी का पुनर्जीवन आजका यु्गधर्म : Rare Book")</f>
        <v>आत्मिकी का पुनर्जीवन आजका यु्गधर्म : Rare Book</v>
      </c>
      <c r="CD31" s="3" t="str">
        <f ca="1">IFERROR(__xludf.DUMMYFUNCTION("""COMPUTED_VALUE"""),"https://vicharkrantibooks.org/productdetail?book_name=HINF0055_ATMIKI_KA_PUNARJIVAN_AJAKA_YUGADHARM_xxyyyy&amp;product_id=275")</f>
        <v>https://vicharkrantibooks.org/productdetail?book_name=HINF0055_ATMIKI_KA_PUNARJIVAN_AJAKA_YUGADHARM_xxyyyy&amp;product_id=275</v>
      </c>
      <c r="CE31" s="1" t="str">
        <f ca="1">IFERROR(__xludf.DUMMYFUNCTION("""COMPUTED_VALUE"""),"Audiobook : आत्मिकी का पुनर्जीवन आजका यु्गधर्म : Rare Book : drbrpraj@gmail.com : Recorded")</f>
        <v>Audiobook : आत्मिकी का पुनर्जीवन आजका यु्गधर्म : Rare Book : drbrpraj@gmail.com : Recorded</v>
      </c>
      <c r="CF31" s="1" t="str">
        <f ca="1">IFERROR(__xludf.DUMMYFUNCTION("""COMPUTED_VALUE"""),"Audiobook : आत्मिकी का पुनर्जीवन आजका यु्गधर्म : Rare Book : drbrpraj@gmail.com : Recorded")</f>
        <v>Audiobook : आत्मिकी का पुनर्जीवन आजका यु्गधर्म : Rare Book : drbrpraj@gmail.com : Recorded</v>
      </c>
      <c r="CG31" s="1" t="str">
        <f ca="1">IFERROR(__xludf.DUMMYFUNCTION("""COMPUTED_VALUE"""),"Adarniya Dr. Baidyanath Ram Prajapati ji आत्मिकी का पुनर्जीवन आजका यु्गधर्म : Rare Book : Allocated on 30-Aug-24 Contact Number  09811724821")</f>
        <v>Adarniya Dr. Baidyanath Ram Prajapati ji आत्मिकी का पुनर्जीवन आजका यु्गधर्म : Rare Book : Allocated on 30-Aug-24 Contact Number  09811724821</v>
      </c>
      <c r="CH31" s="1" t="str">
        <f ca="1">IFERROR(__xludf.DUMMYFUNCTION("""COMPUTED_VALUE"""),"drbrpraj@gmail.com : आत्मिकी का पुनर्जीवन आजका यु्गधर्म : Rare Book")</f>
        <v>drbrpraj@gmail.com : आत्मिकी का पुनर्जीवन आजका यु्गधर्म : Rare Book</v>
      </c>
      <c r="CI31" s="5">
        <f ca="1">IFERROR(__xludf.DUMMYFUNCTION("""COMPUTED_VALUE"""),45534.6682756481)</f>
        <v>45534.668275648102</v>
      </c>
    </row>
    <row r="32" spans="1:87" x14ac:dyDescent="0.25">
      <c r="A32" s="5">
        <f ca="1">IFERROR(__xludf.DUMMYFUNCTION("""COMPUTED_VALUE"""),45534.5283734722)</f>
        <v>45534.528373472203</v>
      </c>
      <c r="B32" s="1" t="str">
        <f ca="1">IFERROR(__xludf.DUMMYFUNCTION("""COMPUTED_VALUE"""),"alpha9sun@gmail.com")</f>
        <v>alpha9sun@gmail.com</v>
      </c>
      <c r="C32" s="1" t="str">
        <f ca="1">IFERROR(__xludf.DUMMYFUNCTION("""COMPUTED_VALUE"""),"Major Aditya Pratap Singh ")</f>
        <v xml:space="preserve">Major Aditya Pratap Singh </v>
      </c>
      <c r="D32" s="1">
        <f ca="1">IFERROR(__xludf.DUMMYFUNCTION("""COMPUTED_VALUE"""),9559716989)</f>
        <v>9559716989</v>
      </c>
      <c r="E32" s="1" t="str">
        <f ca="1">IFERROR(__xludf.DUMMYFUNCTION("""COMPUTED_VALUE"""),"Yes")</f>
        <v>Yes</v>
      </c>
      <c r="F32" s="1" t="str">
        <f ca="1">IFERROR(__xludf.DUMMYFUNCTION("""COMPUTED_VALUE"""),"हिन्दी or English")</f>
        <v>हिन्दी or English</v>
      </c>
      <c r="G32" s="1" t="str">
        <f ca="1">IFERROR(__xludf.DUMMYFUNCTION("""COMPUTED_VALUE"""),"व्यक्ति निर्माण, युवा/विद्यार्थी एवं शिक्षक")</f>
        <v>व्यक्ति निर्माण, युवा/विद्यार्थी एवं शिक्षक</v>
      </c>
      <c r="H32" s="1"/>
      <c r="I32" s="1"/>
      <c r="J32" s="1"/>
      <c r="K32" s="1"/>
      <c r="L32" s="1"/>
      <c r="M32" s="1"/>
      <c r="N32" s="1"/>
      <c r="O32" s="1"/>
      <c r="P32" s="1"/>
      <c r="Q32" s="1"/>
      <c r="R32" s="1"/>
      <c r="S32" s="1"/>
      <c r="T32" s="1" t="str">
        <f ca="1">IFERROR(__xludf.DUMMYFUNCTION("""COMPUTED_VALUE"""),"व्यक्तित्व परिष्कार")</f>
        <v>व्यक्तित्व परिष्कार</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f ca="1">IFERROR(__xludf.DUMMYFUNCTION("""COMPUTED_VALUE"""),3)</f>
        <v>3</v>
      </c>
      <c r="BX32" s="1">
        <f ca="1">IFERROR(__xludf.DUMMYFUNCTION("""COMPUTED_VALUE"""),2)</f>
        <v>2</v>
      </c>
      <c r="BY32" s="1">
        <f ca="1">IFERROR(__xludf.DUMMYFUNCTION("""COMPUTED_VALUE"""),3)</f>
        <v>3</v>
      </c>
      <c r="BZ32" s="1">
        <f ca="1">IFERROR(__xludf.DUMMYFUNCTION("""COMPUTED_VALUE"""),0)</f>
        <v>0</v>
      </c>
      <c r="CA32" s="1"/>
      <c r="CB32" s="1"/>
      <c r="CC32" s="1" t="str">
        <f ca="1">IFERROR(__xludf.DUMMYFUNCTION("""COMPUTED_VALUE"""),"Ideal Stories : EPB_140")</f>
        <v>Ideal Stories : EPB_140</v>
      </c>
      <c r="CD32" s="3" t="str">
        <f ca="1">IFERROR(__xludf.DUMMYFUNCTION("""COMPUTED_VALUE"""),"https://vicharkrantibooks.org/productdetail?book_name=ENGB0202_IDEAL_STORIES_1st2013&amp;product_id=3525")</f>
        <v>https://vicharkrantibooks.org/productdetail?book_name=ENGB0202_IDEAL_STORIES_1st2013&amp;product_id=3525</v>
      </c>
      <c r="CE32" s="1" t="str">
        <f ca="1">IFERROR(__xludf.DUMMYFUNCTION("""COMPUTED_VALUE"""),"Audiobook : Ideal Stories : EPB_140 : alpha9sun@gmail.com : Recorded")</f>
        <v>Audiobook : Ideal Stories : EPB_140 : alpha9sun@gmail.com : Recorded</v>
      </c>
      <c r="CF32" s="1" t="str">
        <f ca="1">IFERROR(__xludf.DUMMYFUNCTION("""COMPUTED_VALUE"""),"Audiobook : Ideal Stories : EPB_140 : alpha9sun@gmail.com : Recorded")</f>
        <v>Audiobook : Ideal Stories : EPB_140 : alpha9sun@gmail.com : Recorded</v>
      </c>
      <c r="CG32" s="1" t="str">
        <f ca="1">IFERROR(__xludf.DUMMYFUNCTION("""COMPUTED_VALUE"""),"Adarniya Major Aditya Pratap Singh  ji Ideal Stories : EPB_140 : Allocated on 30-Aug-24 Contact Number  9559716989")</f>
        <v>Adarniya Major Aditya Pratap Singh  ji Ideal Stories : EPB_140 : Allocated on 30-Aug-24 Contact Number  9559716989</v>
      </c>
      <c r="CH32" s="1" t="str">
        <f ca="1">IFERROR(__xludf.DUMMYFUNCTION("""COMPUTED_VALUE"""),"alpha9sun@gmail.com : Ideal Stories : EPB_140")</f>
        <v>alpha9sun@gmail.com : Ideal Stories : EPB_140</v>
      </c>
      <c r="CI32" s="5">
        <f ca="1">IFERROR(__xludf.DUMMYFUNCTION("""COMPUTED_VALUE"""),45534.5283734722)</f>
        <v>45534.528373472203</v>
      </c>
    </row>
    <row r="33" spans="1:87" x14ac:dyDescent="0.25">
      <c r="A33" s="5">
        <f ca="1">IFERROR(__xludf.DUMMYFUNCTION("""COMPUTED_VALUE"""),45533.9571351273)</f>
        <v>45533.957135127297</v>
      </c>
      <c r="B33" s="1" t="str">
        <f ca="1">IFERROR(__xludf.DUMMYFUNCTION("""COMPUTED_VALUE"""),"rekhabhagat2511@gmail.com")</f>
        <v>rekhabhagat2511@gmail.com</v>
      </c>
      <c r="C33" s="1" t="str">
        <f ca="1">IFERROR(__xludf.DUMMYFUNCTION("""COMPUTED_VALUE"""),"Rekha Bhagat ")</f>
        <v xml:space="preserve">Rekha Bhagat </v>
      </c>
      <c r="D33" s="1">
        <f ca="1">IFERROR(__xludf.DUMMYFUNCTION("""COMPUTED_VALUE"""),9424811335)</f>
        <v>9424811335</v>
      </c>
      <c r="E33" s="1" t="str">
        <f ca="1">IFERROR(__xludf.DUMMYFUNCTION("""COMPUTED_VALUE"""),"Yes")</f>
        <v>Yes</v>
      </c>
      <c r="F33" s="1" t="str">
        <f ca="1">IFERROR(__xludf.DUMMYFUNCTION("""COMPUTED_VALUE"""),"हिन्दी")</f>
        <v>हिन्दी</v>
      </c>
      <c r="G33" s="1" t="str">
        <f ca="1">IFERROR(__xludf.DUMMYFUNCTION("""COMPUTED_VALUE"""),"समग्र स्वास्थ्य")</f>
        <v>समग्र स्वास्थ्य</v>
      </c>
      <c r="H33" s="1"/>
      <c r="I33" s="1"/>
      <c r="J33" s="1"/>
      <c r="K33" s="1"/>
      <c r="L33" s="1"/>
      <c r="M33" s="1"/>
      <c r="N33" s="1"/>
      <c r="O33" s="1"/>
      <c r="P33" s="1"/>
      <c r="Q33" s="1"/>
      <c r="R33" s="1"/>
      <c r="S33" s="1"/>
      <c r="T33" s="1"/>
      <c r="U33" s="1" t="str">
        <f ca="1">IFERROR(__xludf.DUMMYFUNCTION("""COMPUTED_VALUE"""),"स्वास्थ्य संवर्धन")</f>
        <v>स्वास्थ्य संवर्धन</v>
      </c>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f ca="1">IFERROR(__xludf.DUMMYFUNCTION("""COMPUTED_VALUE"""),19)</f>
        <v>19</v>
      </c>
      <c r="BX33" s="1">
        <f ca="1">IFERROR(__xludf.DUMMYFUNCTION("""COMPUTED_VALUE"""),15)</f>
        <v>15</v>
      </c>
      <c r="BY33" s="1">
        <f ca="1">IFERROR(__xludf.DUMMYFUNCTION("""COMPUTED_VALUE"""),1)</f>
        <v>1</v>
      </c>
      <c r="BZ33" s="1">
        <f ca="1">IFERROR(__xludf.DUMMYFUNCTION("""COMPUTED_VALUE"""),4)</f>
        <v>4</v>
      </c>
      <c r="CA33" s="1"/>
      <c r="CB33" s="1"/>
      <c r="CC33" s="1" t="str">
        <f ca="1">IFERROR(__xludf.DUMMYFUNCTION("""COMPUTED_VALUE"""),"रुग्णता का मूल कारण मनोविकार : Rare Book")</f>
        <v>रुग्णता का मूल कारण मनोविकार : Rare Book</v>
      </c>
      <c r="CD33" s="3" t="str">
        <f ca="1">IFERROR(__xludf.DUMMYFUNCTION("""COMPUTED_VALUE"""),"https://vicharkrantibooks.org/productdetail?book_name=HINP0711_RUGNTA_KA_MUL_KARAN_MANOVIKAR_xx1981&amp;product_id=1276")</f>
        <v>https://vicharkrantibooks.org/productdetail?book_name=HINP0711_RUGNTA_KA_MUL_KARAN_MANOVIKAR_xx1981&amp;product_id=1276</v>
      </c>
      <c r="CE33" s="1" t="str">
        <f ca="1">IFERROR(__xludf.DUMMYFUNCTION("""COMPUTED_VALUE"""),"Audiobook : रुग्णता का मूल कारण मनोविकार : Rare Book : rekhabhagat2511@gmail.com : Recorded")</f>
        <v>Audiobook : रुग्णता का मूल कारण मनोविकार : Rare Book : rekhabhagat2511@gmail.com : Recorded</v>
      </c>
      <c r="CF33" s="1" t="str">
        <f ca="1">IFERROR(__xludf.DUMMYFUNCTION("""COMPUTED_VALUE"""),"#N/A")</f>
        <v>#N/A</v>
      </c>
      <c r="CG33" s="1" t="str">
        <f ca="1">IFERROR(__xludf.DUMMYFUNCTION("""COMPUTED_VALUE"""),"Adarniya Rekha Bhagat  ji रुग्णता का मूल कारण मनोविकार : Rare Book : Allocated on 29-Aug-24 Contact Number  9424811335")</f>
        <v>Adarniya Rekha Bhagat  ji रुग्णता का मूल कारण मनोविकार : Rare Book : Allocated on 29-Aug-24 Contact Number  9424811335</v>
      </c>
      <c r="CH33" s="1" t="str">
        <f ca="1">IFERROR(__xludf.DUMMYFUNCTION("""COMPUTED_VALUE"""),"rekhabhagat2511@gmail.com : रुग्णता का मूल कारण मनोविकार : Rare Book")</f>
        <v>rekhabhagat2511@gmail.com : रुग्णता का मूल कारण मनोविकार : Rare Book</v>
      </c>
      <c r="CI33" s="5">
        <f ca="1">IFERROR(__xludf.DUMMYFUNCTION("""COMPUTED_VALUE"""),45533.9571351273)</f>
        <v>45533.957135127297</v>
      </c>
    </row>
    <row r="34" spans="1:87" x14ac:dyDescent="0.25">
      <c r="A34" s="5">
        <f ca="1">IFERROR(__xludf.DUMMYFUNCTION("""COMPUTED_VALUE"""),45533.0117803935)</f>
        <v>45533.011780393499</v>
      </c>
      <c r="B34" s="1" t="str">
        <f ca="1">IFERROR(__xludf.DUMMYFUNCTION("""COMPUTED_VALUE"""),"daleshwary67@gmail.com")</f>
        <v>daleshwary67@gmail.com</v>
      </c>
      <c r="C34" s="1" t="str">
        <f ca="1">IFERROR(__xludf.DUMMYFUNCTION("""COMPUTED_VALUE"""),"daleshwary sharma ")</f>
        <v xml:space="preserve">daleshwary sharma </v>
      </c>
      <c r="D34" s="1">
        <f ca="1">IFERROR(__xludf.DUMMYFUNCTION("""COMPUTED_VALUE"""),8587900034)</f>
        <v>8587900034</v>
      </c>
      <c r="E34" s="1" t="str">
        <f ca="1">IFERROR(__xludf.DUMMYFUNCTION("""COMPUTED_VALUE"""),"No")</f>
        <v>No</v>
      </c>
      <c r="F34" s="1" t="str">
        <f ca="1">IFERROR(__xludf.DUMMYFUNCTION("""COMPUTED_VALUE"""),"हिन्दी")</f>
        <v>हिन्दी</v>
      </c>
      <c r="G34" s="1" t="str">
        <f ca="1">IFERROR(__xludf.DUMMYFUNCTION("""COMPUTED_VALUE"""),"गायत्री परिवार")</f>
        <v>गायत्री परिवार</v>
      </c>
      <c r="H34" s="1"/>
      <c r="I34" s="1"/>
      <c r="J34" s="1" t="str">
        <f ca="1">IFERROR(__xludf.DUMMYFUNCTION("""COMPUTED_VALUE"""),"सृजन शिल्पियों की योजनाबद्ध कार्य पद्धति")</f>
        <v>सृजन शिल्पियों की योजनाबद्ध कार्य पद्धति</v>
      </c>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f ca="1">IFERROR(__xludf.DUMMYFUNCTION("""COMPUTED_VALUE"""),15)</f>
        <v>15</v>
      </c>
      <c r="BX34" s="1">
        <f ca="1">IFERROR(__xludf.DUMMYFUNCTION("""COMPUTED_VALUE"""),4)</f>
        <v>4</v>
      </c>
      <c r="BY34" s="1">
        <f ca="1">IFERROR(__xludf.DUMMYFUNCTION("""COMPUTED_VALUE"""),14)</f>
        <v>14</v>
      </c>
      <c r="BZ34" s="1">
        <f ca="1">IFERROR(__xludf.DUMMYFUNCTION("""COMPUTED_VALUE"""),5)</f>
        <v>5</v>
      </c>
      <c r="CA34" s="1"/>
      <c r="CB34" s="1"/>
      <c r="CC34" s="1" t="str">
        <f ca="1">IFERROR(__xludf.DUMMYFUNCTION("""COMPUTED_VALUE"""),"प्राणवान प्रशिक्षण हेतु शान्तिकुंज आयें : Rare Book")</f>
        <v>प्राणवान प्रशिक्षण हेतु शान्तिकुंज आयें : Rare Book</v>
      </c>
      <c r="CD34" s="3" t="str">
        <f ca="1">IFERROR(__xludf.DUMMYFUNCTION("""COMPUTED_VALUE"""),"https://vicharkrantibooks.org/productdetail?product_id=444")</f>
        <v>https://vicharkrantibooks.org/productdetail?product_id=444</v>
      </c>
      <c r="CE34" s="1" t="str">
        <f ca="1">IFERROR(__xludf.DUMMYFUNCTION("""COMPUTED_VALUE"""),"Audiobook : प्राणवान प्रशिक्षण हेतु शान्तिकुंज आयें : Rare Book : daleshwary67@gmail.com : Recorded")</f>
        <v>Audiobook : प्राणवान प्रशिक्षण हेतु शान्तिकुंज आयें : Rare Book : daleshwary67@gmail.com : Recorded</v>
      </c>
      <c r="CF34" s="1" t="str">
        <f ca="1">IFERROR(__xludf.DUMMYFUNCTION("""COMPUTED_VALUE"""),"Audiobook : प्राणवान प्रशिक्षण हेतु शान्तिकुंज आयें : Rare Book : daleshwary67@gmail.com : Recorded")</f>
        <v>Audiobook : प्राणवान प्रशिक्षण हेतु शान्तिकुंज आयें : Rare Book : daleshwary67@gmail.com : Recorded</v>
      </c>
      <c r="CG34" s="1" t="str">
        <f ca="1">IFERROR(__xludf.DUMMYFUNCTION("""COMPUTED_VALUE"""),"Adarniya daleshwary sharma  ji प्राणवान प्रशिक्षण हेतु शान्तिकुंज आयें : Rare Book : Allocated on 29-Aug-24 Contact Number  8587900034")</f>
        <v>Adarniya daleshwary sharma  ji प्राणवान प्रशिक्षण हेतु शान्तिकुंज आयें : Rare Book : Allocated on 29-Aug-24 Contact Number  8587900034</v>
      </c>
      <c r="CH34" s="1" t="str">
        <f ca="1">IFERROR(__xludf.DUMMYFUNCTION("""COMPUTED_VALUE"""),"daleshwary67@gmail.com : प्राणवान प्रशिक्षण हेतु शान्तिकुंज आयें : Rare Book")</f>
        <v>daleshwary67@gmail.com : प्राणवान प्रशिक्षण हेतु शान्तिकुंज आयें : Rare Book</v>
      </c>
      <c r="CI34" s="5">
        <f ca="1">IFERROR(__xludf.DUMMYFUNCTION("""COMPUTED_VALUE"""),45533.0117803935)</f>
        <v>45533.011780393499</v>
      </c>
    </row>
    <row r="35" spans="1:87" x14ac:dyDescent="0.25">
      <c r="A35" s="5">
        <f ca="1">IFERROR(__xludf.DUMMYFUNCTION("""COMPUTED_VALUE"""),45532.6432927083)</f>
        <v>45532.643292708301</v>
      </c>
      <c r="B35" s="1" t="str">
        <f ca="1">IFERROR(__xludf.DUMMYFUNCTION("""COMPUTED_VALUE"""),"guptarakhi072@gmail.com")</f>
        <v>guptarakhi072@gmail.com</v>
      </c>
      <c r="C35" s="1" t="str">
        <f ca="1">IFERROR(__xludf.DUMMYFUNCTION("""COMPUTED_VALUE"""),"Rakhi Gupta ")</f>
        <v xml:space="preserve">Rakhi Gupta </v>
      </c>
      <c r="D35" s="1">
        <f ca="1">IFERROR(__xludf.DUMMYFUNCTION("""COMPUTED_VALUE"""),8128540757)</f>
        <v>8128540757</v>
      </c>
      <c r="E35" s="1" t="str">
        <f ca="1">IFERROR(__xludf.DUMMYFUNCTION("""COMPUTED_VALUE"""),"Yes")</f>
        <v>Yes</v>
      </c>
      <c r="F35" s="1" t="str">
        <f ca="1">IFERROR(__xludf.DUMMYFUNCTION("""COMPUTED_VALUE"""),"हिन्दी")</f>
        <v>हिन्दी</v>
      </c>
      <c r="G35" s="1" t="str">
        <f ca="1">IFERROR(__xludf.DUMMYFUNCTION("""COMPUTED_VALUE"""),"पर्यावरण संरक्षण")</f>
        <v>पर्यावरण संरक्षण</v>
      </c>
      <c r="H35" s="1"/>
      <c r="I35" s="1"/>
      <c r="J35" s="1"/>
      <c r="K35" s="1"/>
      <c r="L35" s="1"/>
      <c r="M35" s="1"/>
      <c r="N35" s="1" t="str">
        <f ca="1">IFERROR(__xludf.DUMMYFUNCTION("""COMPUTED_VALUE"""),"पर्यावरण संरक्षण")</f>
        <v>पर्यावरण संरक्षण</v>
      </c>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f ca="1">IFERROR(__xludf.DUMMYFUNCTION("""COMPUTED_VALUE"""),21)</f>
        <v>21</v>
      </c>
      <c r="BX35" s="1">
        <f ca="1">IFERROR(__xludf.DUMMYFUNCTION("""COMPUTED_VALUE"""),20)</f>
        <v>20</v>
      </c>
      <c r="BY35" s="1">
        <f ca="1">IFERROR(__xludf.DUMMYFUNCTION("""COMPUTED_VALUE"""),21)</f>
        <v>21</v>
      </c>
      <c r="BZ35" s="1">
        <f ca="1">IFERROR(__xludf.DUMMYFUNCTION("""COMPUTED_VALUE"""),14)</f>
        <v>14</v>
      </c>
      <c r="CA35" s="1"/>
      <c r="CB35" s="1"/>
      <c r="CC35" s="1" t="str">
        <f ca="1">IFERROR(__xludf.DUMMYFUNCTION("""COMPUTED_VALUE"""),"हरीतिमा से स्नेह बढायें, फूल उगायें : Rare Book")</f>
        <v>हरीतिमा से स्नेह बढायें, फूल उगायें : Rare Book</v>
      </c>
      <c r="CD35" s="3" t="str">
        <f ca="1">IFERROR(__xludf.DUMMYFUNCTION("""COMPUTED_VALUE"""),"https://vicharkrantibooks.org/productdetail?book_name=HINF0113_HARITIMA_SE_SNEH_BADHAYEN_PHOOL_UGAYE_xxyyyy&amp;product_id=333")</f>
        <v>https://vicharkrantibooks.org/productdetail?book_name=HINF0113_HARITIMA_SE_SNEH_BADHAYEN_PHOOL_UGAYE_xxyyyy&amp;product_id=333</v>
      </c>
      <c r="CE35" s="1" t="str">
        <f ca="1">IFERROR(__xludf.DUMMYFUNCTION("""COMPUTED_VALUE"""),"Audiobook : हरीतिमा से स्नेह बढायें, फूल उगायें : Rare Book : guptarakhi072@gmail.com : Recorded")</f>
        <v>Audiobook : हरीतिमा से स्नेह बढायें, फूल उगायें : Rare Book : guptarakhi072@gmail.com : Recorded</v>
      </c>
      <c r="CF35" s="1" t="str">
        <f ca="1">IFERROR(__xludf.DUMMYFUNCTION("""COMPUTED_VALUE"""),"Audiobook : हरीतिमा से स्नेह बढायें, फूल उगायें : Rare Book : guptarakhi072@gmail.com : Recorded")</f>
        <v>Audiobook : हरीतिमा से स्नेह बढायें, फूल उगायें : Rare Book : guptarakhi072@gmail.com : Recorded</v>
      </c>
      <c r="CG35" s="1" t="str">
        <f ca="1">IFERROR(__xludf.DUMMYFUNCTION("""COMPUTED_VALUE"""),"Adarniya Rakhi Gupta  ji हरीतिमा से स्नेह बढायें, फूल उगायें : Rare Book : Allocated on 28-Aug-24 Contact Number  8128540757")</f>
        <v>Adarniya Rakhi Gupta  ji हरीतिमा से स्नेह बढायें, फूल उगायें : Rare Book : Allocated on 28-Aug-24 Contact Number  8128540757</v>
      </c>
      <c r="CH35" s="1" t="str">
        <f ca="1">IFERROR(__xludf.DUMMYFUNCTION("""COMPUTED_VALUE"""),"guptarakhi072@gmail.com : हरीतिमा से स्नेह बढायें, फूल उगायें : Rare Book")</f>
        <v>guptarakhi072@gmail.com : हरीतिमा से स्नेह बढायें, फूल उगायें : Rare Book</v>
      </c>
      <c r="CI35" s="5">
        <f ca="1">IFERROR(__xludf.DUMMYFUNCTION("""COMPUTED_VALUE"""),45532.6432927083)</f>
        <v>45532.643292708301</v>
      </c>
    </row>
    <row r="36" spans="1:87" x14ac:dyDescent="0.25">
      <c r="A36" s="5">
        <f ca="1">IFERROR(__xludf.DUMMYFUNCTION("""COMPUTED_VALUE"""),45531.8224543518)</f>
        <v>45531.822454351801</v>
      </c>
      <c r="B36" s="1" t="str">
        <f ca="1">IFERROR(__xludf.DUMMYFUNCTION("""COMPUTED_VALUE"""),"chinmaythakre5@gmail.com")</f>
        <v>chinmaythakre5@gmail.com</v>
      </c>
      <c r="C36" s="1" t="str">
        <f ca="1">IFERROR(__xludf.DUMMYFUNCTION("""COMPUTED_VALUE"""),"Chinmay thakare")</f>
        <v>Chinmay thakare</v>
      </c>
      <c r="D36" s="1">
        <f ca="1">IFERROR(__xludf.DUMMYFUNCTION("""COMPUTED_VALUE"""),9137649808)</f>
        <v>9137649808</v>
      </c>
      <c r="E36" s="1" t="str">
        <f ca="1">IFERROR(__xludf.DUMMYFUNCTION("""COMPUTED_VALUE"""),"Artificial Intelligence")</f>
        <v>Artificial Intelligence</v>
      </c>
      <c r="F36" s="1" t="str">
        <f ca="1">IFERROR(__xludf.DUMMYFUNCTION("""COMPUTED_VALUE"""),"English")</f>
        <v>English</v>
      </c>
      <c r="G36" s="1" t="str">
        <f ca="1">IFERROR(__xludf.DUMMYFUNCTION("""COMPUTED_VALUE"""),"English")</f>
        <v>English</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f ca="1">IFERROR(__xludf.DUMMYFUNCTION("""COMPUTED_VALUE"""),1)</f>
        <v>1</v>
      </c>
      <c r="BX36" s="1">
        <f ca="1">IFERROR(__xludf.DUMMYFUNCTION("""COMPUTED_VALUE"""),1)</f>
        <v>1</v>
      </c>
      <c r="BY36" s="1">
        <f ca="1">IFERROR(__xludf.DUMMYFUNCTION("""COMPUTED_VALUE"""),1)</f>
        <v>1</v>
      </c>
      <c r="BZ36" s="1">
        <f ca="1">IFERROR(__xludf.DUMMYFUNCTION("""COMPUTED_VALUE"""),0)</f>
        <v>0</v>
      </c>
      <c r="CA36" s="1"/>
      <c r="CB36" s="1"/>
      <c r="CC36" s="1" t="str">
        <f ca="1">IFERROR(__xludf.DUMMYFUNCTION("""COMPUTED_VALUE"""),"In The Angelic Light Of Rishi Thoughts 6 : EP_70_6")</f>
        <v>In The Angelic Light Of Rishi Thoughts 6 : EP_70_6</v>
      </c>
      <c r="CD36" s="3" t="str">
        <f ca="1">IFERROR(__xludf.DUMMYFUNCTION("""COMPUTED_VALUE"""),"https://vicharkrantibooks.org/productdetail?book_name=ENGP0717_IN_THE_ANGELIC_LIGHT_OF_RISHI_THOUGHTS_6_xxyyyy&amp;product_id=3465")</f>
        <v>https://vicharkrantibooks.org/productdetail?book_name=ENGP0717_IN_THE_ANGELIC_LIGHT_OF_RISHI_THOUGHTS_6_xxyyyy&amp;product_id=3465</v>
      </c>
      <c r="CE36" s="1" t="str">
        <f ca="1">IFERROR(__xludf.DUMMYFUNCTION("""COMPUTED_VALUE"""),"Audiobook : In The Angelic Light Of Rishi Thoughts 6 : EP_70_6 : chinmaythakre5@gmail.com : Recorded")</f>
        <v>Audiobook : In The Angelic Light Of Rishi Thoughts 6 : EP_70_6 : chinmaythakre5@gmail.com : Recorded</v>
      </c>
      <c r="CF36" s="1" t="str">
        <f ca="1">IFERROR(__xludf.DUMMYFUNCTION("""COMPUTED_VALUE"""),"#N/A")</f>
        <v>#N/A</v>
      </c>
      <c r="CG36" s="1" t="str">
        <f ca="1">IFERROR(__xludf.DUMMYFUNCTION("""COMPUTED_VALUE"""),"Adarniya Chinmay thakare ji In The Angelic Light Of Rishi Thoughts 6 : EP_70_6 : Allocated on 27-Aug-24 Contact Number  9137649808")</f>
        <v>Adarniya Chinmay thakare ji In The Angelic Light Of Rishi Thoughts 6 : EP_70_6 : Allocated on 27-Aug-24 Contact Number  9137649808</v>
      </c>
      <c r="CH36" s="1" t="str">
        <f ca="1">IFERROR(__xludf.DUMMYFUNCTION("""COMPUTED_VALUE"""),"chinmaythakre5@gmail.com : In The Angelic Light Of Rishi Thoughts 6 : EP_70_6")</f>
        <v>chinmaythakre5@gmail.com : In The Angelic Light Of Rishi Thoughts 6 : EP_70_6</v>
      </c>
      <c r="CI36" s="5">
        <f ca="1">IFERROR(__xludf.DUMMYFUNCTION("""COMPUTED_VALUE"""),45531.8224543518)</f>
        <v>45531.822454351801</v>
      </c>
    </row>
    <row r="37" spans="1:87" x14ac:dyDescent="0.25">
      <c r="A37" s="5">
        <f ca="1">IFERROR(__xludf.DUMMYFUNCTION("""COMPUTED_VALUE"""),45531.7209544675)</f>
        <v>45531.720954467499</v>
      </c>
      <c r="B37" s="1" t="str">
        <f ca="1">IFERROR(__xludf.DUMMYFUNCTION("""COMPUTED_VALUE"""),"dave.chhaya@gmail.com")</f>
        <v>dave.chhaya@gmail.com</v>
      </c>
      <c r="C37" s="1" t="str">
        <f ca="1">IFERROR(__xludf.DUMMYFUNCTION("""COMPUTED_VALUE"""),"Chhaya Deepak Dave ")</f>
        <v xml:space="preserve">Chhaya Deepak Dave </v>
      </c>
      <c r="D37" s="1">
        <f ca="1">IFERROR(__xludf.DUMMYFUNCTION("""COMPUTED_VALUE"""),9879596556)</f>
        <v>9879596556</v>
      </c>
      <c r="E37" s="1" t="str">
        <f ca="1">IFERROR(__xludf.DUMMYFUNCTION("""COMPUTED_VALUE"""),"Yes")</f>
        <v>Yes</v>
      </c>
      <c r="F37" s="1" t="str">
        <f ca="1">IFERROR(__xludf.DUMMYFUNCTION("""COMPUTED_VALUE"""),"गुजराती")</f>
        <v>गुजराती</v>
      </c>
      <c r="G37" s="1" t="str">
        <f ca="1">IFERROR(__xludf.DUMMYFUNCTION("""COMPUTED_VALUE"""),"समग्र स्वास्थ्य")</f>
        <v>समग्र स्वास्थ्य</v>
      </c>
      <c r="H37" s="1"/>
      <c r="I37" s="1"/>
      <c r="J37" s="1"/>
      <c r="K37" s="1"/>
      <c r="L37" s="1"/>
      <c r="M37" s="1"/>
      <c r="N37" s="1"/>
      <c r="O37" s="1"/>
      <c r="P37" s="1"/>
      <c r="Q37" s="1"/>
      <c r="R37" s="1"/>
      <c r="S37" s="1"/>
      <c r="T37" s="1"/>
      <c r="U37" s="1" t="str">
        <f ca="1">IFERROR(__xludf.DUMMYFUNCTION("""COMPUTED_VALUE"""),"मानसिक स्वास्थ्य")</f>
        <v>मानसिक स्वास्थ्य</v>
      </c>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f ca="1">IFERROR(__xludf.DUMMYFUNCTION("""COMPUTED_VALUE"""),46)</f>
        <v>46</v>
      </c>
      <c r="BX37" s="1">
        <f ca="1">IFERROR(__xludf.DUMMYFUNCTION("""COMPUTED_VALUE"""),46)</f>
        <v>46</v>
      </c>
      <c r="BY37" s="1">
        <f ca="1">IFERROR(__xludf.DUMMYFUNCTION("""COMPUTED_VALUE"""),46)</f>
        <v>46</v>
      </c>
      <c r="BZ37" s="1">
        <f ca="1">IFERROR(__xludf.DUMMYFUNCTION("""COMPUTED_VALUE"""),16)</f>
        <v>16</v>
      </c>
      <c r="CA37" s="1"/>
      <c r="CB37" s="1"/>
      <c r="CC37" s="1" t="str">
        <f ca="1">IFERROR(__xludf.DUMMYFUNCTION("""COMPUTED_VALUE"""),"મદ્યપાન અકાળ મૃત્યુંનું કારણ : G_PP_54")</f>
        <v>મદ્યપાન અકાળ મૃત્યુંનું કારણ : G_PP_54</v>
      </c>
      <c r="CD37" s="3" t="str">
        <f ca="1">IFERROR(__xludf.DUMMYFUNCTION("""COMPUTED_VALUE"""),"https://vicharkrantibooks.org/productdetail?product_id=3959")</f>
        <v>https://vicharkrantibooks.org/productdetail?product_id=3959</v>
      </c>
      <c r="CE37" s="1" t="str">
        <f ca="1">IFERROR(__xludf.DUMMYFUNCTION("""COMPUTED_VALUE"""),"Audiobook : મદ્યપાન અકાળ મૃત્યુંનું કારણ : G_PP_54 : dave.chhaya@gmail.com : Recorded")</f>
        <v>Audiobook : મદ્યપાન અકાળ મૃત્યુંનું કારણ : G_PP_54 : dave.chhaya@gmail.com : Recorded</v>
      </c>
      <c r="CF37" s="1" t="str">
        <f ca="1">IFERROR(__xludf.DUMMYFUNCTION("""COMPUTED_VALUE"""),"Audiobook : મદ્યપાન અકાળ મૃત્યુંનું કારણ : G_PP_54 : dave.chhaya@gmail.com : Recorded")</f>
        <v>Audiobook : મદ્યપાન અકાળ મૃત્યુંનું કારણ : G_PP_54 : dave.chhaya@gmail.com : Recorded</v>
      </c>
      <c r="CG37" s="1" t="str">
        <f ca="1">IFERROR(__xludf.DUMMYFUNCTION("""COMPUTED_VALUE"""),"Adarniya Chhaya Deepak Dave  ji મદ્યપાન અકાળ મૃત્યુંનું કારણ : G_PP_54 : Allocated on 27-Aug-24 Contact Number  9879596556")</f>
        <v>Adarniya Chhaya Deepak Dave  ji મદ્યપાન અકાળ મૃત્યુંનું કારણ : G_PP_54 : Allocated on 27-Aug-24 Contact Number  9879596556</v>
      </c>
      <c r="CH37" s="1" t="str">
        <f ca="1">IFERROR(__xludf.DUMMYFUNCTION("""COMPUTED_VALUE"""),"dave.chhaya@gmail.com : મદ્યપાન અકાળ મૃત્યુંનું કારણ : G_PP_54")</f>
        <v>dave.chhaya@gmail.com : મદ્યપાન અકાળ મૃત્યુંનું કારણ : G_PP_54</v>
      </c>
      <c r="CI37" s="5">
        <f ca="1">IFERROR(__xludf.DUMMYFUNCTION("""COMPUTED_VALUE"""),45531.7209544675)</f>
        <v>45531.720954467499</v>
      </c>
    </row>
    <row r="38" spans="1:87" x14ac:dyDescent="0.25">
      <c r="A38" s="5">
        <f ca="1">IFERROR(__xludf.DUMMYFUNCTION("""COMPUTED_VALUE"""),45529.8022569791)</f>
        <v>45529.802256979099</v>
      </c>
      <c r="B38" s="1" t="str">
        <f ca="1">IFERROR(__xludf.DUMMYFUNCTION("""COMPUTED_VALUE"""),"sheetal.jais30@gmail.com")</f>
        <v>sheetal.jais30@gmail.com</v>
      </c>
      <c r="C38" s="1" t="str">
        <f ca="1">IFERROR(__xludf.DUMMYFUNCTION("""COMPUTED_VALUE"""),"Sheetal Jaiswal")</f>
        <v>Sheetal Jaiswal</v>
      </c>
      <c r="D38" s="1">
        <f ca="1">IFERROR(__xludf.DUMMYFUNCTION("""COMPUTED_VALUE"""),9664023501)</f>
        <v>9664023501</v>
      </c>
      <c r="E38" s="1" t="str">
        <f ca="1">IFERROR(__xludf.DUMMYFUNCTION("""COMPUTED_VALUE"""),"No")</f>
        <v>No</v>
      </c>
      <c r="F38" s="1" t="str">
        <f ca="1">IFERROR(__xludf.DUMMYFUNCTION("""COMPUTED_VALUE"""),"English")</f>
        <v>English</v>
      </c>
      <c r="G38" s="1" t="str">
        <f ca="1">IFERROR(__xludf.DUMMYFUNCTION("""COMPUTED_VALUE"""),"English")</f>
        <v>English</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f ca="1">IFERROR(__xludf.DUMMYFUNCTION("""COMPUTED_VALUE"""),1)</f>
        <v>1</v>
      </c>
      <c r="BX38" s="1">
        <f ca="1">IFERROR(__xludf.DUMMYFUNCTION("""COMPUTED_VALUE"""),1)</f>
        <v>1</v>
      </c>
      <c r="BY38" s="1">
        <f ca="1">IFERROR(__xludf.DUMMYFUNCTION("""COMPUTED_VALUE"""),1)</f>
        <v>1</v>
      </c>
      <c r="BZ38" s="1">
        <f ca="1">IFERROR(__xludf.DUMMYFUNCTION("""COMPUTED_VALUE"""),0)</f>
        <v>0</v>
      </c>
      <c r="CA38" s="1"/>
      <c r="CB38" s="1"/>
      <c r="CC38" s="1" t="str">
        <f ca="1">IFERROR(__xludf.DUMMYFUNCTION("""COMPUTED_VALUE"""),"In The Angelic Light Of Rishi Thoughts 1 : EP_70_1")</f>
        <v>In The Angelic Light Of Rishi Thoughts 1 : EP_70_1</v>
      </c>
      <c r="CD38" s="3" t="str">
        <f ca="1">IFERROR(__xludf.DUMMYFUNCTION("""COMPUTED_VALUE"""),"https://vicharkrantibooks.org/productdetail?book_name=ENGP0712_IN_THE_ANGELIC_LIGHT_OF_RISHI_THOUGHTS_1_xxyyyy&amp;product_id=3460")</f>
        <v>https://vicharkrantibooks.org/productdetail?book_name=ENGP0712_IN_THE_ANGELIC_LIGHT_OF_RISHI_THOUGHTS_1_xxyyyy&amp;product_id=3460</v>
      </c>
      <c r="CE38" s="1" t="str">
        <f ca="1">IFERROR(__xludf.DUMMYFUNCTION("""COMPUTED_VALUE"""),"Audiobook : In The Angelic Light Of Rishi Thoughts 1 : EP_70_1 : sheetal.jais30@gmail.com : Recorded")</f>
        <v>Audiobook : In The Angelic Light Of Rishi Thoughts 1 : EP_70_1 : sheetal.jais30@gmail.com : Recorded</v>
      </c>
      <c r="CF38" s="1" t="str">
        <f ca="1">IFERROR(__xludf.DUMMYFUNCTION("""COMPUTED_VALUE"""),"#N/A")</f>
        <v>#N/A</v>
      </c>
      <c r="CG38" s="1" t="str">
        <f ca="1">IFERROR(__xludf.DUMMYFUNCTION("""COMPUTED_VALUE"""),"Adarniya Sheetal Jaiswal ji In The Angelic Light Of Rishi Thoughts 1 : EP_70_1 : Allocated on 25-Aug-24 Contact Number  9664023501")</f>
        <v>Adarniya Sheetal Jaiswal ji In The Angelic Light Of Rishi Thoughts 1 : EP_70_1 : Allocated on 25-Aug-24 Contact Number  9664023501</v>
      </c>
      <c r="CH38" s="1" t="str">
        <f ca="1">IFERROR(__xludf.DUMMYFUNCTION("""COMPUTED_VALUE"""),"sheetal.jais30@gmail.com : In The Angelic Light Of Rishi Thoughts 1 : EP_70_1")</f>
        <v>sheetal.jais30@gmail.com : In The Angelic Light Of Rishi Thoughts 1 : EP_70_1</v>
      </c>
      <c r="CI38" s="5">
        <f ca="1">IFERROR(__xludf.DUMMYFUNCTION("""COMPUTED_VALUE"""),45529.8022569791)</f>
        <v>45529.802256979099</v>
      </c>
    </row>
    <row r="39" spans="1:87" x14ac:dyDescent="0.25">
      <c r="A39" s="5">
        <f ca="1">IFERROR(__xludf.DUMMYFUNCTION("""COMPUTED_VALUE"""),45527.3858390277)</f>
        <v>45527.385839027702</v>
      </c>
      <c r="B39" s="1" t="str">
        <f ca="1">IFERROR(__xludf.DUMMYFUNCTION("""COMPUTED_VALUE"""),"purnima.bharadwaj.24@gmail.com")</f>
        <v>purnima.bharadwaj.24@gmail.com</v>
      </c>
      <c r="C39" s="1" t="str">
        <f ca="1">IFERROR(__xludf.DUMMYFUNCTION("""COMPUTED_VALUE"""),"पूर्णिमा भारद्वाज ")</f>
        <v xml:space="preserve">पूर्णिमा भारद्वाज </v>
      </c>
      <c r="D39" s="1">
        <f ca="1">IFERROR(__xludf.DUMMYFUNCTION("""COMPUTED_VALUE"""),9415389032)</f>
        <v>9415389032</v>
      </c>
      <c r="E39" s="1" t="str">
        <f ca="1">IFERROR(__xludf.DUMMYFUNCTION("""COMPUTED_VALUE"""),"Yes")</f>
        <v>Yes</v>
      </c>
      <c r="F39" s="1" t="str">
        <f ca="1">IFERROR(__xludf.DUMMYFUNCTION("""COMPUTED_VALUE"""),"हिन्दी")</f>
        <v>हिन्दी</v>
      </c>
      <c r="G39" s="1" t="str">
        <f ca="1">IFERROR(__xludf.DUMMYFUNCTION("""COMPUTED_VALUE"""),"भारतीय संस्कृति")</f>
        <v>भारतीय संस्कृति</v>
      </c>
      <c r="H39" s="1"/>
      <c r="I39" s="1"/>
      <c r="J39" s="1"/>
      <c r="K39" s="1"/>
      <c r="L39" s="1"/>
      <c r="M39" s="1"/>
      <c r="N39" s="1"/>
      <c r="O39" s="1" t="str">
        <f ca="1">IFERROR(__xludf.DUMMYFUNCTION("""COMPUTED_VALUE"""),"भारतीय संस्कृति")</f>
        <v>भारतीय संस्कृति</v>
      </c>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f ca="1">IFERROR(__xludf.DUMMYFUNCTION("""COMPUTED_VALUE"""),43)</f>
        <v>43</v>
      </c>
      <c r="BX39" s="1">
        <f ca="1">IFERROR(__xludf.DUMMYFUNCTION("""COMPUTED_VALUE"""),43)</f>
        <v>43</v>
      </c>
      <c r="BY39" s="1">
        <f ca="1">IFERROR(__xludf.DUMMYFUNCTION("""COMPUTED_VALUE"""),43)</f>
        <v>43</v>
      </c>
      <c r="BZ39" s="1">
        <f ca="1">IFERROR(__xludf.DUMMYFUNCTION("""COMPUTED_VALUE"""),30)</f>
        <v>30</v>
      </c>
      <c r="CA39" s="1"/>
      <c r="CB39" s="1"/>
      <c r="CC39" s="1" t="str">
        <f ca="1">IFERROR(__xludf.DUMMYFUNCTION("""COMPUTED_VALUE"""),"भारतीय धर्म का पिता-यज्ञ : Rare Book")</f>
        <v>भारतीय धर्म का पिता-यज्ञ : Rare Book</v>
      </c>
      <c r="CD39" s="3" t="str">
        <f ca="1">IFERROR(__xludf.DUMMYFUNCTION("""COMPUTED_VALUE"""),"https://vicharkrantibooks.org/productdetail?book_name=HINP0148_BHARATIY_DHARM_KA_PITA_YAGY_xxyyyy&amp;product_id=713")</f>
        <v>https://vicharkrantibooks.org/productdetail?book_name=HINP0148_BHARATIY_DHARM_KA_PITA_YAGY_xxyyyy&amp;product_id=713</v>
      </c>
      <c r="CE39" s="1" t="str">
        <f ca="1">IFERROR(__xludf.DUMMYFUNCTION("""COMPUTED_VALUE"""),"Audiobook : भारतीय धर्म का पिता-यज्ञ : Rare Book : purnima.bharadwaj.24@gmail.com : Recorded")</f>
        <v>Audiobook : भारतीय धर्म का पिता-यज्ञ : Rare Book : purnima.bharadwaj.24@gmail.com : Recorded</v>
      </c>
      <c r="CF39" s="1" t="str">
        <f ca="1">IFERROR(__xludf.DUMMYFUNCTION("""COMPUTED_VALUE"""),"#N/A")</f>
        <v>#N/A</v>
      </c>
      <c r="CG39" s="1" t="str">
        <f ca="1">IFERROR(__xludf.DUMMYFUNCTION("""COMPUTED_VALUE"""),"Adarniya पूर्णिमा भारद्वाज  ji भारतीय धर्म का पिता-यज्ञ : Rare Book : Allocated on 23-Aug-24 Contact Number  9415389032")</f>
        <v>Adarniya पूर्णिमा भारद्वाज  ji भारतीय धर्म का पिता-यज्ञ : Rare Book : Allocated on 23-Aug-24 Contact Number  9415389032</v>
      </c>
      <c r="CH39" s="1" t="str">
        <f ca="1">IFERROR(__xludf.DUMMYFUNCTION("""COMPUTED_VALUE"""),"purnima.bharadwaj.24@gmail.com : भारतीय धर्म का पिता-यज्ञ : Rare Book")</f>
        <v>purnima.bharadwaj.24@gmail.com : भारतीय धर्म का पिता-यज्ञ : Rare Book</v>
      </c>
      <c r="CI39" s="5">
        <f ca="1">IFERROR(__xludf.DUMMYFUNCTION("""COMPUTED_VALUE"""),45527.3858390277)</f>
        <v>45527.385839027702</v>
      </c>
    </row>
    <row r="40" spans="1:87" x14ac:dyDescent="0.25">
      <c r="A40" s="5">
        <f ca="1">IFERROR(__xludf.DUMMYFUNCTION("""COMPUTED_VALUE"""),45527.2940686574)</f>
        <v>45527.2940686574</v>
      </c>
      <c r="B40" s="1" t="str">
        <f ca="1">IFERROR(__xludf.DUMMYFUNCTION("""COMPUTED_VALUE"""),"shalinibaghel1923@gmail.com")</f>
        <v>shalinibaghel1923@gmail.com</v>
      </c>
      <c r="C40" s="1" t="str">
        <f ca="1">IFERROR(__xludf.DUMMYFUNCTION("""COMPUTED_VALUE"""),"Shalini Baghelker ")</f>
        <v xml:space="preserve">Shalini Baghelker </v>
      </c>
      <c r="D40" s="1">
        <f ca="1">IFERROR(__xludf.DUMMYFUNCTION("""COMPUTED_VALUE"""),6266802803)</f>
        <v>6266802803</v>
      </c>
      <c r="E40" s="1" t="str">
        <f ca="1">IFERROR(__xludf.DUMMYFUNCTION("""COMPUTED_VALUE"""),"No")</f>
        <v>No</v>
      </c>
      <c r="F40" s="1" t="str">
        <f ca="1">IFERROR(__xludf.DUMMYFUNCTION("""COMPUTED_VALUE"""),"हिन्दी")</f>
        <v>हिन्दी</v>
      </c>
      <c r="G40" s="1" t="str">
        <f ca="1">IFERROR(__xludf.DUMMYFUNCTION("""COMPUTED_VALUE"""),"जीवन प्रबंध")</f>
        <v>जीवन प्रबंध</v>
      </c>
      <c r="H40" s="1"/>
      <c r="I40" s="1"/>
      <c r="J40" s="1"/>
      <c r="K40" s="1"/>
      <c r="L40" s="1" t="str">
        <f ca="1">IFERROR(__xludf.DUMMYFUNCTION("""COMPUTED_VALUE"""),"मन की शक्ति एवं मनोविज्ञान")</f>
        <v>मन की शक्ति एवं मनोविज्ञान</v>
      </c>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f ca="1">IFERROR(__xludf.DUMMYFUNCTION("""COMPUTED_VALUE"""),4)</f>
        <v>4</v>
      </c>
      <c r="BX40" s="1">
        <f ca="1">IFERROR(__xludf.DUMMYFUNCTION("""COMPUTED_VALUE"""),1)</f>
        <v>1</v>
      </c>
      <c r="BY40" s="1">
        <f ca="1">IFERROR(__xludf.DUMMYFUNCTION("""COMPUTED_VALUE"""),1)</f>
        <v>1</v>
      </c>
      <c r="BZ40" s="1">
        <f ca="1">IFERROR(__xludf.DUMMYFUNCTION("""COMPUTED_VALUE"""),1)</f>
        <v>1</v>
      </c>
      <c r="CA40" s="1"/>
      <c r="CB40" s="1"/>
      <c r="CC40" s="1" t="str">
        <f ca="1">IFERROR(__xludf.DUMMYFUNCTION("""COMPUTED_VALUE"""),"मानवी मस्तिष्क विश्व वसुधा का प्रत्यक्ष कल्पवृक्ष : Rare Book")</f>
        <v>मानवी मस्तिष्क विश्व वसुधा का प्रत्यक्ष कल्पवृक्ष : Rare Book</v>
      </c>
      <c r="CD40" s="3" t="str">
        <f ca="1">IFERROR(__xludf.DUMMYFUNCTION("""COMPUTED_VALUE"""),"https://vicharkrantibooks.org/productdetail?book_name=HINP0505_MANAVI_MASTISHK_VISHV_VASUDHA_KA_PRATYAKSH_KALPAVRUKSH_xx1981&amp;product_id=1070")</f>
        <v>https://vicharkrantibooks.org/productdetail?book_name=HINP0505_MANAVI_MASTISHK_VISHV_VASUDHA_KA_PRATYAKSH_KALPAVRUKSH_xx1981&amp;product_id=1070</v>
      </c>
      <c r="CE40" s="1" t="str">
        <f ca="1">IFERROR(__xludf.DUMMYFUNCTION("""COMPUTED_VALUE"""),"Audiobook : मानवी मस्तिष्क विश्व वसुधा का प्रत्यक्ष कल्पवृक्ष : Rare Book : shalinibaghel1923@gmail.com : Recorded")</f>
        <v>Audiobook : मानवी मस्तिष्क विश्व वसुधा का प्रत्यक्ष कल्पवृक्ष : Rare Book : shalinibaghel1923@gmail.com : Recorded</v>
      </c>
      <c r="CF40" s="1" t="str">
        <f ca="1">IFERROR(__xludf.DUMMYFUNCTION("""COMPUTED_VALUE"""),"#N/A")</f>
        <v>#N/A</v>
      </c>
      <c r="CG40" s="1" t="str">
        <f ca="1">IFERROR(__xludf.DUMMYFUNCTION("""COMPUTED_VALUE"""),"Adarniya Shalini Baghelker  ji मानवी मस्तिष्क विश्व वसुधा का प्रत्यक्ष कल्पवृक्ष : Rare Book : Allocated on 23-Aug-24 Contact Number  6266802803")</f>
        <v>Adarniya Shalini Baghelker  ji मानवी मस्तिष्क विश्व वसुधा का प्रत्यक्ष कल्पवृक्ष : Rare Book : Allocated on 23-Aug-24 Contact Number  6266802803</v>
      </c>
      <c r="CH40" s="1" t="str">
        <f ca="1">IFERROR(__xludf.DUMMYFUNCTION("""COMPUTED_VALUE"""),"shalinibaghel1923@gmail.com : मानवी मस्तिष्क विश्व वसुधा का प्रत्यक्ष कल्पवृक्ष : Rare Book")</f>
        <v>shalinibaghel1923@gmail.com : मानवी मस्तिष्क विश्व वसुधा का प्रत्यक्ष कल्पवृक्ष : Rare Book</v>
      </c>
      <c r="CI40" s="5">
        <f ca="1">IFERROR(__xludf.DUMMYFUNCTION("""COMPUTED_VALUE"""),45527.2940686574)</f>
        <v>45527.2940686574</v>
      </c>
    </row>
    <row r="41" spans="1:87" x14ac:dyDescent="0.25">
      <c r="A41" s="5">
        <f ca="1">IFERROR(__xludf.DUMMYFUNCTION("""COMPUTED_VALUE"""),45527.292655949)</f>
        <v>45527.292655949001</v>
      </c>
      <c r="B41" s="1" t="str">
        <f ca="1">IFERROR(__xludf.DUMMYFUNCTION("""COMPUTED_VALUE"""),"jamunashukla17@gmail.com")</f>
        <v>jamunashukla17@gmail.com</v>
      </c>
      <c r="C41" s="1" t="str">
        <f ca="1">IFERROR(__xludf.DUMMYFUNCTION("""COMPUTED_VALUE"""),"Jamuna Shukla ")</f>
        <v xml:space="preserve">Jamuna Shukla </v>
      </c>
      <c r="D41" s="1">
        <f ca="1">IFERROR(__xludf.DUMMYFUNCTION("""COMPUTED_VALUE"""),8390353167)</f>
        <v>8390353167</v>
      </c>
      <c r="E41" s="1" t="str">
        <f ca="1">IFERROR(__xludf.DUMMYFUNCTION("""COMPUTED_VALUE"""),"Yes")</f>
        <v>Yes</v>
      </c>
      <c r="F41" s="1" t="str">
        <f ca="1">IFERROR(__xludf.DUMMYFUNCTION("""COMPUTED_VALUE"""),"हिन्दी")</f>
        <v>हिन्दी</v>
      </c>
      <c r="G41" s="1" t="str">
        <f ca="1">IFERROR(__xludf.DUMMYFUNCTION("""COMPUTED_VALUE"""),"युग परिवर्तन-विचार क्रांति")</f>
        <v>युग परिवर्तन-विचार क्रांति</v>
      </c>
      <c r="H41" s="1"/>
      <c r="I41" s="1"/>
      <c r="J41" s="1"/>
      <c r="K41" s="1"/>
      <c r="L41" s="1"/>
      <c r="M41" s="1"/>
      <c r="N41" s="1"/>
      <c r="O41" s="1"/>
      <c r="P41" s="1"/>
      <c r="Q41" s="1" t="str">
        <f ca="1">IFERROR(__xludf.DUMMYFUNCTION("""COMPUTED_VALUE"""),"विचार क्रांति")</f>
        <v>विचार क्रांति</v>
      </c>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f ca="1">IFERROR(__xludf.DUMMYFUNCTION("""COMPUTED_VALUE"""),53)</f>
        <v>53</v>
      </c>
      <c r="BX41" s="1">
        <f ca="1">IFERROR(__xludf.DUMMYFUNCTION("""COMPUTED_VALUE"""),3)</f>
        <v>3</v>
      </c>
      <c r="BY41" s="1">
        <f ca="1">IFERROR(__xludf.DUMMYFUNCTION("""COMPUTED_VALUE"""),39)</f>
        <v>39</v>
      </c>
      <c r="BZ41" s="1">
        <f ca="1">IFERROR(__xludf.DUMMYFUNCTION("""COMPUTED_VALUE"""),25)</f>
        <v>25</v>
      </c>
      <c r="CA41" s="1"/>
      <c r="CB41" s="1"/>
      <c r="CC41" s="1" t="str">
        <f ca="1">IFERROR(__xludf.DUMMYFUNCTION("""COMPUTED_VALUE"""),"विचार क्रांति युग की प्रमुख आवश्यकता : Rare Book")</f>
        <v>विचार क्रांति युग की प्रमुख आवश्यकता : Rare Book</v>
      </c>
      <c r="CD41" s="3" t="str">
        <f ca="1">IFERROR(__xludf.DUMMYFUNCTION("""COMPUTED_VALUE"""),"https://vicharkrantibooks.org/productdetail?book_name=HINP0961_VICHAR_KRANTI_YUG_KI_PRAMUKH_AVASHYAKATA_xx1981&amp;product_id=1526")</f>
        <v>https://vicharkrantibooks.org/productdetail?book_name=HINP0961_VICHAR_KRANTI_YUG_KI_PRAMUKH_AVASHYAKATA_xx1981&amp;product_id=1526</v>
      </c>
      <c r="CE41" s="1" t="str">
        <f ca="1">IFERROR(__xludf.DUMMYFUNCTION("""COMPUTED_VALUE"""),"Audiobook : विचार क्रांति युग की प्रमुख आवश्यकता : Rare Book : jamunashukla17@gmail.com : Recorded")</f>
        <v>Audiobook : विचार क्रांति युग की प्रमुख आवश्यकता : Rare Book : jamunashukla17@gmail.com : Recorded</v>
      </c>
      <c r="CF41" s="1" t="str">
        <f ca="1">IFERROR(__xludf.DUMMYFUNCTION("""COMPUTED_VALUE"""),"#N/A")</f>
        <v>#N/A</v>
      </c>
      <c r="CG41" s="1" t="str">
        <f ca="1">IFERROR(__xludf.DUMMYFUNCTION("""COMPUTED_VALUE"""),"Adarniya Jamuna Shukla  ji विचार क्रांति युग की प्रमुख आवश्यकता : Rare Book : Allocated on 23-Aug-24 Contact Number  8390353167")</f>
        <v>Adarniya Jamuna Shukla  ji विचार क्रांति युग की प्रमुख आवश्यकता : Rare Book : Allocated on 23-Aug-24 Contact Number  8390353167</v>
      </c>
      <c r="CH41" s="1" t="str">
        <f ca="1">IFERROR(__xludf.DUMMYFUNCTION("""COMPUTED_VALUE"""),"jamunashukla17@gmail.com : विचार क्रांति युग की प्रमुख आवश्यकता : Rare Book")</f>
        <v>jamunashukla17@gmail.com : विचार क्रांति युग की प्रमुख आवश्यकता : Rare Book</v>
      </c>
      <c r="CI41" s="5">
        <f ca="1">IFERROR(__xludf.DUMMYFUNCTION("""COMPUTED_VALUE"""),45527.292655949)</f>
        <v>45527.292655949001</v>
      </c>
    </row>
    <row r="42" spans="1:87" x14ac:dyDescent="0.25">
      <c r="A42" s="5">
        <f ca="1">IFERROR(__xludf.DUMMYFUNCTION("""COMPUTED_VALUE"""),45526.5425186574)</f>
        <v>45526.542518657399</v>
      </c>
      <c r="B42" s="1" t="str">
        <f ca="1">IFERROR(__xludf.DUMMYFUNCTION("""COMPUTED_VALUE"""),"rekhabhagat2511@gmail.com")</f>
        <v>rekhabhagat2511@gmail.com</v>
      </c>
      <c r="C42" s="1" t="str">
        <f ca="1">IFERROR(__xludf.DUMMYFUNCTION("""COMPUTED_VALUE"""),"Rekha Bhagat ")</f>
        <v xml:space="preserve">Rekha Bhagat </v>
      </c>
      <c r="D42" s="1">
        <f ca="1">IFERROR(__xludf.DUMMYFUNCTION("""COMPUTED_VALUE"""),9424811235)</f>
        <v>9424811235</v>
      </c>
      <c r="E42" s="1" t="str">
        <f ca="1">IFERROR(__xludf.DUMMYFUNCTION("""COMPUTED_VALUE"""),"Yes")</f>
        <v>Yes</v>
      </c>
      <c r="F42" s="1" t="str">
        <f ca="1">IFERROR(__xludf.DUMMYFUNCTION("""COMPUTED_VALUE"""),"हिन्दी")</f>
        <v>हिन्दी</v>
      </c>
      <c r="G42" s="1" t="str">
        <f ca="1">IFERROR(__xludf.DUMMYFUNCTION("""COMPUTED_VALUE"""),"परिवार निर्माण")</f>
        <v>परिवार निर्माण</v>
      </c>
      <c r="H42" s="1"/>
      <c r="I42" s="1"/>
      <c r="J42" s="1"/>
      <c r="K42" s="1"/>
      <c r="L42" s="1"/>
      <c r="M42" s="1" t="str">
        <f ca="1">IFERROR(__xludf.DUMMYFUNCTION("""COMPUTED_VALUE"""),"गर्भ संस्कार")</f>
        <v>गर्भ संस्कार</v>
      </c>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f ca="1">IFERROR(__xludf.DUMMYFUNCTION("""COMPUTED_VALUE"""),19)</f>
        <v>19</v>
      </c>
      <c r="BX42" s="1">
        <f ca="1">IFERROR(__xludf.DUMMYFUNCTION("""COMPUTED_VALUE"""),15)</f>
        <v>15</v>
      </c>
      <c r="BY42" s="1">
        <f ca="1">IFERROR(__xludf.DUMMYFUNCTION("""COMPUTED_VALUE"""),16)</f>
        <v>16</v>
      </c>
      <c r="BZ42" s="1">
        <f ca="1">IFERROR(__xludf.DUMMYFUNCTION("""COMPUTED_VALUE"""),4)</f>
        <v>4</v>
      </c>
      <c r="CA42" s="1"/>
      <c r="CB42" s="1"/>
      <c r="CC42" s="1" t="str">
        <f ca="1">IFERROR(__xludf.DUMMYFUNCTION("""COMPUTED_VALUE"""),"संयुक्त परिवार-एक सुरक्षित गढ़ : Rare Book")</f>
        <v>संयुक्त परिवार-एक सुरक्षित गढ़ : Rare Book</v>
      </c>
      <c r="CD42" s="3" t="str">
        <f ca="1">IFERROR(__xludf.DUMMYFUNCTION("""COMPUTED_VALUE"""),"https://vicharkrantibooks.org/productdetail?book_name=HINP0803_SANYUKT_PARIWAR_EK_SURAKSHIT_GADH_xxyyyy&amp;product_id=1368")</f>
        <v>https://vicharkrantibooks.org/productdetail?book_name=HINP0803_SANYUKT_PARIWAR_EK_SURAKSHIT_GADH_xxyyyy&amp;product_id=1368</v>
      </c>
      <c r="CE42" s="1" t="str">
        <f ca="1">IFERROR(__xludf.DUMMYFUNCTION("""COMPUTED_VALUE"""),"Audiobook : संयुक्त परिवार-एक सुरक्षित गढ़ : Rare Book : rekhabhagat2511@gmail.com : Recorded")</f>
        <v>Audiobook : संयुक्त परिवार-एक सुरक्षित गढ़ : Rare Book : rekhabhagat2511@gmail.com : Recorded</v>
      </c>
      <c r="CF42" s="1" t="str">
        <f ca="1">IFERROR(__xludf.DUMMYFUNCTION("""COMPUTED_VALUE"""),"Audiobook : संयुक्त परिवार-एक सुरक्षित गढ़ : Rare Book : rekhabhagat2511@gmail.com : Recorded")</f>
        <v>Audiobook : संयुक्त परिवार-एक सुरक्षित गढ़ : Rare Book : rekhabhagat2511@gmail.com : Recorded</v>
      </c>
      <c r="CG42" s="1" t="str">
        <f ca="1">IFERROR(__xludf.DUMMYFUNCTION("""COMPUTED_VALUE"""),"Adarniya Rekha Bhagat  ji संयुक्त परिवार-एक सुरक्षित गढ़ : Rare Book : Allocated on 22-Aug-24 Contact Number  9424811235")</f>
        <v>Adarniya Rekha Bhagat  ji संयुक्त परिवार-एक सुरक्षित गढ़ : Rare Book : Allocated on 22-Aug-24 Contact Number  9424811235</v>
      </c>
      <c r="CH42" s="1" t="str">
        <f ca="1">IFERROR(__xludf.DUMMYFUNCTION("""COMPUTED_VALUE"""),"rekhabhagat2511@gmail.com : संयुक्त परिवार-एक सुरक्षित गढ़ : Rare Book")</f>
        <v>rekhabhagat2511@gmail.com : संयुक्त परिवार-एक सुरक्षित गढ़ : Rare Book</v>
      </c>
      <c r="CI42" s="5">
        <f ca="1">IFERROR(__xludf.DUMMYFUNCTION("""COMPUTED_VALUE"""),45526.5425186574)</f>
        <v>45526.542518657399</v>
      </c>
    </row>
    <row r="43" spans="1:87" x14ac:dyDescent="0.25">
      <c r="A43" s="5">
        <f ca="1">IFERROR(__xludf.DUMMYFUNCTION("""COMPUTED_VALUE"""),45526.3258280555)</f>
        <v>45526.325828055502</v>
      </c>
      <c r="B43" s="1" t="str">
        <f ca="1">IFERROR(__xludf.DUMMYFUNCTION("""COMPUTED_VALUE"""),"guptarakhi072@gmail.com")</f>
        <v>guptarakhi072@gmail.com</v>
      </c>
      <c r="C43" s="1" t="str">
        <f ca="1">IFERROR(__xludf.DUMMYFUNCTION("""COMPUTED_VALUE"""),"Rakhi Gupta ")</f>
        <v xml:space="preserve">Rakhi Gupta </v>
      </c>
      <c r="D43" s="1">
        <f ca="1">IFERROR(__xludf.DUMMYFUNCTION("""COMPUTED_VALUE"""),8128540757)</f>
        <v>8128540757</v>
      </c>
      <c r="E43" s="1" t="str">
        <f ca="1">IFERROR(__xludf.DUMMYFUNCTION("""COMPUTED_VALUE"""),"Yes")</f>
        <v>Yes</v>
      </c>
      <c r="F43" s="1" t="str">
        <f ca="1">IFERROR(__xludf.DUMMYFUNCTION("""COMPUTED_VALUE"""),"हिन्दी")</f>
        <v>हिन्दी</v>
      </c>
      <c r="G43" s="1" t="str">
        <f ca="1">IFERROR(__xludf.DUMMYFUNCTION("""COMPUTED_VALUE"""),"पर्यावरण संरक्षण")</f>
        <v>पर्यावरण संरक्षण</v>
      </c>
      <c r="H43" s="1"/>
      <c r="I43" s="1"/>
      <c r="J43" s="1"/>
      <c r="K43" s="1"/>
      <c r="L43" s="1"/>
      <c r="M43" s="1"/>
      <c r="N43" s="1" t="str">
        <f ca="1">IFERROR(__xludf.DUMMYFUNCTION("""COMPUTED_VALUE"""),"पर्यावरण संरक्षण")</f>
        <v>पर्यावरण संरक्षण</v>
      </c>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f ca="1">IFERROR(__xludf.DUMMYFUNCTION("""COMPUTED_VALUE"""),21)</f>
        <v>21</v>
      </c>
      <c r="BX43" s="1">
        <f ca="1">IFERROR(__xludf.DUMMYFUNCTION("""COMPUTED_VALUE"""),20)</f>
        <v>20</v>
      </c>
      <c r="BY43" s="1">
        <f ca="1">IFERROR(__xludf.DUMMYFUNCTION("""COMPUTED_VALUE"""),21)</f>
        <v>21</v>
      </c>
      <c r="BZ43" s="1">
        <f ca="1">IFERROR(__xludf.DUMMYFUNCTION("""COMPUTED_VALUE"""),14)</f>
        <v>14</v>
      </c>
      <c r="CA43" s="1"/>
      <c r="CB43" s="1"/>
      <c r="CC43" s="1" t="str">
        <f ca="1">IFERROR(__xludf.DUMMYFUNCTION("""COMPUTED_VALUE"""),"हरीतिमा संवर्धन एक परम पुनीत पुण्य : Rare Book")</f>
        <v>हरीतिमा संवर्धन एक परम पुनीत पुण्य : Rare Book</v>
      </c>
      <c r="CD43" s="3" t="str">
        <f ca="1">IFERROR(__xludf.DUMMYFUNCTION("""COMPUTED_VALUE"""),"https://vicharkrantibooks.org/productdetail?book_name=HINP0346_HARITIMA_SANVARDHAN_EK_PARAM_PUNIT_PUNY_xx1981&amp;product_id=911")</f>
        <v>https://vicharkrantibooks.org/productdetail?book_name=HINP0346_HARITIMA_SANVARDHAN_EK_PARAM_PUNIT_PUNY_xx1981&amp;product_id=911</v>
      </c>
      <c r="CE43" s="1" t="str">
        <f ca="1">IFERROR(__xludf.DUMMYFUNCTION("""COMPUTED_VALUE"""),"Audiobook : हरीतिमा संवर्धन एक परम पुनीत पुण्य : Rare Book : guptarakhi072@gmail.com : Recorded")</f>
        <v>Audiobook : हरीतिमा संवर्धन एक परम पुनीत पुण्य : Rare Book : guptarakhi072@gmail.com : Recorded</v>
      </c>
      <c r="CF43" s="1" t="str">
        <f ca="1">IFERROR(__xludf.DUMMYFUNCTION("""COMPUTED_VALUE"""),"Audiobook : हरीतिमा संवर्धन एक परम पुनीत पुण्य : Rare Book : guptarakhi072@gmail.com : Recorded")</f>
        <v>Audiobook : हरीतिमा संवर्धन एक परम पुनीत पुण्य : Rare Book : guptarakhi072@gmail.com : Recorded</v>
      </c>
      <c r="CG43" s="1" t="str">
        <f ca="1">IFERROR(__xludf.DUMMYFUNCTION("""COMPUTED_VALUE"""),"Adarniya Rakhi Gupta  ji हरीतिमा संवर्धन एक परम पुनीत पुण्य : Rare Book : Allocated on 22-Aug-24 Contact Number  8128540757")</f>
        <v>Adarniya Rakhi Gupta  ji हरीतिमा संवर्धन एक परम पुनीत पुण्य : Rare Book : Allocated on 22-Aug-24 Contact Number  8128540757</v>
      </c>
      <c r="CH43" s="1" t="str">
        <f ca="1">IFERROR(__xludf.DUMMYFUNCTION("""COMPUTED_VALUE"""),"guptarakhi072@gmail.com : हरीतिमा संवर्धन एक परम पुनीत पुण्य : Rare Book")</f>
        <v>guptarakhi072@gmail.com : हरीतिमा संवर्धन एक परम पुनीत पुण्य : Rare Book</v>
      </c>
      <c r="CI43" s="5">
        <f ca="1">IFERROR(__xludf.DUMMYFUNCTION("""COMPUTED_VALUE"""),45526.3258280555)</f>
        <v>45526.325828055502</v>
      </c>
    </row>
    <row r="44" spans="1:87" x14ac:dyDescent="0.25">
      <c r="A44" s="5">
        <f ca="1">IFERROR(__xludf.DUMMYFUNCTION("""COMPUTED_VALUE"""),45525.9511860185)</f>
        <v>45525.951186018501</v>
      </c>
      <c r="B44" s="1" t="str">
        <f ca="1">IFERROR(__xludf.DUMMYFUNCTION("""COMPUTED_VALUE"""),"anu161965@gmail.com")</f>
        <v>anu161965@gmail.com</v>
      </c>
      <c r="C44" s="1" t="str">
        <f ca="1">IFERROR(__xludf.DUMMYFUNCTION("""COMPUTED_VALUE"""),"Anureeta awadh")</f>
        <v>Anureeta awadh</v>
      </c>
      <c r="D44" s="1">
        <f ca="1">IFERROR(__xludf.DUMMYFUNCTION("""COMPUTED_VALUE"""),8860314422)</f>
        <v>8860314422</v>
      </c>
      <c r="E44" s="1" t="str">
        <f ca="1">IFERROR(__xludf.DUMMYFUNCTION("""COMPUTED_VALUE"""),"Yes")</f>
        <v>Yes</v>
      </c>
      <c r="F44" s="1" t="str">
        <f ca="1">IFERROR(__xludf.DUMMYFUNCTION("""COMPUTED_VALUE"""),"हिन्दी")</f>
        <v>हिन्दी</v>
      </c>
      <c r="G44" s="1" t="str">
        <f ca="1">IFERROR(__xludf.DUMMYFUNCTION("""COMPUTED_VALUE"""),"वैज्ञानिक अध्यात्मवाद का प्रतिपादन")</f>
        <v>वैज्ञानिक अध्यात्मवाद का प्रतिपादन</v>
      </c>
      <c r="H44" s="1"/>
      <c r="I44" s="1"/>
      <c r="J44" s="1"/>
      <c r="K44" s="1"/>
      <c r="L44" s="1"/>
      <c r="M44" s="1"/>
      <c r="N44" s="1"/>
      <c r="O44" s="1"/>
      <c r="P44" s="1"/>
      <c r="Q44" s="1"/>
      <c r="R44" s="1"/>
      <c r="S44" s="1" t="str">
        <f ca="1">IFERROR(__xludf.DUMMYFUNCTION("""COMPUTED_VALUE"""),"वैज्ञानिक अध्यात्मवाद का प्रतिपादन")</f>
        <v>वैज्ञानिक अध्यात्मवाद का प्रतिपादन</v>
      </c>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f ca="1">IFERROR(__xludf.DUMMYFUNCTION("""COMPUTED_VALUE"""),24)</f>
        <v>24</v>
      </c>
      <c r="BX44" s="1">
        <f ca="1">IFERROR(__xludf.DUMMYFUNCTION("""COMPUTED_VALUE"""),22)</f>
        <v>22</v>
      </c>
      <c r="BY44" s="1">
        <f ca="1">IFERROR(__xludf.DUMMYFUNCTION("""COMPUTED_VALUE"""),22)</f>
        <v>22</v>
      </c>
      <c r="BZ44" s="1">
        <f ca="1">IFERROR(__xludf.DUMMYFUNCTION("""COMPUTED_VALUE"""),5)</f>
        <v>5</v>
      </c>
      <c r="CA44" s="1"/>
      <c r="CB44" s="1"/>
      <c r="CC44" s="1" t="str">
        <f ca="1">IFERROR(__xludf.DUMMYFUNCTION("""COMPUTED_VALUE"""),"परमार्थ में ही सच्ची ईश्वराधना : Rare Book")</f>
        <v>परमार्थ में ही सच्ची ईश्वराधना : Rare Book</v>
      </c>
      <c r="CD44" s="3" t="str">
        <f ca="1">IFERROR(__xludf.DUMMYFUNCTION("""COMPUTED_VALUE"""),"https://vicharkrantibooks.org/productdetail?book_name=HINP0617_PARAMARTH_MEIN_HI_SACHCHI_ISHWARADHANA_xx1982&amp;product_id=1182")</f>
        <v>https://vicharkrantibooks.org/productdetail?book_name=HINP0617_PARAMARTH_MEIN_HI_SACHCHI_ISHWARADHANA_xx1982&amp;product_id=1182</v>
      </c>
      <c r="CE44" s="1" t="str">
        <f ca="1">IFERROR(__xludf.DUMMYFUNCTION("""COMPUTED_VALUE"""),"Audiobook : परमार्थ में ही सच्ची ईश्वराधना : Rare Book : anu161965@gmail.com : Recorded")</f>
        <v>Audiobook : परमार्थ में ही सच्ची ईश्वराधना : Rare Book : anu161965@gmail.com : Recorded</v>
      </c>
      <c r="CF44" s="1" t="str">
        <f ca="1">IFERROR(__xludf.DUMMYFUNCTION("""COMPUTED_VALUE"""),"Audiobook : परमार्थ में ही सच्ची ईश्वराधना : Rare Book : anu161965@gmail.com : Recorded")</f>
        <v>Audiobook : परमार्थ में ही सच्ची ईश्वराधना : Rare Book : anu161965@gmail.com : Recorded</v>
      </c>
      <c r="CG44" s="1" t="str">
        <f ca="1">IFERROR(__xludf.DUMMYFUNCTION("""COMPUTED_VALUE"""),"Adarniya Anureeta awadh ji परमार्थ में ही सच्ची ईश्वराधना : Rare Book : Allocated on 21-Aug-24 Contact Number  8860314422")</f>
        <v>Adarniya Anureeta awadh ji परमार्थ में ही सच्ची ईश्वराधना : Rare Book : Allocated on 21-Aug-24 Contact Number  8860314422</v>
      </c>
      <c r="CH44" s="1" t="str">
        <f ca="1">IFERROR(__xludf.DUMMYFUNCTION("""COMPUTED_VALUE"""),"anu161965@gmail.com : परमार्थ में ही सच्ची ईश्वराधना : Rare Book")</f>
        <v>anu161965@gmail.com : परमार्थ में ही सच्ची ईश्वराधना : Rare Book</v>
      </c>
      <c r="CI44" s="5">
        <f ca="1">IFERROR(__xludf.DUMMYFUNCTION("""COMPUTED_VALUE"""),45525.9511860185)</f>
        <v>45525.951186018501</v>
      </c>
    </row>
    <row r="45" spans="1:87" x14ac:dyDescent="0.25">
      <c r="A45" s="5">
        <f ca="1">IFERROR(__xludf.DUMMYFUNCTION("""COMPUTED_VALUE"""),45525.4135204629)</f>
        <v>45525.413520462898</v>
      </c>
      <c r="B45" s="1" t="str">
        <f ca="1">IFERROR(__xludf.DUMMYFUNCTION("""COMPUTED_VALUE"""),"purnima.bharadwaj.24@gmail.com")</f>
        <v>purnima.bharadwaj.24@gmail.com</v>
      </c>
      <c r="C45" s="1" t="str">
        <f ca="1">IFERROR(__xludf.DUMMYFUNCTION("""COMPUTED_VALUE"""),"पूर्णिमा भारद्वाज ")</f>
        <v xml:space="preserve">पूर्णिमा भारद्वाज </v>
      </c>
      <c r="D45" s="1">
        <f ca="1">IFERROR(__xludf.DUMMYFUNCTION("""COMPUTED_VALUE"""),9415389032)</f>
        <v>9415389032</v>
      </c>
      <c r="E45" s="1" t="str">
        <f ca="1">IFERROR(__xludf.DUMMYFUNCTION("""COMPUTED_VALUE"""),"Yes")</f>
        <v>Yes</v>
      </c>
      <c r="F45" s="1" t="str">
        <f ca="1">IFERROR(__xludf.DUMMYFUNCTION("""COMPUTED_VALUE"""),"हिन्दी")</f>
        <v>हिन्दी</v>
      </c>
      <c r="G45" s="1" t="str">
        <f ca="1">IFERROR(__xludf.DUMMYFUNCTION("""COMPUTED_VALUE"""),"भारतीय संस्कृति")</f>
        <v>भारतीय संस्कृति</v>
      </c>
      <c r="H45" s="1"/>
      <c r="I45" s="1"/>
      <c r="J45" s="1"/>
      <c r="K45" s="1"/>
      <c r="L45" s="1"/>
      <c r="M45" s="1"/>
      <c r="N45" s="1"/>
      <c r="O45" s="1" t="str">
        <f ca="1">IFERROR(__xludf.DUMMYFUNCTION("""COMPUTED_VALUE"""),"गायत्री")</f>
        <v>गायत्री</v>
      </c>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f ca="1">IFERROR(__xludf.DUMMYFUNCTION("""COMPUTED_VALUE"""),43)</f>
        <v>43</v>
      </c>
      <c r="BX45" s="1">
        <f ca="1">IFERROR(__xludf.DUMMYFUNCTION("""COMPUTED_VALUE"""),43)</f>
        <v>43</v>
      </c>
      <c r="BY45" s="1">
        <f ca="1">IFERROR(__xludf.DUMMYFUNCTION("""COMPUTED_VALUE"""),43)</f>
        <v>43</v>
      </c>
      <c r="BZ45" s="1">
        <f ca="1">IFERROR(__xludf.DUMMYFUNCTION("""COMPUTED_VALUE"""),30)</f>
        <v>30</v>
      </c>
      <c r="CA45" s="1"/>
      <c r="CB45" s="1"/>
      <c r="CC45" s="1" t="str">
        <f ca="1">IFERROR(__xludf.DUMMYFUNCTION("""COMPUTED_VALUE"""),"प्राणाकर्षण योग : Rare Book")</f>
        <v>प्राणाकर्षण योग : Rare Book</v>
      </c>
      <c r="CD45" s="3" t="str">
        <f ca="1">IFERROR(__xludf.DUMMYFUNCTION("""COMPUTED_VALUE"""),"https://vicharkrantibooks.org/productdetail?book_name=HINP0667_PRANAKARSHAN_YOG_xxyyyy&amp;product_id=1232")</f>
        <v>https://vicharkrantibooks.org/productdetail?book_name=HINP0667_PRANAKARSHAN_YOG_xxyyyy&amp;product_id=1232</v>
      </c>
      <c r="CE45" s="1" t="str">
        <f ca="1">IFERROR(__xludf.DUMMYFUNCTION("""COMPUTED_VALUE"""),"Audiobook : प्राणाकर्षण योग : Rare Book : purnima.bharadwaj.24@gmail.com : Recorded")</f>
        <v>Audiobook : प्राणाकर्षण योग : Rare Book : purnima.bharadwaj.24@gmail.com : Recorded</v>
      </c>
      <c r="CF45" s="1" t="str">
        <f ca="1">IFERROR(__xludf.DUMMYFUNCTION("""COMPUTED_VALUE"""),"#N/A")</f>
        <v>#N/A</v>
      </c>
      <c r="CG45" s="1" t="str">
        <f ca="1">IFERROR(__xludf.DUMMYFUNCTION("""COMPUTED_VALUE"""),"Adarniya पूर्णिमा भारद्वाज  ji प्राणाकर्षण योग : Rare Book : Allocated on 21-Aug-24 Contact Number  9415389032")</f>
        <v>Adarniya पूर्णिमा भारद्वाज  ji प्राणाकर्षण योग : Rare Book : Allocated on 21-Aug-24 Contact Number  9415389032</v>
      </c>
      <c r="CH45" s="1" t="str">
        <f ca="1">IFERROR(__xludf.DUMMYFUNCTION("""COMPUTED_VALUE"""),"purnima.bharadwaj.24@gmail.com : प्राणाकर्षण योग : Rare Book")</f>
        <v>purnima.bharadwaj.24@gmail.com : प्राणाकर्षण योग : Rare Book</v>
      </c>
      <c r="CI45" s="5">
        <f ca="1">IFERROR(__xludf.DUMMYFUNCTION("""COMPUTED_VALUE"""),45525.4135204629)</f>
        <v>45525.413520462898</v>
      </c>
    </row>
    <row r="46" spans="1:87" x14ac:dyDescent="0.25">
      <c r="A46" s="5">
        <f ca="1">IFERROR(__xludf.DUMMYFUNCTION("""COMPUTED_VALUE"""),45525.1025980092)</f>
        <v>45525.102598009202</v>
      </c>
      <c r="B46" s="1" t="str">
        <f ca="1">IFERROR(__xludf.DUMMYFUNCTION("""COMPUTED_VALUE"""),"sanjayneha1@yahoo.com")</f>
        <v>sanjayneha1@yahoo.com</v>
      </c>
      <c r="C46" s="1" t="str">
        <f ca="1">IFERROR(__xludf.DUMMYFUNCTION("""COMPUTED_VALUE"""),"Neha Manocha")</f>
        <v>Neha Manocha</v>
      </c>
      <c r="D46" s="1">
        <f ca="1">IFERROR(__xludf.DUMMYFUNCTION("""COMPUTED_VALUE"""),16174130446)</f>
        <v>16174130446</v>
      </c>
      <c r="E46" s="1" t="str">
        <f ca="1">IFERROR(__xludf.DUMMYFUNCTION("""COMPUTED_VALUE"""),"Yes")</f>
        <v>Yes</v>
      </c>
      <c r="F46" s="1" t="str">
        <f ca="1">IFERROR(__xludf.DUMMYFUNCTION("""COMPUTED_VALUE"""),"हिन्दी or English")</f>
        <v>हिन्दी or English</v>
      </c>
      <c r="G46" s="1" t="str">
        <f ca="1">IFERROR(__xludf.DUMMYFUNCTION("""COMPUTED_VALUE"""),"गायत्री परिवार")</f>
        <v>गायत्री परिवार</v>
      </c>
      <c r="H46" s="1"/>
      <c r="I46" s="1"/>
      <c r="J46" s="1" t="str">
        <f ca="1">IFERROR(__xludf.DUMMYFUNCTION("""COMPUTED_VALUE"""),"प्रमुख संस्थान, प्रकाशन एवं आंदोलन")</f>
        <v>प्रमुख संस्थान, प्रकाशन एवं आंदोलन</v>
      </c>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f ca="1">IFERROR(__xludf.DUMMYFUNCTION("""COMPUTED_VALUE"""),33)</f>
        <v>33</v>
      </c>
      <c r="BX46" s="1">
        <f ca="1">IFERROR(__xludf.DUMMYFUNCTION("""COMPUTED_VALUE"""),33)</f>
        <v>33</v>
      </c>
      <c r="BY46" s="1">
        <f ca="1">IFERROR(__xludf.DUMMYFUNCTION("""COMPUTED_VALUE"""),33)</f>
        <v>33</v>
      </c>
      <c r="BZ46" s="1">
        <f ca="1">IFERROR(__xludf.DUMMYFUNCTION("""COMPUTED_VALUE"""),22)</f>
        <v>22</v>
      </c>
      <c r="CA46" s="1"/>
      <c r="CB46" s="1"/>
      <c r="CC46" s="1" t="str">
        <f ca="1">IFERROR(__xludf.DUMMYFUNCTION("""COMPUTED_VALUE"""),"युग धर्म : Rare Book")</f>
        <v>युग धर्म : Rare Book</v>
      </c>
      <c r="CD46" s="3" t="str">
        <f ca="1">IFERROR(__xludf.DUMMYFUNCTION("""COMPUTED_VALUE"""),"https://vicharkrantibooks.org/productdetail?book_name=HINP1032_YUG_DHARM_xxyyyy&amp;product_id=1597")</f>
        <v>https://vicharkrantibooks.org/productdetail?book_name=HINP1032_YUG_DHARM_xxyyyy&amp;product_id=1597</v>
      </c>
      <c r="CE46" s="1" t="str">
        <f ca="1">IFERROR(__xludf.DUMMYFUNCTION("""COMPUTED_VALUE"""),"Audiobook : युग धर्म : Rare Book : sanjayneha1@yahoo.com : Recorded")</f>
        <v>Audiobook : युग धर्म : Rare Book : sanjayneha1@yahoo.com : Recorded</v>
      </c>
      <c r="CF46" s="1" t="str">
        <f ca="1">IFERROR(__xludf.DUMMYFUNCTION("""COMPUTED_VALUE"""),"Audiobook : युग धर्म : Rare Book : sanjayneha1@yahoo.com : Recorded")</f>
        <v>Audiobook : युग धर्म : Rare Book : sanjayneha1@yahoo.com : Recorded</v>
      </c>
      <c r="CG46" s="1" t="str">
        <f ca="1">IFERROR(__xludf.DUMMYFUNCTION("""COMPUTED_VALUE"""),"Adarniya Neha Manocha ji युग धर्म : Rare Book : Allocated on 21-Aug-24 Contact Number  16174130446")</f>
        <v>Adarniya Neha Manocha ji युग धर्म : Rare Book : Allocated on 21-Aug-24 Contact Number  16174130446</v>
      </c>
      <c r="CH46" s="1" t="str">
        <f ca="1">IFERROR(__xludf.DUMMYFUNCTION("""COMPUTED_VALUE"""),"sanjayneha1@yahoo.com : युग धर्म : Rare Book")</f>
        <v>sanjayneha1@yahoo.com : युग धर्म : Rare Book</v>
      </c>
      <c r="CI46" s="5">
        <f ca="1">IFERROR(__xludf.DUMMYFUNCTION("""COMPUTED_VALUE"""),45525.1025980092)</f>
        <v>45525.102598009202</v>
      </c>
    </row>
    <row r="47" spans="1:87" x14ac:dyDescent="0.25">
      <c r="A47" s="5">
        <f ca="1">IFERROR(__xludf.DUMMYFUNCTION("""COMPUTED_VALUE"""),45524.6717666435)</f>
        <v>45524.6717666435</v>
      </c>
      <c r="B47" s="1" t="str">
        <f ca="1">IFERROR(__xludf.DUMMYFUNCTION("""COMPUTED_VALUE"""),"dave.chhaya@gmail.com")</f>
        <v>dave.chhaya@gmail.com</v>
      </c>
      <c r="C47" s="1" t="str">
        <f ca="1">IFERROR(__xludf.DUMMYFUNCTION("""COMPUTED_VALUE"""),"Chhaya Deepak Dave ")</f>
        <v xml:space="preserve">Chhaya Deepak Dave </v>
      </c>
      <c r="D47" s="1">
        <f ca="1">IFERROR(__xludf.DUMMYFUNCTION("""COMPUTED_VALUE"""),9879596556)</f>
        <v>9879596556</v>
      </c>
      <c r="E47" s="1" t="str">
        <f ca="1">IFERROR(__xludf.DUMMYFUNCTION("""COMPUTED_VALUE"""),"Yes")</f>
        <v>Yes</v>
      </c>
      <c r="F47" s="1" t="str">
        <f ca="1">IFERROR(__xludf.DUMMYFUNCTION("""COMPUTED_VALUE"""),"गुजराती")</f>
        <v>गुजराती</v>
      </c>
      <c r="G47" s="1" t="str">
        <f ca="1">IFERROR(__xludf.DUMMYFUNCTION("""COMPUTED_VALUE"""),"युग परिवर्तन-विचार क्रांति")</f>
        <v>युग परिवर्तन-विचार क्रांति</v>
      </c>
      <c r="H47" s="1"/>
      <c r="I47" s="1"/>
      <c r="J47" s="1"/>
      <c r="K47" s="1"/>
      <c r="L47" s="1"/>
      <c r="M47" s="1"/>
      <c r="N47" s="1"/>
      <c r="O47" s="1"/>
      <c r="P47" s="1"/>
      <c r="Q47" s="1" t="str">
        <f ca="1">IFERROR(__xludf.DUMMYFUNCTION("""COMPUTED_VALUE"""),"विचार क्रांति")</f>
        <v>विचार क्रांति</v>
      </c>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f ca="1">IFERROR(__xludf.DUMMYFUNCTION("""COMPUTED_VALUE"""),46)</f>
        <v>46</v>
      </c>
      <c r="BX47" s="1">
        <f ca="1">IFERROR(__xludf.DUMMYFUNCTION("""COMPUTED_VALUE"""),46)</f>
        <v>46</v>
      </c>
      <c r="BY47" s="1">
        <f ca="1">IFERROR(__xludf.DUMMYFUNCTION("""COMPUTED_VALUE"""),46)</f>
        <v>46</v>
      </c>
      <c r="BZ47" s="1">
        <f ca="1">IFERROR(__xludf.DUMMYFUNCTION("""COMPUTED_VALUE"""),16)</f>
        <v>16</v>
      </c>
      <c r="CA47" s="1"/>
      <c r="CB47" s="1"/>
      <c r="CC47" s="1" t="str">
        <f ca="1">IFERROR(__xludf.DUMMYFUNCTION("""COMPUTED_VALUE"""),"નારીને સમર્થ બનાવો : G_PP_64")</f>
        <v>નારીને સમર્થ બનાવો : G_PP_64</v>
      </c>
      <c r="CD47" s="3" t="str">
        <f ca="1">IFERROR(__xludf.DUMMYFUNCTION("""COMPUTED_VALUE"""),"https://vicharkrantibooks.org/productdetail?product_id=3968")</f>
        <v>https://vicharkrantibooks.org/productdetail?product_id=3968</v>
      </c>
      <c r="CE47" s="1" t="str">
        <f ca="1">IFERROR(__xludf.DUMMYFUNCTION("""COMPUTED_VALUE"""),"Audiobook : નારીને સમર્થ બનાવો : G_PP_64 : dave.chhaya@gmail.com : Recorded")</f>
        <v>Audiobook : નારીને સમર્થ બનાવો : G_PP_64 : dave.chhaya@gmail.com : Recorded</v>
      </c>
      <c r="CF47" s="1" t="str">
        <f ca="1">IFERROR(__xludf.DUMMYFUNCTION("""COMPUTED_VALUE"""),"Audiobook : નારીને સમર્થ બનાવો : G_PP_64 : dave.chhaya@gmail.com : Recorded")</f>
        <v>Audiobook : નારીને સમર્થ બનાવો : G_PP_64 : dave.chhaya@gmail.com : Recorded</v>
      </c>
      <c r="CG47" s="1" t="str">
        <f ca="1">IFERROR(__xludf.DUMMYFUNCTION("""COMPUTED_VALUE"""),"Adarniya Chhaya Deepak Dave  ji નારીને સમર્થ બનાવો : G_PP_64 : Allocated on 20-Aug-24 Contact Number  9879596556")</f>
        <v>Adarniya Chhaya Deepak Dave  ji નારીને સમર્થ બનાવો : G_PP_64 : Allocated on 20-Aug-24 Contact Number  9879596556</v>
      </c>
      <c r="CH47" s="1" t="str">
        <f ca="1">IFERROR(__xludf.DUMMYFUNCTION("""COMPUTED_VALUE"""),"dave.chhaya@gmail.com : નારીને સમર્થ બનાવો : G_PP_64")</f>
        <v>dave.chhaya@gmail.com : નારીને સમર્થ બનાવો : G_PP_64</v>
      </c>
      <c r="CI47" s="5">
        <f ca="1">IFERROR(__xludf.DUMMYFUNCTION("""COMPUTED_VALUE"""),45524.6717666435)</f>
        <v>45524.6717666435</v>
      </c>
    </row>
    <row r="48" spans="1:87" x14ac:dyDescent="0.25">
      <c r="A48" s="5">
        <f ca="1">IFERROR(__xludf.DUMMYFUNCTION("""COMPUTED_VALUE"""),45523.7101643402)</f>
        <v>45523.710164340198</v>
      </c>
      <c r="B48" s="1" t="str">
        <f ca="1">IFERROR(__xludf.DUMMYFUNCTION("""COMPUTED_VALUE"""),"spmittalmumbai@gmail.com")</f>
        <v>spmittalmumbai@gmail.com</v>
      </c>
      <c r="C48" s="1" t="str">
        <f ca="1">IFERROR(__xludf.DUMMYFUNCTION("""COMPUTED_VALUE"""),"Spmittal")</f>
        <v>Spmittal</v>
      </c>
      <c r="D48" s="1">
        <f ca="1">IFERROR(__xludf.DUMMYFUNCTION("""COMPUTED_VALUE"""),9860003407)</f>
        <v>9860003407</v>
      </c>
      <c r="E48" s="1" t="str">
        <f ca="1">IFERROR(__xludf.DUMMYFUNCTION("""COMPUTED_VALUE"""),"Yes")</f>
        <v>Yes</v>
      </c>
      <c r="F48" s="1" t="str">
        <f ca="1">IFERROR(__xludf.DUMMYFUNCTION("""COMPUTED_VALUE"""),"हिन्दी")</f>
        <v>हिन्दी</v>
      </c>
      <c r="G48" s="1" t="str">
        <f ca="1">IFERROR(__xludf.DUMMYFUNCTION("""COMPUTED_VALUE"""),"युग परिवर्तन-विचार क्रांति")</f>
        <v>युग परिवर्तन-विचार क्रांति</v>
      </c>
      <c r="H48" s="1"/>
      <c r="I48" s="1"/>
      <c r="J48" s="1"/>
      <c r="K48" s="1"/>
      <c r="L48" s="1"/>
      <c r="M48" s="1"/>
      <c r="N48" s="1"/>
      <c r="O48" s="1"/>
      <c r="P48" s="1"/>
      <c r="Q48" s="1" t="str">
        <f ca="1">IFERROR(__xludf.DUMMYFUNCTION("""COMPUTED_VALUE"""),"ज्ञानयज्ञ")</f>
        <v>ज्ञानयज्ञ</v>
      </c>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f ca="1">IFERROR(__xludf.DUMMYFUNCTION("""COMPUTED_VALUE"""),39)</f>
        <v>39</v>
      </c>
      <c r="BX48" s="1">
        <f ca="1">IFERROR(__xludf.DUMMYFUNCTION("""COMPUTED_VALUE"""),6)</f>
        <v>6</v>
      </c>
      <c r="BY48" s="1">
        <f ca="1">IFERROR(__xludf.DUMMYFUNCTION("""COMPUTED_VALUE"""),26)</f>
        <v>26</v>
      </c>
      <c r="BZ48" s="1">
        <f ca="1">IFERROR(__xludf.DUMMYFUNCTION("""COMPUTED_VALUE"""),23)</f>
        <v>23</v>
      </c>
      <c r="CA48" s="1"/>
      <c r="CB48" s="1"/>
      <c r="CC48" s="1" t="str">
        <f ca="1">IFERROR(__xludf.DUMMYFUNCTION("""COMPUTED_VALUE"""),"युग परिवर्तन का वातावरण बनाने विभूतिवान आगे आयें : Rare Book")</f>
        <v>युग परिवर्तन का वातावरण बनाने विभूतिवान आगे आयें : Rare Book</v>
      </c>
      <c r="CD48" s="3" t="str">
        <f ca="1">IFERROR(__xludf.DUMMYFUNCTION("""COMPUTED_VALUE"""),"https://vicharkrantibooks.org/productdetail?book_name=HINP1052_YUG_PARIVARTAN_KA_VATAVARAN_BANANE_VIBHUTIVAN_AGE_AYE_xx1982&amp;product_id=1617")</f>
        <v>https://vicharkrantibooks.org/productdetail?book_name=HINP1052_YUG_PARIVARTAN_KA_VATAVARAN_BANANE_VIBHUTIVAN_AGE_AYE_xx1982&amp;product_id=1617</v>
      </c>
      <c r="CE48" s="1" t="str">
        <f ca="1">IFERROR(__xludf.DUMMYFUNCTION("""COMPUTED_VALUE"""),"Audiobook : युग परिवर्तन का वातावरण बनाने विभूतिवान आगे आयें : Rare Book : spmittalmumbai@gmail.com : Recorded")</f>
        <v>Audiobook : युग परिवर्तन का वातावरण बनाने विभूतिवान आगे आयें : Rare Book : spmittalmumbai@gmail.com : Recorded</v>
      </c>
      <c r="CF48" s="1" t="str">
        <f ca="1">IFERROR(__xludf.DUMMYFUNCTION("""COMPUTED_VALUE"""),"#N/A")</f>
        <v>#N/A</v>
      </c>
      <c r="CG48" s="1" t="str">
        <f ca="1">IFERROR(__xludf.DUMMYFUNCTION("""COMPUTED_VALUE"""),"Adarniya Spmittal ji युग परिवर्तन का वातावरण बनाने विभूतिवान आगे आयें : Rare Book : Allocated on 19-Aug-24 Contact Number  9860003407")</f>
        <v>Adarniya Spmittal ji युग परिवर्तन का वातावरण बनाने विभूतिवान आगे आयें : Rare Book : Allocated on 19-Aug-24 Contact Number  9860003407</v>
      </c>
      <c r="CH48" s="1" t="str">
        <f ca="1">IFERROR(__xludf.DUMMYFUNCTION("""COMPUTED_VALUE"""),"spmittalmumbai@gmail.com : युग परिवर्तन का वातावरण बनाने विभूतिवान आगे आयें : Rare Book")</f>
        <v>spmittalmumbai@gmail.com : युग परिवर्तन का वातावरण बनाने विभूतिवान आगे आयें : Rare Book</v>
      </c>
      <c r="CI48" s="5">
        <f ca="1">IFERROR(__xludf.DUMMYFUNCTION("""COMPUTED_VALUE"""),45523.7101643402)</f>
        <v>45523.710164340198</v>
      </c>
    </row>
    <row r="49" spans="1:87" x14ac:dyDescent="0.25">
      <c r="A49" s="5">
        <f ca="1">IFERROR(__xludf.DUMMYFUNCTION("""COMPUTED_VALUE"""),45523.6848508101)</f>
        <v>45523.684850810103</v>
      </c>
      <c r="B49" s="1" t="str">
        <f ca="1">IFERROR(__xludf.DUMMYFUNCTION("""COMPUTED_VALUE"""),"druma4107@gmail.com")</f>
        <v>druma4107@gmail.com</v>
      </c>
      <c r="C49" s="1" t="str">
        <f ca="1">IFERROR(__xludf.DUMMYFUNCTION("""COMPUTED_VALUE"""),"Dr Uma Agrawal ")</f>
        <v xml:space="preserve">Dr Uma Agrawal </v>
      </c>
      <c r="D49" s="1">
        <f ca="1">IFERROR(__xludf.DUMMYFUNCTION("""COMPUTED_VALUE"""),9410861182)</f>
        <v>9410861182</v>
      </c>
      <c r="E49" s="1" t="str">
        <f ca="1">IFERROR(__xludf.DUMMYFUNCTION("""COMPUTED_VALUE"""),"Yes")</f>
        <v>Yes</v>
      </c>
      <c r="F49" s="1" t="str">
        <f ca="1">IFERROR(__xludf.DUMMYFUNCTION("""COMPUTED_VALUE"""),"हिन्दी")</f>
        <v>हिन्दी</v>
      </c>
      <c r="G49" s="1" t="str">
        <f ca="1">IFERROR(__xludf.DUMMYFUNCTION("""COMPUTED_VALUE"""),"समाज निर्माण")</f>
        <v>समाज निर्माण</v>
      </c>
      <c r="H49" s="1"/>
      <c r="I49" s="1"/>
      <c r="J49" s="1"/>
      <c r="K49" s="1"/>
      <c r="L49" s="1"/>
      <c r="M49" s="1"/>
      <c r="N49" s="1"/>
      <c r="O49" s="1"/>
      <c r="P49" s="1"/>
      <c r="Q49" s="1"/>
      <c r="R49" s="1"/>
      <c r="S49" s="1"/>
      <c r="T49" s="1"/>
      <c r="U49" s="1"/>
      <c r="V49" s="1" t="str">
        <f ca="1">IFERROR(__xludf.DUMMYFUNCTION("""COMPUTED_VALUE"""),"समाज निर्माण")</f>
        <v>समाज निर्माण</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f ca="1">IFERROR(__xludf.DUMMYFUNCTION("""COMPUTED_VALUE"""),104)</f>
        <v>104</v>
      </c>
      <c r="BX49" s="1">
        <f ca="1">IFERROR(__xludf.DUMMYFUNCTION("""COMPUTED_VALUE"""),43)</f>
        <v>43</v>
      </c>
      <c r="BY49" s="1">
        <f ca="1">IFERROR(__xludf.DUMMYFUNCTION("""COMPUTED_VALUE"""),101)</f>
        <v>101</v>
      </c>
      <c r="BZ49" s="1">
        <f ca="1">IFERROR(__xludf.DUMMYFUNCTION("""COMPUTED_VALUE"""),43)</f>
        <v>43</v>
      </c>
      <c r="CA49" s="1"/>
      <c r="CB49" s="1"/>
      <c r="CC49" s="1" t="str">
        <f ca="1">IFERROR(__xludf.DUMMYFUNCTION("""COMPUTED_VALUE"""),"उपयोगिता वाद नहीं, सहकारिता वाद : Rare Book")</f>
        <v>उपयोगिता वाद नहीं, सहकारिता वाद : Rare Book</v>
      </c>
      <c r="CD49" s="3" t="str">
        <f ca="1">IFERROR(__xludf.DUMMYFUNCTION("""COMPUTED_VALUE"""),"https://vicharkrantibooks.org/productdetail?book_name=HINP0931_UPAYOGITA_VAD_NAHI_SAHAKARITA_VAD_xx1982&amp;product_id=1496")</f>
        <v>https://vicharkrantibooks.org/productdetail?book_name=HINP0931_UPAYOGITA_VAD_NAHI_SAHAKARITA_VAD_xx1982&amp;product_id=1496</v>
      </c>
      <c r="CE49" s="1" t="str">
        <f ca="1">IFERROR(__xludf.DUMMYFUNCTION("""COMPUTED_VALUE"""),"Audiobook : उपयोगिता वाद नहीं, सहकारिता वाद : Rare Book : druma4107@gmail.com : Recorded")</f>
        <v>Audiobook : उपयोगिता वाद नहीं, सहकारिता वाद : Rare Book : druma4107@gmail.com : Recorded</v>
      </c>
      <c r="CF49" s="1" t="str">
        <f ca="1">IFERROR(__xludf.DUMMYFUNCTION("""COMPUTED_VALUE"""),"#N/A")</f>
        <v>#N/A</v>
      </c>
      <c r="CG49" s="1" t="str">
        <f ca="1">IFERROR(__xludf.DUMMYFUNCTION("""COMPUTED_VALUE"""),"Adarniya Dr Uma Agrawal  ji उपयोगिता वाद नहीं, सहकारिता वाद : Rare Book : Allocated on 19-Aug-24 Contact Number  9410861182")</f>
        <v>Adarniya Dr Uma Agrawal  ji उपयोगिता वाद नहीं, सहकारिता वाद : Rare Book : Allocated on 19-Aug-24 Contact Number  9410861182</v>
      </c>
      <c r="CH49" s="1" t="str">
        <f ca="1">IFERROR(__xludf.DUMMYFUNCTION("""COMPUTED_VALUE"""),"druma4107@gmail.com : उपयोगिता वाद नहीं, सहकारिता वाद : Rare Book")</f>
        <v>druma4107@gmail.com : उपयोगिता वाद नहीं, सहकारिता वाद : Rare Book</v>
      </c>
      <c r="CI49" s="5">
        <f ca="1">IFERROR(__xludf.DUMMYFUNCTION("""COMPUTED_VALUE"""),45523.6848508101)</f>
        <v>45523.684850810103</v>
      </c>
    </row>
    <row r="50" spans="1:87" x14ac:dyDescent="0.25">
      <c r="A50" s="5">
        <f ca="1">IFERROR(__xludf.DUMMYFUNCTION("""COMPUTED_VALUE"""),45520.6404246412)</f>
        <v>45520.640424641198</v>
      </c>
      <c r="B50" s="1" t="str">
        <f ca="1">IFERROR(__xludf.DUMMYFUNCTION("""COMPUTED_VALUE"""),"guptarakhi072@gmail.com")</f>
        <v>guptarakhi072@gmail.com</v>
      </c>
      <c r="C50" s="1" t="str">
        <f ca="1">IFERROR(__xludf.DUMMYFUNCTION("""COMPUTED_VALUE"""),"Rakhi Gupta ")</f>
        <v xml:space="preserve">Rakhi Gupta </v>
      </c>
      <c r="D50" s="1">
        <f ca="1">IFERROR(__xludf.DUMMYFUNCTION("""COMPUTED_VALUE"""),8128540757)</f>
        <v>8128540757</v>
      </c>
      <c r="E50" s="1" t="str">
        <f ca="1">IFERROR(__xludf.DUMMYFUNCTION("""COMPUTED_VALUE"""),"Yes")</f>
        <v>Yes</v>
      </c>
      <c r="F50" s="1" t="str">
        <f ca="1">IFERROR(__xludf.DUMMYFUNCTION("""COMPUTED_VALUE"""),"हिन्दी")</f>
        <v>हिन्दी</v>
      </c>
      <c r="G50" s="1" t="str">
        <f ca="1">IFERROR(__xludf.DUMMYFUNCTION("""COMPUTED_VALUE"""),"पर्यावरण संरक्षण")</f>
        <v>पर्यावरण संरक्षण</v>
      </c>
      <c r="H50" s="1"/>
      <c r="I50" s="1"/>
      <c r="J50" s="1"/>
      <c r="K50" s="1"/>
      <c r="L50" s="1"/>
      <c r="M50" s="1"/>
      <c r="N50" s="1" t="str">
        <f ca="1">IFERROR(__xludf.DUMMYFUNCTION("""COMPUTED_VALUE"""),"पर्यावरण संरक्षण")</f>
        <v>पर्यावरण संरक्षण</v>
      </c>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f ca="1">IFERROR(__xludf.DUMMYFUNCTION("""COMPUTED_VALUE"""),21)</f>
        <v>21</v>
      </c>
      <c r="BX50" s="1">
        <f ca="1">IFERROR(__xludf.DUMMYFUNCTION("""COMPUTED_VALUE"""),20)</f>
        <v>20</v>
      </c>
      <c r="BY50" s="1">
        <f ca="1">IFERROR(__xludf.DUMMYFUNCTION("""COMPUTED_VALUE"""),21)</f>
        <v>21</v>
      </c>
      <c r="BZ50" s="1">
        <f ca="1">IFERROR(__xludf.DUMMYFUNCTION("""COMPUTED_VALUE"""),14)</f>
        <v>14</v>
      </c>
      <c r="CA50" s="1"/>
      <c r="CB50" s="1"/>
      <c r="CC50" s="1" t="str">
        <f ca="1">IFERROR(__xludf.DUMMYFUNCTION("""COMPUTED_VALUE"""),"वायु प्रदूषण और तुलसी रोपण : Rare Book")</f>
        <v>वायु प्रदूषण और तुलसी रोपण : Rare Book</v>
      </c>
      <c r="CD50" s="3" t="str">
        <f ca="1">IFERROR(__xludf.DUMMYFUNCTION("""COMPUTED_VALUE"""),"https://vicharkrantibooks.org/productdetail?book_name=HINP0953_VAYU_PRADUSHAN_AUR_TULASI_ROPAN_xxyyyy&amp;product_id=1518")</f>
        <v>https://vicharkrantibooks.org/productdetail?book_name=HINP0953_VAYU_PRADUSHAN_AUR_TULASI_ROPAN_xxyyyy&amp;product_id=1518</v>
      </c>
      <c r="CE50" s="1" t="str">
        <f ca="1">IFERROR(__xludf.DUMMYFUNCTION("""COMPUTED_VALUE"""),"Audiobook : वायु प्रदूषण और तुलसी रोपण : Rare Book : guptarakhi072@gmail.com : Recorded")</f>
        <v>Audiobook : वायु प्रदूषण और तुलसी रोपण : Rare Book : guptarakhi072@gmail.com : Recorded</v>
      </c>
      <c r="CF50" s="1" t="str">
        <f ca="1">IFERROR(__xludf.DUMMYFUNCTION("""COMPUTED_VALUE"""),"Audiobook : वायु प्रदूषण और तुलसी रोपण : Rare Book : guptarakhi072@gmail.com : Recorded")</f>
        <v>Audiobook : वायु प्रदूषण और तुलसी रोपण : Rare Book : guptarakhi072@gmail.com : Recorded</v>
      </c>
      <c r="CG50" s="1" t="str">
        <f ca="1">IFERROR(__xludf.DUMMYFUNCTION("""COMPUTED_VALUE"""),"Adarniya Rakhi Gupta  ji वायु प्रदूषण और तुलसी रोपण : Rare Book : Allocated on 16-Aug-24 Contact Number  8128540757")</f>
        <v>Adarniya Rakhi Gupta  ji वायु प्रदूषण और तुलसी रोपण : Rare Book : Allocated on 16-Aug-24 Contact Number  8128540757</v>
      </c>
      <c r="CH50" s="1" t="str">
        <f ca="1">IFERROR(__xludf.DUMMYFUNCTION("""COMPUTED_VALUE"""),"guptarakhi072@gmail.com : वायु प्रदूषण और तुलसी रोपण : Rare Book")</f>
        <v>guptarakhi072@gmail.com : वायु प्रदूषण और तुलसी रोपण : Rare Book</v>
      </c>
      <c r="CI50" s="5">
        <f ca="1">IFERROR(__xludf.DUMMYFUNCTION("""COMPUTED_VALUE"""),45520.6404246412)</f>
        <v>45520.640424641198</v>
      </c>
    </row>
    <row r="51" spans="1:87" x14ac:dyDescent="0.25">
      <c r="A51" s="6">
        <f ca="1">IFERROR(__xludf.DUMMYFUNCTION("""COMPUTED_VALUE"""),45520)</f>
        <v>45520</v>
      </c>
      <c r="B51" s="1" t="str">
        <f ca="1">IFERROR(__xludf.DUMMYFUNCTION("""COMPUTED_VALUE"""),"samidhachhr@gmail.com")</f>
        <v>samidhachhr@gmail.com</v>
      </c>
      <c r="C51" s="1" t="str">
        <f ca="1">IFERROR(__xludf.DUMMYFUNCTION("""COMPUTED_VALUE"""),"Samidha kendurkar")</f>
        <v>Samidha kendurkar</v>
      </c>
      <c r="D51" s="1" t="str">
        <f ca="1">IFERROR(__xludf.DUMMYFUNCTION("""COMPUTED_VALUE"""),"+919977227429")</f>
        <v>+919977227429</v>
      </c>
      <c r="E51" s="1" t="str">
        <f ca="1">IFERROR(__xludf.DUMMYFUNCTION("""COMPUTED_VALUE"""),"Yes")</f>
        <v>Yes</v>
      </c>
      <c r="F51" s="1" t="str">
        <f ca="1">IFERROR(__xludf.DUMMYFUNCTION("""COMPUTED_VALUE"""),"हिन्दी")</f>
        <v>हिन्दी</v>
      </c>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f ca="1">IFERROR(__xludf.DUMMYFUNCTION("""COMPUTED_VALUE"""),7)</f>
        <v>7</v>
      </c>
      <c r="BX51" s="1">
        <f ca="1">IFERROR(__xludf.DUMMYFUNCTION("""COMPUTED_VALUE"""),4)</f>
        <v>4</v>
      </c>
      <c r="BY51" s="1">
        <f ca="1">IFERROR(__xludf.DUMMYFUNCTION("""COMPUTED_VALUE"""),6)</f>
        <v>6</v>
      </c>
      <c r="BZ51" s="1">
        <f ca="1">IFERROR(__xludf.DUMMYFUNCTION("""COMPUTED_VALUE"""),3)</f>
        <v>3</v>
      </c>
      <c r="CA51" s="1"/>
      <c r="CB51" s="1"/>
      <c r="CC51" s="1" t="str">
        <f ca="1">IFERROR(__xludf.DUMMYFUNCTION("""COMPUTED_VALUE"""),"सुर दुर्लभ यह मानव जीवन : Rare Book")</f>
        <v>सुर दुर्लभ यह मानव जीवन : Rare Book</v>
      </c>
      <c r="CD51" s="3" t="str">
        <f ca="1">IFERROR(__xludf.DUMMYFUNCTION("""COMPUTED_VALUE"""),"https://vicharkrantibooks.org/productdetail?book_name=HINP0876_SUR_DURLABH_YAH_MANAV_JIVAN_xxyyyy&amp;product_id=1441")</f>
        <v>https://vicharkrantibooks.org/productdetail?book_name=HINP0876_SUR_DURLABH_YAH_MANAV_JIVAN_xxyyyy&amp;product_id=1441</v>
      </c>
      <c r="CE51" s="1" t="str">
        <f ca="1">IFERROR(__xludf.DUMMYFUNCTION("""COMPUTED_VALUE"""),"Audiobook : सुर दुर्लभ यह मानव जीवन : Rare Book : samidhachhr@gmail.com : Recorded")</f>
        <v>Audiobook : सुर दुर्लभ यह मानव जीवन : Rare Book : samidhachhr@gmail.com : Recorded</v>
      </c>
      <c r="CF51" s="1" t="str">
        <f ca="1">IFERROR(__xludf.DUMMYFUNCTION("""COMPUTED_VALUE"""),"#N/A")</f>
        <v>#N/A</v>
      </c>
      <c r="CG51" s="1" t="str">
        <f ca="1">IFERROR(__xludf.DUMMYFUNCTION("""COMPUTED_VALUE"""),"Adarniya Samidha kendurkar ji सुर दुर्लभ यह मानव जीवन : Rare Book : Allocated on 16-Aug-24 Contact Number  +919977227429")</f>
        <v>Adarniya Samidha kendurkar ji सुर दुर्लभ यह मानव जीवन : Rare Book : Allocated on 16-Aug-24 Contact Number  +919977227429</v>
      </c>
      <c r="CH51" s="1" t="str">
        <f ca="1">IFERROR(__xludf.DUMMYFUNCTION("""COMPUTED_VALUE"""),"samidhachhr@gmail.com : सुर दुर्लभ यह मानव जीवन : Rare Book")</f>
        <v>samidhachhr@gmail.com : सुर दुर्लभ यह मानव जीवन : Rare Book</v>
      </c>
      <c r="CI51" s="6">
        <f ca="1">IFERROR(__xludf.DUMMYFUNCTION("""COMPUTED_VALUE"""),45520)</f>
        <v>45520</v>
      </c>
    </row>
    <row r="52" spans="1:87" x14ac:dyDescent="0.25">
      <c r="A52" s="5">
        <f ca="1">IFERROR(__xludf.DUMMYFUNCTION("""COMPUTED_VALUE"""),45518.7609624537)</f>
        <v>45518.7609624537</v>
      </c>
      <c r="B52" s="1" t="str">
        <f ca="1">IFERROR(__xludf.DUMMYFUNCTION("""COMPUTED_VALUE"""),"druma4107@gmail.com")</f>
        <v>druma4107@gmail.com</v>
      </c>
      <c r="C52" s="1" t="str">
        <f ca="1">IFERROR(__xludf.DUMMYFUNCTION("""COMPUTED_VALUE"""),"Dr Uma Agrawal ")</f>
        <v xml:space="preserve">Dr Uma Agrawal </v>
      </c>
      <c r="D52" s="1">
        <f ca="1">IFERROR(__xludf.DUMMYFUNCTION("""COMPUTED_VALUE"""),9410861182)</f>
        <v>9410861182</v>
      </c>
      <c r="E52" s="1" t="str">
        <f ca="1">IFERROR(__xludf.DUMMYFUNCTION("""COMPUTED_VALUE"""),"Yes")</f>
        <v>Yes</v>
      </c>
      <c r="F52" s="1" t="str">
        <f ca="1">IFERROR(__xludf.DUMMYFUNCTION("""COMPUTED_VALUE"""),"हिन्दी")</f>
        <v>हिन्दी</v>
      </c>
      <c r="G52" s="1" t="str">
        <f ca="1">IFERROR(__xludf.DUMMYFUNCTION("""COMPUTED_VALUE"""),"समाज निर्माण")</f>
        <v>समाज निर्माण</v>
      </c>
      <c r="H52" s="1"/>
      <c r="I52" s="1"/>
      <c r="J52" s="1"/>
      <c r="K52" s="1"/>
      <c r="L52" s="1"/>
      <c r="M52" s="1"/>
      <c r="N52" s="1"/>
      <c r="O52" s="1"/>
      <c r="P52" s="1"/>
      <c r="Q52" s="1"/>
      <c r="R52" s="1"/>
      <c r="S52" s="1"/>
      <c r="T52" s="1"/>
      <c r="U52" s="1"/>
      <c r="V52" s="1" t="str">
        <f ca="1">IFERROR(__xludf.DUMMYFUNCTION("""COMPUTED_VALUE"""),"समाज निर्माण")</f>
        <v>समाज निर्माण</v>
      </c>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f ca="1">IFERROR(__xludf.DUMMYFUNCTION("""COMPUTED_VALUE"""),104)</f>
        <v>104</v>
      </c>
      <c r="BX52" s="1">
        <f ca="1">IFERROR(__xludf.DUMMYFUNCTION("""COMPUTED_VALUE"""),43)</f>
        <v>43</v>
      </c>
      <c r="BY52" s="1">
        <f ca="1">IFERROR(__xludf.DUMMYFUNCTION("""COMPUTED_VALUE"""),101)</f>
        <v>101</v>
      </c>
      <c r="BZ52" s="1">
        <f ca="1">IFERROR(__xludf.DUMMYFUNCTION("""COMPUTED_VALUE"""),43)</f>
        <v>43</v>
      </c>
      <c r="CA52" s="1"/>
      <c r="CB52" s="1"/>
      <c r="CC52" s="1" t="str">
        <f ca="1">IFERROR(__xludf.DUMMYFUNCTION("""COMPUTED_VALUE"""),"उदार सहकारिता अपनाएँ : Rare Book")</f>
        <v>उदार सहकारिता अपनाएँ : Rare Book</v>
      </c>
      <c r="CD52" s="3" t="str">
        <f ca="1">IFERROR(__xludf.DUMMYFUNCTION("""COMPUTED_VALUE"""),"https://vicharkrantibooks.org/productdetail?book_name=HINP0916_UDAR_SAHAKARITA_APANAEN_xxyyyy&amp;product_id=1481")</f>
        <v>https://vicharkrantibooks.org/productdetail?book_name=HINP0916_UDAR_SAHAKARITA_APANAEN_xxyyyy&amp;product_id=1481</v>
      </c>
      <c r="CE52" s="1" t="str">
        <f ca="1">IFERROR(__xludf.DUMMYFUNCTION("""COMPUTED_VALUE"""),"Audiobook : उदार सहकारिता अपनाएँ : Rare Book : druma4107@gmail.com : Recorded")</f>
        <v>Audiobook : उदार सहकारिता अपनाएँ : Rare Book : druma4107@gmail.com : Recorded</v>
      </c>
      <c r="CF52" s="1" t="str">
        <f ca="1">IFERROR(__xludf.DUMMYFUNCTION("""COMPUTED_VALUE"""),"Audiobook : उदार सहकारिता अपनाएँ : Rare Book : druma4107@gmail.com : Recorded")</f>
        <v>Audiobook : उदार सहकारिता अपनाएँ : Rare Book : druma4107@gmail.com : Recorded</v>
      </c>
      <c r="CG52" s="1" t="str">
        <f ca="1">IFERROR(__xludf.DUMMYFUNCTION("""COMPUTED_VALUE"""),"Adarniya Dr Uma Agrawal  ji उदार सहकारिता अपनाएँ : Rare Book : Allocated on 14-Aug-24 Contact Number  9410861182")</f>
        <v>Adarniya Dr Uma Agrawal  ji उदार सहकारिता अपनाएँ : Rare Book : Allocated on 14-Aug-24 Contact Number  9410861182</v>
      </c>
      <c r="CH52" s="1" t="str">
        <f ca="1">IFERROR(__xludf.DUMMYFUNCTION("""COMPUTED_VALUE"""),"druma4107@gmail.com : उदार सहकारिता अपनाएँ : Rare Book")</f>
        <v>druma4107@gmail.com : उदार सहकारिता अपनाएँ : Rare Book</v>
      </c>
      <c r="CI52" s="5">
        <f ca="1">IFERROR(__xludf.DUMMYFUNCTION("""COMPUTED_VALUE"""),45518.7609624537)</f>
        <v>45518.7609624537</v>
      </c>
    </row>
    <row r="53" spans="1:87" x14ac:dyDescent="0.25">
      <c r="A53" s="5">
        <f ca="1">IFERROR(__xludf.DUMMYFUNCTION("""COMPUTED_VALUE"""),45518.6469378125)</f>
        <v>45518.646937812497</v>
      </c>
      <c r="B53" s="1" t="str">
        <f ca="1">IFERROR(__xludf.DUMMYFUNCTION("""COMPUTED_VALUE"""),"vandana15rastogi@gmail.com")</f>
        <v>vandana15rastogi@gmail.com</v>
      </c>
      <c r="C53" s="1" t="str">
        <f ca="1">IFERROR(__xludf.DUMMYFUNCTION("""COMPUTED_VALUE"""),"Vandana Rastogi")</f>
        <v>Vandana Rastogi</v>
      </c>
      <c r="D53" s="1">
        <f ca="1">IFERROR(__xludf.DUMMYFUNCTION("""COMPUTED_VALUE"""),9359528684)</f>
        <v>9359528684</v>
      </c>
      <c r="E53" s="1" t="str">
        <f ca="1">IFERROR(__xludf.DUMMYFUNCTION("""COMPUTED_VALUE"""),"Yes")</f>
        <v>Yes</v>
      </c>
      <c r="F53" s="1" t="str">
        <f ca="1">IFERROR(__xludf.DUMMYFUNCTION("""COMPUTED_VALUE"""),"हिन्दी")</f>
        <v>हिन्दी</v>
      </c>
      <c r="G53" s="1" t="str">
        <f ca="1">IFERROR(__xludf.DUMMYFUNCTION("""COMPUTED_VALUE"""),"अध्यात्म, धर्म एवं दर्शन")</f>
        <v>अध्यात्म, धर्म एवं दर्शन</v>
      </c>
      <c r="H53" s="1" t="str">
        <f ca="1">IFERROR(__xludf.DUMMYFUNCTION("""COMPUTED_VALUE"""),"अध्यात्म, धर्म एवं आस्तिकता")</f>
        <v>अध्यात्म, धर्म एवं आस्तिकता</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f ca="1">IFERROR(__xludf.DUMMYFUNCTION("""COMPUTED_VALUE"""),33)</f>
        <v>33</v>
      </c>
      <c r="BX53" s="1">
        <f ca="1">IFERROR(__xludf.DUMMYFUNCTION("""COMPUTED_VALUE"""),35)</f>
        <v>35</v>
      </c>
      <c r="BY53" s="1">
        <f ca="1">IFERROR(__xludf.DUMMYFUNCTION("""COMPUTED_VALUE"""),37)</f>
        <v>37</v>
      </c>
      <c r="BZ53" s="1">
        <f ca="1">IFERROR(__xludf.DUMMYFUNCTION("""COMPUTED_VALUE"""),14)</f>
        <v>14</v>
      </c>
      <c r="CA53" s="1"/>
      <c r="CB53" s="1"/>
      <c r="CC53" s="1" t="str">
        <f ca="1">IFERROR(__xludf.DUMMYFUNCTION("""COMPUTED_VALUE"""),"धर्मतंत्र का सच्चा स्वरुप : Rare Book")</f>
        <v>धर्मतंत्र का सच्चा स्वरुप : Rare Book</v>
      </c>
      <c r="CD53" s="3" t="str">
        <f ca="1">IFERROR(__xludf.DUMMYFUNCTION("""COMPUTED_VALUE"""),"https://vicharkrantibooks.org/productdetail?book_name=HINP0245_DHARMATANTR_KA_SACHCHA_SWARUP_xxyyyy&amp;product_id=810")</f>
        <v>https://vicharkrantibooks.org/productdetail?book_name=HINP0245_DHARMATANTR_KA_SACHCHA_SWARUP_xxyyyy&amp;product_id=810</v>
      </c>
      <c r="CE53" s="1" t="str">
        <f ca="1">IFERROR(__xludf.DUMMYFUNCTION("""COMPUTED_VALUE"""),"Audiobook : धर्मतंत्र का सच्चा स्वरुप : Rare Book : vandana15rastogi@gmail.com : Recorded")</f>
        <v>Audiobook : धर्मतंत्र का सच्चा स्वरुप : Rare Book : vandana15rastogi@gmail.com : Recorded</v>
      </c>
      <c r="CF53" s="1" t="str">
        <f ca="1">IFERROR(__xludf.DUMMYFUNCTION("""COMPUTED_VALUE"""),"Audiobook : धर्मतंत्र का सच्चा स्वरुप : Rare Book : vandana15rastogi@gmail.com : Recorded")</f>
        <v>Audiobook : धर्मतंत्र का सच्चा स्वरुप : Rare Book : vandana15rastogi@gmail.com : Recorded</v>
      </c>
      <c r="CG53" s="1" t="str">
        <f ca="1">IFERROR(__xludf.DUMMYFUNCTION("""COMPUTED_VALUE"""),"Adarniya Vandana Rastogi ji धर्मतंत्र का सच्चा स्वरुप : Rare Book : Allocated on 14-Aug-24 Contact Number  9359528684")</f>
        <v>Adarniya Vandana Rastogi ji धर्मतंत्र का सच्चा स्वरुप : Rare Book : Allocated on 14-Aug-24 Contact Number  9359528684</v>
      </c>
      <c r="CH53" s="1" t="str">
        <f ca="1">IFERROR(__xludf.DUMMYFUNCTION("""COMPUTED_VALUE"""),"vandana15rastogi@gmail.com : धर्मतंत्र का सच्चा स्वरुप : Rare Book")</f>
        <v>vandana15rastogi@gmail.com : धर्मतंत्र का सच्चा स्वरुप : Rare Book</v>
      </c>
      <c r="CI53" s="5">
        <f ca="1">IFERROR(__xludf.DUMMYFUNCTION("""COMPUTED_VALUE"""),45518.6469378125)</f>
        <v>45518.646937812497</v>
      </c>
    </row>
    <row r="54" spans="1:87" x14ac:dyDescent="0.25">
      <c r="A54" s="5">
        <f ca="1">IFERROR(__xludf.DUMMYFUNCTION("""COMPUTED_VALUE"""),45518.0032987152)</f>
        <v>45518.003298715201</v>
      </c>
      <c r="B54" s="1" t="str">
        <f ca="1">IFERROR(__xludf.DUMMYFUNCTION("""COMPUTED_VALUE"""),"mishra.iresh@gmail.com")</f>
        <v>mishra.iresh@gmail.com</v>
      </c>
      <c r="C54" s="1" t="str">
        <f ca="1">IFERROR(__xludf.DUMMYFUNCTION("""COMPUTED_VALUE"""),"Iresh Mishra")</f>
        <v>Iresh Mishra</v>
      </c>
      <c r="D54" s="1">
        <f ca="1">IFERROR(__xludf.DUMMYFUNCTION("""COMPUTED_VALUE"""),8839336719)</f>
        <v>8839336719</v>
      </c>
      <c r="E54" s="1" t="str">
        <f ca="1">IFERROR(__xludf.DUMMYFUNCTION("""COMPUTED_VALUE"""),"Artificial Intelligence")</f>
        <v>Artificial Intelligence</v>
      </c>
      <c r="F54" s="1" t="str">
        <f ca="1">IFERROR(__xludf.DUMMYFUNCTION("""COMPUTED_VALUE"""),"हिन्दी")</f>
        <v>हिन्दी</v>
      </c>
      <c r="G54" s="1" t="str">
        <f ca="1">IFERROR(__xludf.DUMMYFUNCTION("""COMPUTED_VALUE"""),"जीवन प्रबंध")</f>
        <v>जीवन प्रबंध</v>
      </c>
      <c r="H54" s="1"/>
      <c r="I54" s="1"/>
      <c r="J54" s="1"/>
      <c r="K54" s="1"/>
      <c r="L54" s="1" t="str">
        <f ca="1">IFERROR(__xludf.DUMMYFUNCTION("""COMPUTED_VALUE"""),"मन की शक्ति एवं मनोविज्ञान")</f>
        <v>मन की शक्ति एवं मनोविज्ञान</v>
      </c>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f ca="1">IFERROR(__xludf.DUMMYFUNCTION("""COMPUTED_VALUE"""),2)</f>
        <v>2</v>
      </c>
      <c r="BX54" s="1">
        <f ca="1">IFERROR(__xludf.DUMMYFUNCTION("""COMPUTED_VALUE"""),2)</f>
        <v>2</v>
      </c>
      <c r="BY54" s="1">
        <f ca="1">IFERROR(__xludf.DUMMYFUNCTION("""COMPUTED_VALUE"""),2)</f>
        <v>2</v>
      </c>
      <c r="BZ54" s="1">
        <f ca="1">IFERROR(__xludf.DUMMYFUNCTION("""COMPUTED_VALUE"""),0)</f>
        <v>0</v>
      </c>
      <c r="CA54" s="1"/>
      <c r="CB54" s="1"/>
      <c r="CC54" s="1" t="str">
        <f ca="1">IFERROR(__xludf.DUMMYFUNCTION("""COMPUTED_VALUE"""),"आत्मरक्षा मनोरोगों से भी करनी चाहिये : Rare Book")</f>
        <v>आत्मरक्षा मनोरोगों से भी करनी चाहिये : Rare Book</v>
      </c>
      <c r="CD54" s="3" t="str">
        <f ca="1">IFERROR(__xludf.DUMMYFUNCTION("""COMPUTED_VALUE"""),"https://vicharkrantibooks.org/productdetail?book_name=HINF0050_ATMARAKSHA_MANOROGON_SE_BHI_KARANI_CHAHIYE_xxyyyy&amp;product_id=270")</f>
        <v>https://vicharkrantibooks.org/productdetail?book_name=HINF0050_ATMARAKSHA_MANOROGON_SE_BHI_KARANI_CHAHIYE_xxyyyy&amp;product_id=270</v>
      </c>
      <c r="CE54" s="1" t="str">
        <f ca="1">IFERROR(__xludf.DUMMYFUNCTION("""COMPUTED_VALUE"""),"Audiobook : आत्मरक्षा मनोरोगों से भी करनी चाहिये : Rare Book : mishra.iresh@gmail.com : Recorded")</f>
        <v>Audiobook : आत्मरक्षा मनोरोगों से भी करनी चाहिये : Rare Book : mishra.iresh@gmail.com : Recorded</v>
      </c>
      <c r="CF54" s="1" t="str">
        <f ca="1">IFERROR(__xludf.DUMMYFUNCTION("""COMPUTED_VALUE"""),"#N/A")</f>
        <v>#N/A</v>
      </c>
      <c r="CG54" s="1" t="str">
        <f ca="1">IFERROR(__xludf.DUMMYFUNCTION("""COMPUTED_VALUE"""),"Adarniya Iresh Mishra ji आत्मरक्षा मनोरोगों से भी करनी चाहिये : Rare Book : Allocated on 14-Aug-24 Contact Number  8839336719")</f>
        <v>Adarniya Iresh Mishra ji आत्मरक्षा मनोरोगों से भी करनी चाहिये : Rare Book : Allocated on 14-Aug-24 Contact Number  8839336719</v>
      </c>
      <c r="CH54" s="1" t="str">
        <f ca="1">IFERROR(__xludf.DUMMYFUNCTION("""COMPUTED_VALUE"""),"mishra.iresh@gmail.com : आत्मरक्षा मनोरोगों से भी करनी चाहिये : Rare Book")</f>
        <v>mishra.iresh@gmail.com : आत्मरक्षा मनोरोगों से भी करनी चाहिये : Rare Book</v>
      </c>
      <c r="CI54" s="5">
        <f ca="1">IFERROR(__xludf.DUMMYFUNCTION("""COMPUTED_VALUE"""),45518.0032987152)</f>
        <v>45518.003298715201</v>
      </c>
    </row>
    <row r="55" spans="1:87" x14ac:dyDescent="0.25">
      <c r="A55" s="5">
        <f ca="1">IFERROR(__xludf.DUMMYFUNCTION("""COMPUTED_VALUE"""),45517.7021982407)</f>
        <v>45517.702198240702</v>
      </c>
      <c r="B55" s="1" t="str">
        <f ca="1">IFERROR(__xludf.DUMMYFUNCTION("""COMPUTED_VALUE"""),"pragyapaliwal78@gmail.com")</f>
        <v>pragyapaliwal78@gmail.com</v>
      </c>
      <c r="C55" s="1" t="str">
        <f ca="1">IFERROR(__xludf.DUMMYFUNCTION("""COMPUTED_VALUE"""),"Pragya paliwal")</f>
        <v>Pragya paliwal</v>
      </c>
      <c r="D55" s="1">
        <f ca="1">IFERROR(__xludf.DUMMYFUNCTION("""COMPUTED_VALUE"""),8696296388)</f>
        <v>8696296388</v>
      </c>
      <c r="E55" s="1" t="str">
        <f ca="1">IFERROR(__xludf.DUMMYFUNCTION("""COMPUTED_VALUE"""),"Yes")</f>
        <v>Yes</v>
      </c>
      <c r="F55" s="1" t="str">
        <f ca="1">IFERROR(__xludf.DUMMYFUNCTION("""COMPUTED_VALUE"""),"हिन्दी")</f>
        <v>हिन्दी</v>
      </c>
      <c r="G55" s="1" t="str">
        <f ca="1">IFERROR(__xludf.DUMMYFUNCTION("""COMPUTED_VALUE"""),"समग्र स्वास्थ्य")</f>
        <v>समग्र स्वास्थ्य</v>
      </c>
      <c r="H55" s="1"/>
      <c r="I55" s="1"/>
      <c r="J55" s="1"/>
      <c r="K55" s="1"/>
      <c r="L55" s="1"/>
      <c r="M55" s="1"/>
      <c r="N55" s="1"/>
      <c r="O55" s="1"/>
      <c r="P55" s="1"/>
      <c r="Q55" s="1"/>
      <c r="R55" s="1"/>
      <c r="S55" s="1"/>
      <c r="T55" s="1"/>
      <c r="U55" s="1" t="str">
        <f ca="1">IFERROR(__xludf.DUMMYFUNCTION("""COMPUTED_VALUE"""),"मानसिक स्वास्थ्य")</f>
        <v>मानसिक स्वास्थ्य</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f ca="1">IFERROR(__xludf.DUMMYFUNCTION("""COMPUTED_VALUE"""),11)</f>
        <v>11</v>
      </c>
      <c r="BX55" s="1">
        <f ca="1">IFERROR(__xludf.DUMMYFUNCTION("""COMPUTED_VALUE"""),7)</f>
        <v>7</v>
      </c>
      <c r="BY55" s="1">
        <f ca="1">IFERROR(__xludf.DUMMYFUNCTION("""COMPUTED_VALUE"""),11)</f>
        <v>11</v>
      </c>
      <c r="BZ55" s="1">
        <f ca="1">IFERROR(__xludf.DUMMYFUNCTION("""COMPUTED_VALUE"""),0)</f>
        <v>0</v>
      </c>
      <c r="CA55" s="1"/>
      <c r="CB55" s="1"/>
      <c r="CC55" s="1" t="str">
        <f ca="1">IFERROR(__xludf.DUMMYFUNCTION("""COMPUTED_VALUE"""),"मानसिक स्वास्थ्य को भी सुधारें : Rare Book")</f>
        <v>मानसिक स्वास्थ्य को भी सुधारें : Rare Book</v>
      </c>
      <c r="CD55" s="3" t="str">
        <f ca="1">IFERROR(__xludf.DUMMYFUNCTION("""COMPUTED_VALUE"""),"https://vicharkrantibooks.org/productdetail?book_name=HINP0497_MANASIK_SWASTHY_KO_BHI_SUDHAREN_xxyyyy&amp;product_id=1062")</f>
        <v>https://vicharkrantibooks.org/productdetail?book_name=HINP0497_MANASIK_SWASTHY_KO_BHI_SUDHAREN_xxyyyy&amp;product_id=1062</v>
      </c>
      <c r="CE55" s="1" t="str">
        <f ca="1">IFERROR(__xludf.DUMMYFUNCTION("""COMPUTED_VALUE"""),"Audiobook : मानसिक स्वास्थ्य को भी सुधारें : Rare Book : pragyapaliwal78@gmail.com : Recorded")</f>
        <v>Audiobook : मानसिक स्वास्थ्य को भी सुधारें : Rare Book : pragyapaliwal78@gmail.com : Recorded</v>
      </c>
      <c r="CF55" s="1" t="str">
        <f ca="1">IFERROR(__xludf.DUMMYFUNCTION("""COMPUTED_VALUE"""),"#N/A")</f>
        <v>#N/A</v>
      </c>
      <c r="CG55" s="1" t="str">
        <f ca="1">IFERROR(__xludf.DUMMYFUNCTION("""COMPUTED_VALUE"""),"Adarniya Pragya paliwal ji मानसिक स्वास्थ्य को भी सुधारें : Rare Book : Allocated on 13-Aug-24 Contact Number  8696296388")</f>
        <v>Adarniya Pragya paliwal ji मानसिक स्वास्थ्य को भी सुधारें : Rare Book : Allocated on 13-Aug-24 Contact Number  8696296388</v>
      </c>
      <c r="CH55" s="1" t="str">
        <f ca="1">IFERROR(__xludf.DUMMYFUNCTION("""COMPUTED_VALUE"""),"pragyapaliwal78@gmail.com : मानसिक स्वास्थ्य को भी सुधारें : Rare Book")</f>
        <v>pragyapaliwal78@gmail.com : मानसिक स्वास्थ्य को भी सुधारें : Rare Book</v>
      </c>
      <c r="CI55" s="5">
        <f ca="1">IFERROR(__xludf.DUMMYFUNCTION("""COMPUTED_VALUE"""),45517.7021982407)</f>
        <v>45517.702198240702</v>
      </c>
    </row>
    <row r="56" spans="1:87" x14ac:dyDescent="0.25">
      <c r="A56" s="5">
        <f ca="1">IFERROR(__xludf.DUMMYFUNCTION("""COMPUTED_VALUE"""),45517.6966852546)</f>
        <v>45517.696685254603</v>
      </c>
      <c r="B56" s="1" t="str">
        <f ca="1">IFERROR(__xludf.DUMMYFUNCTION("""COMPUTED_VALUE"""),"rekhabhagat2511@gmail.com")</f>
        <v>rekhabhagat2511@gmail.com</v>
      </c>
      <c r="C56" s="1" t="str">
        <f ca="1">IFERROR(__xludf.DUMMYFUNCTION("""COMPUTED_VALUE"""),"Rekha Bhagat")</f>
        <v>Rekha Bhagat</v>
      </c>
      <c r="D56" s="1">
        <f ca="1">IFERROR(__xludf.DUMMYFUNCTION("""COMPUTED_VALUE"""),9424811235)</f>
        <v>9424811235</v>
      </c>
      <c r="E56" s="1" t="str">
        <f ca="1">IFERROR(__xludf.DUMMYFUNCTION("""COMPUTED_VALUE"""),"Yes")</f>
        <v>Yes</v>
      </c>
      <c r="F56" s="1" t="str">
        <f ca="1">IFERROR(__xludf.DUMMYFUNCTION("""COMPUTED_VALUE"""),"हिन्दी")</f>
        <v>हिन्दी</v>
      </c>
      <c r="G56" s="1" t="str">
        <f ca="1">IFERROR(__xludf.DUMMYFUNCTION("""COMPUTED_VALUE"""),"राष्ट्र निर्माण")</f>
        <v>राष्ट्र निर्माण</v>
      </c>
      <c r="H56" s="1"/>
      <c r="I56" s="1"/>
      <c r="J56" s="1"/>
      <c r="K56" s="1"/>
      <c r="L56" s="1"/>
      <c r="M56" s="1"/>
      <c r="N56" s="1"/>
      <c r="O56" s="1"/>
      <c r="P56" s="1"/>
      <c r="Q56" s="1"/>
      <c r="R56" s="1" t="str">
        <f ca="1">IFERROR(__xludf.DUMMYFUNCTION("""COMPUTED_VALUE"""),"गोपालन और ग्रामोत्थान")</f>
        <v>गोपालन और ग्रामोत्थान</v>
      </c>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f ca="1">IFERROR(__xludf.DUMMYFUNCTION("""COMPUTED_VALUE"""),19)</f>
        <v>19</v>
      </c>
      <c r="BX56" s="1">
        <f ca="1">IFERROR(__xludf.DUMMYFUNCTION("""COMPUTED_VALUE"""),4)</f>
        <v>4</v>
      </c>
      <c r="BY56" s="1">
        <f ca="1">IFERROR(__xludf.DUMMYFUNCTION("""COMPUTED_VALUE"""),16)</f>
        <v>16</v>
      </c>
      <c r="BZ56" s="1">
        <f ca="1">IFERROR(__xludf.DUMMYFUNCTION("""COMPUTED_VALUE"""),4)</f>
        <v>4</v>
      </c>
      <c r="CA56" s="1"/>
      <c r="CB56" s="1"/>
      <c r="CC56" s="1" t="str">
        <f ca="1">IFERROR(__xludf.DUMMYFUNCTION("""COMPUTED_VALUE"""),"लक्ष्मी को रोकें नहीं, नारायण के पास जाने दें : Rare Book")</f>
        <v>लक्ष्मी को रोकें नहीं, नारायण के पास जाने दें : Rare Book</v>
      </c>
      <c r="CD56" s="3" t="str">
        <f ca="1">IFERROR(__xludf.DUMMYFUNCTION("""COMPUTED_VALUE"""),"https://vicharkrantibooks.org/productdetail?book_name=HINP0454_LAKSHMI_KO_ROKEN_NAHIN_NARAYAN_KE_PAS_JANE_DEN_xxyyyy&amp;product_id=1019")</f>
        <v>https://vicharkrantibooks.org/productdetail?book_name=HINP0454_LAKSHMI_KO_ROKEN_NAHIN_NARAYAN_KE_PAS_JANE_DEN_xxyyyy&amp;product_id=1019</v>
      </c>
      <c r="CE56" s="1" t="str">
        <f ca="1">IFERROR(__xludf.DUMMYFUNCTION("""COMPUTED_VALUE"""),"Audiobook : लक्ष्मी को रोकें नहीं, नारायण के पास जाने दें : Rare Book : rekhabhagat2511@gmail.com : Recorded")</f>
        <v>Audiobook : लक्ष्मी को रोकें नहीं, नारायण के पास जाने दें : Rare Book : rekhabhagat2511@gmail.com : Recorded</v>
      </c>
      <c r="CF56" s="1" t="str">
        <f ca="1">IFERROR(__xludf.DUMMYFUNCTION("""COMPUTED_VALUE"""),"#N/A")</f>
        <v>#N/A</v>
      </c>
      <c r="CG56" s="1" t="str">
        <f ca="1">IFERROR(__xludf.DUMMYFUNCTION("""COMPUTED_VALUE"""),"Adarniya Rekha Bhagat ji लक्ष्मी को रोकें नहीं, नारायण के पास जाने दें : Rare Book : Allocated on 13-Aug-24 Contact Number  9424811235")</f>
        <v>Adarniya Rekha Bhagat ji लक्ष्मी को रोकें नहीं, नारायण के पास जाने दें : Rare Book : Allocated on 13-Aug-24 Contact Number  9424811235</v>
      </c>
      <c r="CH56" s="1" t="str">
        <f ca="1">IFERROR(__xludf.DUMMYFUNCTION("""COMPUTED_VALUE"""),"rekhabhagat2511@gmail.com : लक्ष्मी को रोकें नहीं, नारायण के पास जाने दें : Rare Book")</f>
        <v>rekhabhagat2511@gmail.com : लक्ष्मी को रोकें नहीं, नारायण के पास जाने दें : Rare Book</v>
      </c>
      <c r="CI56" s="5">
        <f ca="1">IFERROR(__xludf.DUMMYFUNCTION("""COMPUTED_VALUE"""),45517.6966852546)</f>
        <v>45517.696685254603</v>
      </c>
    </row>
    <row r="57" spans="1:87" x14ac:dyDescent="0.25">
      <c r="A57" s="5">
        <f ca="1">IFERROR(__xludf.DUMMYFUNCTION("""COMPUTED_VALUE"""),45516.9422422916)</f>
        <v>45516.942242291603</v>
      </c>
      <c r="B57" s="1" t="str">
        <f ca="1">IFERROR(__xludf.DUMMYFUNCTION("""COMPUTED_VALUE"""),"rajnivarma24.vns@gmail.com")</f>
        <v>rajnivarma24.vns@gmail.com</v>
      </c>
      <c r="C57" s="1" t="str">
        <f ca="1">IFERROR(__xludf.DUMMYFUNCTION("""COMPUTED_VALUE"""),"Rajni varma")</f>
        <v>Rajni varma</v>
      </c>
      <c r="D57" s="1">
        <f ca="1">IFERROR(__xludf.DUMMYFUNCTION("""COMPUTED_VALUE"""),9335661433)</f>
        <v>9335661433</v>
      </c>
      <c r="E57" s="1" t="str">
        <f ca="1">IFERROR(__xludf.DUMMYFUNCTION("""COMPUTED_VALUE"""),"No")</f>
        <v>No</v>
      </c>
      <c r="F57" s="1" t="str">
        <f ca="1">IFERROR(__xludf.DUMMYFUNCTION("""COMPUTED_VALUE"""),"हिन्दी")</f>
        <v>हिन्दी</v>
      </c>
      <c r="G57" s="1" t="str">
        <f ca="1">IFERROR(__xludf.DUMMYFUNCTION("""COMPUTED_VALUE"""),"भारतीय संस्कृति")</f>
        <v>भारतीय संस्कृति</v>
      </c>
      <c r="H57" s="1"/>
      <c r="I57" s="1"/>
      <c r="J57" s="1"/>
      <c r="K57" s="1"/>
      <c r="L57" s="1"/>
      <c r="M57" s="1"/>
      <c r="N57" s="1"/>
      <c r="O57" s="1" t="str">
        <f ca="1">IFERROR(__xludf.DUMMYFUNCTION("""COMPUTED_VALUE"""),"भारतीय संस्कृति")</f>
        <v>भारतीय संस्कृति</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f ca="1">IFERROR(__xludf.DUMMYFUNCTION("""COMPUTED_VALUE"""),30)</f>
        <v>30</v>
      </c>
      <c r="BX57" s="1">
        <f ca="1">IFERROR(__xludf.DUMMYFUNCTION("""COMPUTED_VALUE"""),37)</f>
        <v>37</v>
      </c>
      <c r="BY57" s="1">
        <f ca="1">IFERROR(__xludf.DUMMYFUNCTION("""COMPUTED_VALUE"""),39)</f>
        <v>39</v>
      </c>
      <c r="BZ57" s="1">
        <f ca="1">IFERROR(__xludf.DUMMYFUNCTION("""COMPUTED_VALUE"""),7)</f>
        <v>7</v>
      </c>
      <c r="CA57" s="1"/>
      <c r="CB57" s="1"/>
      <c r="CC57" s="1" t="str">
        <f ca="1">IFERROR(__xludf.DUMMYFUNCTION("""COMPUTED_VALUE"""),"गायत्री अनुष्ठान और उसका विधि विधान : Rare Book")</f>
        <v>गायत्री अनुष्ठान और उसका विधि विधान : Rare Book</v>
      </c>
      <c r="CD57" s="3" t="str">
        <f ca="1">IFERROR(__xludf.DUMMYFUNCTION("""COMPUTED_VALUE"""),"https://vicharkrantibooks.org/productdetail?book_name=HINP0276_GAYATRI_ANUSHTHAN_AUR_USAKA_VIDHI_VIDHAN_xx1978&amp;product_id=841")</f>
        <v>https://vicharkrantibooks.org/productdetail?book_name=HINP0276_GAYATRI_ANUSHTHAN_AUR_USAKA_VIDHI_VIDHAN_xx1978&amp;product_id=841</v>
      </c>
      <c r="CE57" s="1" t="str">
        <f ca="1">IFERROR(__xludf.DUMMYFUNCTION("""COMPUTED_VALUE"""),"Audiobook : गायत्री अनुष्ठान और उसका विधि विधान : Rare Book : rajnivarma24.vns@gmail.com : Recorded")</f>
        <v>Audiobook : गायत्री अनुष्ठान और उसका विधि विधान : Rare Book : rajnivarma24.vns@gmail.com : Recorded</v>
      </c>
      <c r="CF57" s="1" t="str">
        <f ca="1">IFERROR(__xludf.DUMMYFUNCTION("""COMPUTED_VALUE"""),"#N/A")</f>
        <v>#N/A</v>
      </c>
      <c r="CG57" s="1" t="str">
        <f ca="1">IFERROR(__xludf.DUMMYFUNCTION("""COMPUTED_VALUE"""),"Adarniya Rajni varma ji गायत्री अनुष्ठान और उसका विधि विधान : Rare Book : Allocated on 12-Aug-24 Contact Number  9335661433")</f>
        <v>Adarniya Rajni varma ji गायत्री अनुष्ठान और उसका विधि विधान : Rare Book : Allocated on 12-Aug-24 Contact Number  9335661433</v>
      </c>
      <c r="CH57" s="1" t="str">
        <f ca="1">IFERROR(__xludf.DUMMYFUNCTION("""COMPUTED_VALUE"""),"rajnivarma24.vns@gmail.com : गायत्री अनुष्ठान और उसका विधि विधान : Rare Book")</f>
        <v>rajnivarma24.vns@gmail.com : गायत्री अनुष्ठान और उसका विधि विधान : Rare Book</v>
      </c>
      <c r="CI57" s="5">
        <f ca="1">IFERROR(__xludf.DUMMYFUNCTION("""COMPUTED_VALUE"""),45516.9422422916)</f>
        <v>45516.942242291603</v>
      </c>
    </row>
    <row r="58" spans="1:87" x14ac:dyDescent="0.25">
      <c r="A58" s="5">
        <f ca="1">IFERROR(__xludf.DUMMYFUNCTION("""COMPUTED_VALUE"""),45516.4917699305)</f>
        <v>45516.491769930501</v>
      </c>
      <c r="B58" s="1" t="str">
        <f ca="1">IFERROR(__xludf.DUMMYFUNCTION("""COMPUTED_VALUE"""),"nksaxena.yoga@gmail.com")</f>
        <v>nksaxena.yoga@gmail.com</v>
      </c>
      <c r="C58" s="1" t="str">
        <f ca="1">IFERROR(__xludf.DUMMYFUNCTION("""COMPUTED_VALUE"""),"Narendra Kumar Saxena")</f>
        <v>Narendra Kumar Saxena</v>
      </c>
      <c r="D58" s="1" t="str">
        <f ca="1">IFERROR(__xludf.DUMMYFUNCTION("""COMPUTED_VALUE"""),"+918826499188")</f>
        <v>+918826499188</v>
      </c>
      <c r="E58" s="1" t="str">
        <f ca="1">IFERROR(__xludf.DUMMYFUNCTION("""COMPUTED_VALUE"""),"Yes")</f>
        <v>Yes</v>
      </c>
      <c r="F58" s="1" t="str">
        <f ca="1">IFERROR(__xludf.DUMMYFUNCTION("""COMPUTED_VALUE"""),"हिन्दी")</f>
        <v>हिन्दी</v>
      </c>
      <c r="G58" s="1" t="str">
        <f ca="1">IFERROR(__xludf.DUMMYFUNCTION("""COMPUTED_VALUE"""),"राष्ट्र निर्माण")</f>
        <v>राष्ट्र निर्माण</v>
      </c>
      <c r="H58" s="1"/>
      <c r="I58" s="1"/>
      <c r="J58" s="1"/>
      <c r="K58" s="1"/>
      <c r="L58" s="1"/>
      <c r="M58" s="1"/>
      <c r="N58" s="1"/>
      <c r="O58" s="1"/>
      <c r="P58" s="1"/>
      <c r="Q58" s="1"/>
      <c r="R58" s="1" t="str">
        <f ca="1">IFERROR(__xludf.DUMMYFUNCTION("""COMPUTED_VALUE"""),"राष्ट्र निर्माण")</f>
        <v>राष्ट्र निर्माण</v>
      </c>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f ca="1">IFERROR(__xludf.DUMMYFUNCTION("""COMPUTED_VALUE"""),29)</f>
        <v>29</v>
      </c>
      <c r="BX58" s="1">
        <f ca="1">IFERROR(__xludf.DUMMYFUNCTION("""COMPUTED_VALUE"""),8)</f>
        <v>8</v>
      </c>
      <c r="BY58" s="1">
        <f ca="1">IFERROR(__xludf.DUMMYFUNCTION("""COMPUTED_VALUE"""),6)</f>
        <v>6</v>
      </c>
      <c r="BZ58" s="1">
        <f ca="1">IFERROR(__xludf.DUMMYFUNCTION("""COMPUTED_VALUE"""),25)</f>
        <v>25</v>
      </c>
      <c r="CA58" s="1"/>
      <c r="CB58" s="1"/>
      <c r="CC58" s="1" t="str">
        <f ca="1">IFERROR(__xludf.DUMMYFUNCTION("""COMPUTED_VALUE"""),"शिक्षा को सार्थक बनाया जाय : Rare Book")</f>
        <v>शिक्षा को सार्थक बनाया जाय : Rare Book</v>
      </c>
      <c r="CD58" s="3" t="str">
        <f ca="1">IFERROR(__xludf.DUMMYFUNCTION("""COMPUTED_VALUE"""),"https://vicharkrantibooks.org/productdetail?book_name=HINP0846_SHIKSHA_KO_SARTHAK_BANAYA_JAY_xx1981&amp;product_id=1411")</f>
        <v>https://vicharkrantibooks.org/productdetail?book_name=HINP0846_SHIKSHA_KO_SARTHAK_BANAYA_JAY_xx1981&amp;product_id=1411</v>
      </c>
      <c r="CE58" s="1" t="str">
        <f ca="1">IFERROR(__xludf.DUMMYFUNCTION("""COMPUTED_VALUE"""),"Audiobook : शिक्षा को सार्थक बनाया जाय : Rare Book : nksaxena.yoga@gmail.com : Recorded")</f>
        <v>Audiobook : शिक्षा को सार्थक बनाया जाय : Rare Book : nksaxena.yoga@gmail.com : Recorded</v>
      </c>
      <c r="CF58" s="1" t="str">
        <f ca="1">IFERROR(__xludf.DUMMYFUNCTION("""COMPUTED_VALUE"""),"#N/A")</f>
        <v>#N/A</v>
      </c>
      <c r="CG58" s="1" t="str">
        <f ca="1">IFERROR(__xludf.DUMMYFUNCTION("""COMPUTED_VALUE"""),"Adarniya Narendra Kumar Saxena ji शिक्षा को सार्थक बनाया जाय : Rare Book : Allocated on 12-Aug-24 Contact Number  +918826499188")</f>
        <v>Adarniya Narendra Kumar Saxena ji शिक्षा को सार्थक बनाया जाय : Rare Book : Allocated on 12-Aug-24 Contact Number  +918826499188</v>
      </c>
      <c r="CH58" s="1" t="str">
        <f ca="1">IFERROR(__xludf.DUMMYFUNCTION("""COMPUTED_VALUE"""),"nksaxena.yoga@gmail.com : शिक्षा को सार्थक बनाया जाय : Rare Book")</f>
        <v>nksaxena.yoga@gmail.com : शिक्षा को सार्थक बनाया जाय : Rare Book</v>
      </c>
      <c r="CI58" s="5">
        <f ca="1">IFERROR(__xludf.DUMMYFUNCTION("""COMPUTED_VALUE"""),45516.4917699305)</f>
        <v>45516.491769930501</v>
      </c>
    </row>
    <row r="59" spans="1:87" x14ac:dyDescent="0.25">
      <c r="A59" s="5">
        <f ca="1">IFERROR(__xludf.DUMMYFUNCTION("""COMPUTED_VALUE"""),45515.9043379861)</f>
        <v>45515.904337986103</v>
      </c>
      <c r="B59" s="1" t="str">
        <f ca="1">IFERROR(__xludf.DUMMYFUNCTION("""COMPUTED_VALUE"""),"lokesh16191@gmail.com")</f>
        <v>lokesh16191@gmail.com</v>
      </c>
      <c r="C59" s="1" t="str">
        <f ca="1">IFERROR(__xludf.DUMMYFUNCTION("""COMPUTED_VALUE"""),"Lokesh Verma")</f>
        <v>Lokesh Verma</v>
      </c>
      <c r="D59" s="1">
        <f ca="1">IFERROR(__xludf.DUMMYFUNCTION("""COMPUTED_VALUE"""),9026442452)</f>
        <v>9026442452</v>
      </c>
      <c r="E59" s="1" t="str">
        <f ca="1">IFERROR(__xludf.DUMMYFUNCTION("""COMPUTED_VALUE"""),"Artificial Intelligence")</f>
        <v>Artificial Intelligence</v>
      </c>
      <c r="F59" s="1" t="str">
        <f ca="1">IFERROR(__xludf.DUMMYFUNCTION("""COMPUTED_VALUE"""),"हिन्दी or English")</f>
        <v>हिन्दी or English</v>
      </c>
      <c r="G59" s="1" t="str">
        <f ca="1">IFERROR(__xludf.DUMMYFUNCTION("""COMPUTED_VALUE"""),"समग्र स्वास्थ्य")</f>
        <v>समग्र स्वास्थ्य</v>
      </c>
      <c r="H59" s="1"/>
      <c r="I59" s="1"/>
      <c r="J59" s="1"/>
      <c r="K59" s="1"/>
      <c r="L59" s="1"/>
      <c r="M59" s="1"/>
      <c r="N59" s="1"/>
      <c r="O59" s="1"/>
      <c r="P59" s="1"/>
      <c r="Q59" s="1"/>
      <c r="R59" s="1"/>
      <c r="S59" s="1"/>
      <c r="T59" s="1"/>
      <c r="U59" s="1" t="str">
        <f ca="1">IFERROR(__xludf.DUMMYFUNCTION("""COMPUTED_VALUE"""),"आहार-विहार एवं उपवास")</f>
        <v>आहार-विहार एवं उपवास</v>
      </c>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f ca="1">IFERROR(__xludf.DUMMYFUNCTION("""COMPUTED_VALUE"""),4)</f>
        <v>4</v>
      </c>
      <c r="BX59" s="1">
        <f ca="1">IFERROR(__xludf.DUMMYFUNCTION("""COMPUTED_VALUE"""),3)</f>
        <v>3</v>
      </c>
      <c r="BY59" s="1">
        <f ca="1">IFERROR(__xludf.DUMMYFUNCTION("""COMPUTED_VALUE"""),4)</f>
        <v>4</v>
      </c>
      <c r="BZ59" s="1">
        <f ca="1">IFERROR(__xludf.DUMMYFUNCTION("""COMPUTED_VALUE"""),1)</f>
        <v>1</v>
      </c>
      <c r="CA59" s="1"/>
      <c r="CB59" s="1"/>
      <c r="CC59" s="1" t="str">
        <f ca="1">IFERROR(__xludf.DUMMYFUNCTION("""COMPUTED_VALUE"""),"Pragya Yoga For Happy And Healthy Life : EP_81")</f>
        <v>Pragya Yoga For Happy And Healthy Life : EP_81</v>
      </c>
      <c r="CD59" s="3" t="str">
        <f ca="1">IFERROR(__xludf.DUMMYFUNCTION("""COMPUTED_VALUE"""),"https://vicharkrantibooks.org/productdetail?book_name=ENGR0988_PRAGYA_YOGA_FOR_HAPPY_AND_HEALTHY_LIFE_RE2014&amp;product_id=3476")</f>
        <v>https://vicharkrantibooks.org/productdetail?book_name=ENGR0988_PRAGYA_YOGA_FOR_HAPPY_AND_HEALTHY_LIFE_RE2014&amp;product_id=3476</v>
      </c>
      <c r="CE59" s="1" t="str">
        <f ca="1">IFERROR(__xludf.DUMMYFUNCTION("""COMPUTED_VALUE"""),"Audiobook : Pragya Yoga For Happy And Healthy Life : EP_81 : lokesh16191@gmail.com : Recorded")</f>
        <v>Audiobook : Pragya Yoga For Happy And Healthy Life : EP_81 : lokesh16191@gmail.com : Recorded</v>
      </c>
      <c r="CF59" s="1" t="str">
        <f ca="1">IFERROR(__xludf.DUMMYFUNCTION("""COMPUTED_VALUE"""),"Audiobook : Pragya Yoga For Happy And Healthy Life : EP_81 : lokesh16191@gmail.com : Recorded")</f>
        <v>Audiobook : Pragya Yoga For Happy And Healthy Life : EP_81 : lokesh16191@gmail.com : Recorded</v>
      </c>
      <c r="CG59" s="1" t="str">
        <f ca="1">IFERROR(__xludf.DUMMYFUNCTION("""COMPUTED_VALUE"""),"Adarniya Lokesh Verma ji Pragya Yoga For Happy And Healthy Life : EP_81 : Allocated on 11-Aug-24 Contact Number  9026442452")</f>
        <v>Adarniya Lokesh Verma ji Pragya Yoga For Happy And Healthy Life : EP_81 : Allocated on 11-Aug-24 Contact Number  9026442452</v>
      </c>
      <c r="CH59" s="1" t="str">
        <f ca="1">IFERROR(__xludf.DUMMYFUNCTION("""COMPUTED_VALUE"""),"lokesh16191@gmail.com : Pragya Yoga For Happy And Healthy Life : EP_81")</f>
        <v>lokesh16191@gmail.com : Pragya Yoga For Happy And Healthy Life : EP_81</v>
      </c>
      <c r="CI59" s="5">
        <f ca="1">IFERROR(__xludf.DUMMYFUNCTION("""COMPUTED_VALUE"""),45515.9043379861)</f>
        <v>45515.904337986103</v>
      </c>
    </row>
    <row r="60" spans="1:87" x14ac:dyDescent="0.25">
      <c r="A60" s="5">
        <f ca="1">IFERROR(__xludf.DUMMYFUNCTION("""COMPUTED_VALUE"""),45515.8824753125)</f>
        <v>45515.882475312501</v>
      </c>
      <c r="B60" s="1" t="str">
        <f ca="1">IFERROR(__xludf.DUMMYFUNCTION("""COMPUTED_VALUE"""),"sundrani.dipak@gmail.com")</f>
        <v>sundrani.dipak@gmail.com</v>
      </c>
      <c r="C60" s="1" t="str">
        <f ca="1">IFERROR(__xludf.DUMMYFUNCTION("""COMPUTED_VALUE"""),"Dipak ")</f>
        <v xml:space="preserve">Dipak </v>
      </c>
      <c r="D60" s="1">
        <f ca="1">IFERROR(__xludf.DUMMYFUNCTION("""COMPUTED_VALUE"""),9422330066)</f>
        <v>9422330066</v>
      </c>
      <c r="E60" s="1" t="str">
        <f ca="1">IFERROR(__xludf.DUMMYFUNCTION("""COMPUTED_VALUE"""),"Artificial Intelligence")</f>
        <v>Artificial Intelligence</v>
      </c>
      <c r="F60" s="1" t="str">
        <f ca="1">IFERROR(__xludf.DUMMYFUNCTION("""COMPUTED_VALUE"""),"हिन्दी or English")</f>
        <v>हिन्दी or English</v>
      </c>
      <c r="G60" s="1" t="str">
        <f ca="1">IFERROR(__xludf.DUMMYFUNCTION("""COMPUTED_VALUE"""),"Any")</f>
        <v>Any</v>
      </c>
      <c r="H60" s="1" t="str">
        <f ca="1">IFERROR(__xludf.DUMMYFUNCTION("""COMPUTED_VALUE"""),"आत्मज्ञान एवं आत्मनिर्माण")</f>
        <v>आत्मज्ञान एवं आत्मनिर्माण</v>
      </c>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f ca="1">IFERROR(__xludf.DUMMYFUNCTION("""COMPUTED_VALUE"""),1)</f>
        <v>1</v>
      </c>
      <c r="BX60" s="1">
        <f ca="1">IFERROR(__xludf.DUMMYFUNCTION("""COMPUTED_VALUE"""),1)</f>
        <v>1</v>
      </c>
      <c r="BY60" s="1">
        <f ca="1">IFERROR(__xludf.DUMMYFUNCTION("""COMPUTED_VALUE"""),1)</f>
        <v>1</v>
      </c>
      <c r="BZ60" s="1">
        <f ca="1">IFERROR(__xludf.DUMMYFUNCTION("""COMPUTED_VALUE"""),0)</f>
        <v>0</v>
      </c>
      <c r="CA60" s="1"/>
      <c r="CB60" s="1"/>
      <c r="CC60" s="1" t="str">
        <f ca="1">IFERROR(__xludf.DUMMYFUNCTION("""COMPUTED_VALUE"""),"Gurudev Prophet Of New Era : EP_55")</f>
        <v>Gurudev Prophet Of New Era : EP_55</v>
      </c>
      <c r="CD60" s="3" t="str">
        <f ca="1">IFERROR(__xludf.DUMMYFUNCTION("""COMPUTED_VALUE"""),"https://vicharkrantibooks.org/productdetail?book_name=ENGR1000_GURUDEV_PROPHET_OF_NEW_ERA_xx2009&amp;product_id=3448")</f>
        <v>https://vicharkrantibooks.org/productdetail?book_name=ENGR1000_GURUDEV_PROPHET_OF_NEW_ERA_xx2009&amp;product_id=3448</v>
      </c>
      <c r="CE60" s="1" t="str">
        <f ca="1">IFERROR(__xludf.DUMMYFUNCTION("""COMPUTED_VALUE"""),"Audiobook : Gurudev Prophet Of New Era : EP_55 : sundrani.dipak@gmail.com : Recorded")</f>
        <v>Audiobook : Gurudev Prophet Of New Era : EP_55 : sundrani.dipak@gmail.com : Recorded</v>
      </c>
      <c r="CF60" s="1" t="str">
        <f ca="1">IFERROR(__xludf.DUMMYFUNCTION("""COMPUTED_VALUE"""),"#N/A")</f>
        <v>#N/A</v>
      </c>
      <c r="CG60" s="1" t="str">
        <f ca="1">IFERROR(__xludf.DUMMYFUNCTION("""COMPUTED_VALUE"""),"Adarniya Dipak  ji Gurudev Prophet Of New Era : EP_55 : Allocated on 11-Aug-24 Contact Number  9422330066")</f>
        <v>Adarniya Dipak  ji Gurudev Prophet Of New Era : EP_55 : Allocated on 11-Aug-24 Contact Number  9422330066</v>
      </c>
      <c r="CH60" s="1" t="str">
        <f ca="1">IFERROR(__xludf.DUMMYFUNCTION("""COMPUTED_VALUE"""),"sundrani.dipak@gmail.com : Gurudev Prophet Of New Era : EP_55")</f>
        <v>sundrani.dipak@gmail.com : Gurudev Prophet Of New Era : EP_55</v>
      </c>
      <c r="CI60" s="5">
        <f ca="1">IFERROR(__xludf.DUMMYFUNCTION("""COMPUTED_VALUE"""),45515.8824753125)</f>
        <v>45515.882475312501</v>
      </c>
    </row>
    <row r="61" spans="1:87" x14ac:dyDescent="0.25">
      <c r="A61" s="5">
        <f ca="1">IFERROR(__xludf.DUMMYFUNCTION("""COMPUTED_VALUE"""),45515.7807735763)</f>
        <v>45515.780773576298</v>
      </c>
      <c r="B61" s="1" t="str">
        <f ca="1">IFERROR(__xludf.DUMMYFUNCTION("""COMPUTED_VALUE"""),"sunitaster@gmail.com")</f>
        <v>sunitaster@gmail.com</v>
      </c>
      <c r="C61" s="1" t="str">
        <f ca="1">IFERROR(__xludf.DUMMYFUNCTION("""COMPUTED_VALUE"""),"Sunita Gupta")</f>
        <v>Sunita Gupta</v>
      </c>
      <c r="D61" s="1" t="str">
        <f ca="1">IFERROR(__xludf.DUMMYFUNCTION("""COMPUTED_VALUE"""),"631-882-2791")</f>
        <v>631-882-2791</v>
      </c>
      <c r="E61" s="1" t="str">
        <f ca="1">IFERROR(__xludf.DUMMYFUNCTION("""COMPUTED_VALUE"""),"No")</f>
        <v>No</v>
      </c>
      <c r="F61" s="1" t="str">
        <f ca="1">IFERROR(__xludf.DUMMYFUNCTION("""COMPUTED_VALUE"""),"हिन्दी or English")</f>
        <v>हिन्दी or English</v>
      </c>
      <c r="G61" s="1" t="str">
        <f ca="1">IFERROR(__xludf.DUMMYFUNCTION("""COMPUTED_VALUE"""),"जीवन प्रबंध")</f>
        <v>जीवन प्रबंध</v>
      </c>
      <c r="H61" s="1"/>
      <c r="I61" s="1"/>
      <c r="J61" s="1"/>
      <c r="K61" s="1"/>
      <c r="L61" s="1" t="str">
        <f ca="1">IFERROR(__xludf.DUMMYFUNCTION("""COMPUTED_VALUE"""),"जीवन साधना")</f>
        <v>जीवन साधना</v>
      </c>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f ca="1">IFERROR(__xludf.DUMMYFUNCTION("""COMPUTED_VALUE"""),5)</f>
        <v>5</v>
      </c>
      <c r="BX61" s="1">
        <f ca="1">IFERROR(__xludf.DUMMYFUNCTION("""COMPUTED_VALUE"""),5)</f>
        <v>5</v>
      </c>
      <c r="BY61" s="1">
        <f ca="1">IFERROR(__xludf.DUMMYFUNCTION("""COMPUTED_VALUE"""),1)</f>
        <v>1</v>
      </c>
      <c r="BZ61" s="1">
        <f ca="1">IFERROR(__xludf.DUMMYFUNCTION("""COMPUTED_VALUE"""),0)</f>
        <v>0</v>
      </c>
      <c r="CA61" s="1"/>
      <c r="CB61" s="1"/>
      <c r="CC61" s="1" t="str">
        <f ca="1">IFERROR(__xludf.DUMMYFUNCTION("""COMPUTED_VALUE"""),"प्रगति शांति और प्रसन्नता : Rare Book")</f>
        <v>प्रगति शांति और प्रसन्नता : Rare Book</v>
      </c>
      <c r="CD61" s="3" t="str">
        <f ca="1">IFERROR(__xludf.DUMMYFUNCTION("""COMPUTED_VALUE"""),"https://vicharkrantibooks.org/productdetail?book_name=HINP0653_PRAGATI_SHANTI_AUR_PRASANNATA_xx1981&amp;product_id=1218")</f>
        <v>https://vicharkrantibooks.org/productdetail?book_name=HINP0653_PRAGATI_SHANTI_AUR_PRASANNATA_xx1981&amp;product_id=1218</v>
      </c>
      <c r="CE61" s="1" t="str">
        <f ca="1">IFERROR(__xludf.DUMMYFUNCTION("""COMPUTED_VALUE"""),"Audiobook : प्रगति शांति और प्रसन्नता : Rare Book : sunitaster@gmail.com : Recorded")</f>
        <v>Audiobook : प्रगति शांति और प्रसन्नता : Rare Book : sunitaster@gmail.com : Recorded</v>
      </c>
      <c r="CF61" s="1" t="str">
        <f ca="1">IFERROR(__xludf.DUMMYFUNCTION("""COMPUTED_VALUE"""),"#N/A")</f>
        <v>#N/A</v>
      </c>
      <c r="CG61" s="1" t="str">
        <f ca="1">IFERROR(__xludf.DUMMYFUNCTION("""COMPUTED_VALUE"""),"Adarniya Sunita Gupta ji प्रगति शांति और प्रसन्नता : Rare Book : Allocated on 11-Aug-24 Contact Number  631-882-2791")</f>
        <v>Adarniya Sunita Gupta ji प्रगति शांति और प्रसन्नता : Rare Book : Allocated on 11-Aug-24 Contact Number  631-882-2791</v>
      </c>
      <c r="CH61" s="1" t="str">
        <f ca="1">IFERROR(__xludf.DUMMYFUNCTION("""COMPUTED_VALUE"""),"sunitaster@gmail.com : प्रगति शांति और प्रसन्नता : Rare Book")</f>
        <v>sunitaster@gmail.com : प्रगति शांति और प्रसन्नता : Rare Book</v>
      </c>
      <c r="CI61" s="5">
        <f ca="1">IFERROR(__xludf.DUMMYFUNCTION("""COMPUTED_VALUE"""),45515.7807735763)</f>
        <v>45515.780773576298</v>
      </c>
    </row>
    <row r="62" spans="1:87" x14ac:dyDescent="0.25">
      <c r="A62" s="5">
        <f ca="1">IFERROR(__xludf.DUMMYFUNCTION("""COMPUTED_VALUE"""),45515.7707196064)</f>
        <v>45515.7707196064</v>
      </c>
      <c r="B62" s="1" t="str">
        <f ca="1">IFERROR(__xludf.DUMMYFUNCTION("""COMPUTED_VALUE"""),"druma4107@gmail.com")</f>
        <v>druma4107@gmail.com</v>
      </c>
      <c r="C62" s="1" t="str">
        <f ca="1">IFERROR(__xludf.DUMMYFUNCTION("""COMPUTED_VALUE"""),"Dr Uma Agrawal ")</f>
        <v xml:space="preserve">Dr Uma Agrawal </v>
      </c>
      <c r="D62" s="1">
        <f ca="1">IFERROR(__xludf.DUMMYFUNCTION("""COMPUTED_VALUE"""),9410861182)</f>
        <v>9410861182</v>
      </c>
      <c r="E62" s="1" t="str">
        <f ca="1">IFERROR(__xludf.DUMMYFUNCTION("""COMPUTED_VALUE"""),"Yes")</f>
        <v>Yes</v>
      </c>
      <c r="F62" s="1" t="str">
        <f ca="1">IFERROR(__xludf.DUMMYFUNCTION("""COMPUTED_VALUE"""),"हिन्दी")</f>
        <v>हिन्दी</v>
      </c>
      <c r="G62" s="1" t="str">
        <f ca="1">IFERROR(__xludf.DUMMYFUNCTION("""COMPUTED_VALUE"""),"समाज निर्माण")</f>
        <v>समाज निर्माण</v>
      </c>
      <c r="H62" s="1"/>
      <c r="I62" s="1"/>
      <c r="J62" s="1"/>
      <c r="K62" s="1"/>
      <c r="L62" s="1"/>
      <c r="M62" s="1"/>
      <c r="N62" s="1"/>
      <c r="O62" s="1"/>
      <c r="P62" s="1"/>
      <c r="Q62" s="1"/>
      <c r="R62" s="1"/>
      <c r="S62" s="1"/>
      <c r="T62" s="1"/>
      <c r="U62" s="1"/>
      <c r="V62" s="1" t="str">
        <f ca="1">IFERROR(__xludf.DUMMYFUNCTION("""COMPUTED_VALUE"""),"आदर्श विवाहों का प्रचलन")</f>
        <v>आदर्श विवाहों का प्रचलन</v>
      </c>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f ca="1">IFERROR(__xludf.DUMMYFUNCTION("""COMPUTED_VALUE"""),104)</f>
        <v>104</v>
      </c>
      <c r="BX62" s="1">
        <f ca="1">IFERROR(__xludf.DUMMYFUNCTION("""COMPUTED_VALUE"""),43)</f>
        <v>43</v>
      </c>
      <c r="BY62" s="1">
        <f ca="1">IFERROR(__xludf.DUMMYFUNCTION("""COMPUTED_VALUE"""),101)</f>
        <v>101</v>
      </c>
      <c r="BZ62" s="1">
        <f ca="1">IFERROR(__xludf.DUMMYFUNCTION("""COMPUTED_VALUE"""),43)</f>
        <v>43</v>
      </c>
      <c r="CA62" s="1"/>
      <c r="CB62" s="1"/>
      <c r="CC62" s="1" t="str">
        <f ca="1">IFERROR(__xludf.DUMMYFUNCTION("""COMPUTED_VALUE"""),"उँचा उठना हो तो उँचा ही सोचें : Rare Book")</f>
        <v>उँचा उठना हो तो उँचा ही सोचें : Rare Book</v>
      </c>
      <c r="CD62" s="3" t="str">
        <f ca="1">IFERROR(__xludf.DUMMYFUNCTION("""COMPUTED_VALUE"""),"https://vicharkrantibooks.org/productdetail?book_name=HINP1082_UNCHA_UTHANA_HO_TO_UNCHA_HI_SOCHEN_xx1981&amp;product_id=1647")</f>
        <v>https://vicharkrantibooks.org/productdetail?book_name=HINP1082_UNCHA_UTHANA_HO_TO_UNCHA_HI_SOCHEN_xx1981&amp;product_id=1647</v>
      </c>
      <c r="CE62" s="1" t="str">
        <f ca="1">IFERROR(__xludf.DUMMYFUNCTION("""COMPUTED_VALUE"""),"Audiobook : उँचा उठना हो तो उँचा ही सोचें : Rare Book : druma4107@gmail.com : Recorded")</f>
        <v>Audiobook : उँचा उठना हो तो उँचा ही सोचें : Rare Book : druma4107@gmail.com : Recorded</v>
      </c>
      <c r="CF62" s="1" t="str">
        <f ca="1">IFERROR(__xludf.DUMMYFUNCTION("""COMPUTED_VALUE"""),"Audiobook : उँचा उठना हो तो उँचा ही सोचें : Rare Book : druma4107@gmail.com : Recorded")</f>
        <v>Audiobook : उँचा उठना हो तो उँचा ही सोचें : Rare Book : druma4107@gmail.com : Recorded</v>
      </c>
      <c r="CG62" s="1" t="str">
        <f ca="1">IFERROR(__xludf.DUMMYFUNCTION("""COMPUTED_VALUE"""),"Adarniya Dr Uma Agrawal  ji उँचा उठना हो तो उँचा ही सोचें : Rare Book : Allocated on 11-Aug-24 Contact Number  9410861182")</f>
        <v>Adarniya Dr Uma Agrawal  ji उँचा उठना हो तो उँचा ही सोचें : Rare Book : Allocated on 11-Aug-24 Contact Number  9410861182</v>
      </c>
      <c r="CH62" s="1" t="str">
        <f ca="1">IFERROR(__xludf.DUMMYFUNCTION("""COMPUTED_VALUE"""),"druma4107@gmail.com : उँचा उठना हो तो उँचा ही सोचें : Rare Book")</f>
        <v>druma4107@gmail.com : उँचा उठना हो तो उँचा ही सोचें : Rare Book</v>
      </c>
      <c r="CI62" s="5">
        <f ca="1">IFERROR(__xludf.DUMMYFUNCTION("""COMPUTED_VALUE"""),45515.7707196064)</f>
        <v>45515.7707196064</v>
      </c>
    </row>
    <row r="63" spans="1:87" x14ac:dyDescent="0.25">
      <c r="A63" s="5">
        <f ca="1">IFERROR(__xludf.DUMMYFUNCTION("""COMPUTED_VALUE"""),45515.6738606365)</f>
        <v>45515.673860636503</v>
      </c>
      <c r="B63" s="1" t="str">
        <f ca="1">IFERROR(__xludf.DUMMYFUNCTION("""COMPUTED_VALUE"""),"dave.chhaya@gmail.com")</f>
        <v>dave.chhaya@gmail.com</v>
      </c>
      <c r="C63" s="1" t="str">
        <f ca="1">IFERROR(__xludf.DUMMYFUNCTION("""COMPUTED_VALUE"""),"Chhaya Deepak Dave ")</f>
        <v xml:space="preserve">Chhaya Deepak Dave </v>
      </c>
      <c r="D63" s="1">
        <f ca="1">IFERROR(__xludf.DUMMYFUNCTION("""COMPUTED_VALUE"""),9879596556)</f>
        <v>9879596556</v>
      </c>
      <c r="E63" s="1" t="str">
        <f ca="1">IFERROR(__xludf.DUMMYFUNCTION("""COMPUTED_VALUE"""),"Yes")</f>
        <v>Yes</v>
      </c>
      <c r="F63" s="1" t="str">
        <f ca="1">IFERROR(__xludf.DUMMYFUNCTION("""COMPUTED_VALUE"""),"गुजराती")</f>
        <v>गुजराती</v>
      </c>
      <c r="G63" s="1" t="str">
        <f ca="1">IFERROR(__xludf.DUMMYFUNCTION("""COMPUTED_VALUE"""),"संस्कार, कर्मकाण्ड, पाठ, पूजा, गीत-संगीत")</f>
        <v>संस्कार, कर्मकाण्ड, पाठ, पूजा, गीत-संगीत</v>
      </c>
      <c r="H63" s="1"/>
      <c r="I63" s="1"/>
      <c r="J63" s="1"/>
      <c r="K63" s="1"/>
      <c r="L63" s="1"/>
      <c r="M63" s="1"/>
      <c r="N63" s="1"/>
      <c r="O63" s="1"/>
      <c r="P63" s="1"/>
      <c r="Q63" s="1"/>
      <c r="R63" s="1"/>
      <c r="S63" s="1"/>
      <c r="T63" s="1"/>
      <c r="U63" s="1"/>
      <c r="V63" s="1"/>
      <c r="W63" s="1" t="str">
        <f ca="1">IFERROR(__xludf.DUMMYFUNCTION("""COMPUTED_VALUE"""),"पर्व-त्यौहार, कर्मकाण्ड")</f>
        <v>पर्व-त्यौहार, कर्मकाण्ड</v>
      </c>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t="str">
        <f ca="1">IFERROR(__xludf.DUMMYFUNCTION("""COMPUTED_VALUE"""),"युग परिवर्तन में समर्थ दीपयज्ञ")</f>
        <v>युग परिवर्तन में समर्थ दीपयज्ञ</v>
      </c>
      <c r="BH63" s="1"/>
      <c r="BI63" s="1"/>
      <c r="BJ63" s="1"/>
      <c r="BK63" s="1"/>
      <c r="BL63" s="1"/>
      <c r="BM63" s="1"/>
      <c r="BN63" s="1"/>
      <c r="BO63" s="1"/>
      <c r="BP63" s="1"/>
      <c r="BQ63" s="1"/>
      <c r="BR63" s="1"/>
      <c r="BS63" s="1"/>
      <c r="BT63" s="1"/>
      <c r="BU63" s="1"/>
      <c r="BV63" s="1"/>
      <c r="BW63" s="1">
        <f ca="1">IFERROR(__xludf.DUMMYFUNCTION("""COMPUTED_VALUE"""),46)</f>
        <v>46</v>
      </c>
      <c r="BX63" s="1">
        <f ca="1">IFERROR(__xludf.DUMMYFUNCTION("""COMPUTED_VALUE"""),46)</f>
        <v>46</v>
      </c>
      <c r="BY63" s="1">
        <f ca="1">IFERROR(__xludf.DUMMYFUNCTION("""COMPUTED_VALUE"""),46)</f>
        <v>46</v>
      </c>
      <c r="BZ63" s="1">
        <f ca="1">IFERROR(__xludf.DUMMYFUNCTION("""COMPUTED_VALUE"""),16)</f>
        <v>16</v>
      </c>
      <c r="CA63" s="1"/>
      <c r="CB63" s="1"/>
      <c r="CC63" s="1" t="str">
        <f ca="1">IFERROR(__xludf.DUMMYFUNCTION("""COMPUTED_VALUE"""),"ગુરુગીતા પાઠ વિધિ : G_SJ_18")</f>
        <v>ગુરુગીતા પાઠ વિધિ : G_SJ_18</v>
      </c>
      <c r="CD63" s="3" t="str">
        <f ca="1">IFERROR(__xludf.DUMMYFUNCTION("""COMPUTED_VALUE"""),"https://vicharkrantibooks.org/productdetail?product_id=4063")</f>
        <v>https://vicharkrantibooks.org/productdetail?product_id=4063</v>
      </c>
      <c r="CE63" s="1" t="str">
        <f ca="1">IFERROR(__xludf.DUMMYFUNCTION("""COMPUTED_VALUE"""),"Audiobook : ગુરુગીતા પાઠ વિધિ : G_SJ_18 : dave.chhaya@gmail.com : Recorded")</f>
        <v>Audiobook : ગુરુગીતા પાઠ વિધિ : G_SJ_18 : dave.chhaya@gmail.com : Recorded</v>
      </c>
      <c r="CF63" s="1" t="str">
        <f ca="1">IFERROR(__xludf.DUMMYFUNCTION("""COMPUTED_VALUE"""),"Audiobook : ગુરુગીતા પાઠ વિધિ : G_SJ_18 : dave.chhaya@gmail.com : Recorded")</f>
        <v>Audiobook : ગુરુગીતા પાઠ વિધિ : G_SJ_18 : dave.chhaya@gmail.com : Recorded</v>
      </c>
      <c r="CG63" s="1" t="str">
        <f ca="1">IFERROR(__xludf.DUMMYFUNCTION("""COMPUTED_VALUE"""),"Adarniya Chhaya Deepak Dave  ji ગુરુગીતા પાઠ વિધિ : G_SJ_18 : Allocated on 11-Aug-24 Contact Number  9879596556")</f>
        <v>Adarniya Chhaya Deepak Dave  ji ગુરુગીતા પાઠ વિધિ : G_SJ_18 : Allocated on 11-Aug-24 Contact Number  9879596556</v>
      </c>
      <c r="CH63" s="1" t="str">
        <f ca="1">IFERROR(__xludf.DUMMYFUNCTION("""COMPUTED_VALUE"""),"dave.chhaya@gmail.com : ગુરુગીતા પાઠ વિધિ : G_SJ_18")</f>
        <v>dave.chhaya@gmail.com : ગુરુગીતા પાઠ વિધિ : G_SJ_18</v>
      </c>
      <c r="CI63" s="5">
        <f ca="1">IFERROR(__xludf.DUMMYFUNCTION("""COMPUTED_VALUE"""),45515.6738606365)</f>
        <v>45515.673860636503</v>
      </c>
    </row>
    <row r="64" spans="1:87" x14ac:dyDescent="0.25">
      <c r="A64" s="5">
        <f ca="1">IFERROR(__xludf.DUMMYFUNCTION("""COMPUTED_VALUE"""),45515.4617445254)</f>
        <v>45515.461744525397</v>
      </c>
      <c r="B64" s="1" t="str">
        <f ca="1">IFERROR(__xludf.DUMMYFUNCTION("""COMPUTED_VALUE"""),"prakharbhardwaj21@gmail.com")</f>
        <v>prakharbhardwaj21@gmail.com</v>
      </c>
      <c r="C64" s="1" t="str">
        <f ca="1">IFERROR(__xludf.DUMMYFUNCTION("""COMPUTED_VALUE"""),"Prakhar Bhardwaj")</f>
        <v>Prakhar Bhardwaj</v>
      </c>
      <c r="D64" s="1">
        <f ca="1">IFERROR(__xludf.DUMMYFUNCTION("""COMPUTED_VALUE"""),9311234537)</f>
        <v>9311234537</v>
      </c>
      <c r="E64" s="1" t="str">
        <f ca="1">IFERROR(__xludf.DUMMYFUNCTION("""COMPUTED_VALUE"""),"Artificial Intelligence")</f>
        <v>Artificial Intelligence</v>
      </c>
      <c r="F64" s="1" t="str">
        <f ca="1">IFERROR(__xludf.DUMMYFUNCTION("""COMPUTED_VALUE"""),"हिन्दी")</f>
        <v>हिन्दी</v>
      </c>
      <c r="G64" s="1" t="str">
        <f ca="1">IFERROR(__xludf.DUMMYFUNCTION("""COMPUTED_VALUE"""),"संस्कार, कर्मकाण्ड, पाठ, पूजा, गीत-संगीत")</f>
        <v>संस्कार, कर्मकाण्ड, पाठ, पूजा, गीत-संगीत</v>
      </c>
      <c r="H64" s="1"/>
      <c r="I64" s="1"/>
      <c r="J64" s="1"/>
      <c r="K64" s="1"/>
      <c r="L64" s="1"/>
      <c r="M64" s="1"/>
      <c r="N64" s="1"/>
      <c r="O64" s="1"/>
      <c r="P64" s="1"/>
      <c r="Q64" s="1"/>
      <c r="R64" s="1"/>
      <c r="S64" s="1"/>
      <c r="T64" s="1"/>
      <c r="U64" s="1"/>
      <c r="V64" s="1"/>
      <c r="W64" s="1" t="str">
        <f ca="1">IFERROR(__xludf.DUMMYFUNCTION("""COMPUTED_VALUE"""),"पर्व-त्यौहार, कर्मकाण्ड")</f>
        <v>पर्व-त्यौहार, कर्मकाण्ड</v>
      </c>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t="str">
        <f ca="1">IFERROR(__xludf.DUMMYFUNCTION("""COMPUTED_VALUE"""),"कर्मकांड में छिपा व्यक्तित्व निर्माण का शिक्षण")</f>
        <v>कर्मकांड में छिपा व्यक्तित्व निर्माण का शिक्षण</v>
      </c>
      <c r="BH64" s="1"/>
      <c r="BI64" s="1"/>
      <c r="BJ64" s="1"/>
      <c r="BK64" s="1"/>
      <c r="BL64" s="1"/>
      <c r="BM64" s="1"/>
      <c r="BN64" s="1"/>
      <c r="BO64" s="1"/>
      <c r="BP64" s="1"/>
      <c r="BQ64" s="1"/>
      <c r="BR64" s="1"/>
      <c r="BS64" s="1"/>
      <c r="BT64" s="1"/>
      <c r="BU64" s="1"/>
      <c r="BV64" s="1"/>
      <c r="BW64" s="1">
        <f ca="1">IFERROR(__xludf.DUMMYFUNCTION("""COMPUTED_VALUE"""),1)</f>
        <v>1</v>
      </c>
      <c r="BX64" s="1">
        <f ca="1">IFERROR(__xludf.DUMMYFUNCTION("""COMPUTED_VALUE"""),1)</f>
        <v>1</v>
      </c>
      <c r="BY64" s="1">
        <f ca="1">IFERROR(__xludf.DUMMYFUNCTION("""COMPUTED_VALUE"""),1)</f>
        <v>1</v>
      </c>
      <c r="BZ64" s="1">
        <f ca="1">IFERROR(__xludf.DUMMYFUNCTION("""COMPUTED_VALUE"""),0)</f>
        <v>0</v>
      </c>
      <c r="CA64" s="1"/>
      <c r="CB64" s="1"/>
      <c r="CC64" s="1" t="str">
        <f ca="1">IFERROR(__xludf.DUMMYFUNCTION("""COMPUTED_VALUE"""),"जन्म दिवसोत्सव इस तरह मनाएँ : H_YS_10")</f>
        <v>जन्म दिवसोत्सव इस तरह मनाएँ : H_YS_10</v>
      </c>
      <c r="CD64" s="3" t="str">
        <f ca="1">IFERROR(__xludf.DUMMYFUNCTION("""COMPUTED_VALUE"""),"https://vicharkrantibooks.org/productdetail?book_name=HINR0624_JANMA_DIVSOTSAV_IS_TARAH_MANAEN_xx2011&amp;product_id=2309")</f>
        <v>https://vicharkrantibooks.org/productdetail?book_name=HINR0624_JANMA_DIVSOTSAV_IS_TARAH_MANAEN_xx2011&amp;product_id=2309</v>
      </c>
      <c r="CE64" s="1" t="str">
        <f ca="1">IFERROR(__xludf.DUMMYFUNCTION("""COMPUTED_VALUE"""),"Audiobook : जन्म दिवसोत्सव इस तरह मनाएँ : H_YS_10 : prakharbhardwaj21@gmail.com : Recorded")</f>
        <v>Audiobook : जन्म दिवसोत्सव इस तरह मनाएँ : H_YS_10 : prakharbhardwaj21@gmail.com : Recorded</v>
      </c>
      <c r="CF64" s="1" t="str">
        <f ca="1">IFERROR(__xludf.DUMMYFUNCTION("""COMPUTED_VALUE"""),"#N/A")</f>
        <v>#N/A</v>
      </c>
      <c r="CG64" s="1" t="str">
        <f ca="1">IFERROR(__xludf.DUMMYFUNCTION("""COMPUTED_VALUE"""),"Adarniya Prakhar Bhardwaj ji जन्म दिवसोत्सव इस तरह मनाएँ : H_YS_10 : Allocated on 11-Aug-24 Contact Number  9311234537")</f>
        <v>Adarniya Prakhar Bhardwaj ji जन्म दिवसोत्सव इस तरह मनाएँ : H_YS_10 : Allocated on 11-Aug-24 Contact Number  9311234537</v>
      </c>
      <c r="CH64" s="1" t="str">
        <f ca="1">IFERROR(__xludf.DUMMYFUNCTION("""COMPUTED_VALUE"""),"prakharbhardwaj21@gmail.com : जन्म दिवसोत्सव इस तरह मनाएँ : H_YS_10")</f>
        <v>prakharbhardwaj21@gmail.com : जन्म दिवसोत्सव इस तरह मनाएँ : H_YS_10</v>
      </c>
      <c r="CI64" s="5">
        <f ca="1">IFERROR(__xludf.DUMMYFUNCTION("""COMPUTED_VALUE"""),45515.4617445254)</f>
        <v>45515.461744525397</v>
      </c>
    </row>
    <row r="65" spans="1:87" x14ac:dyDescent="0.25">
      <c r="A65" s="5">
        <f ca="1">IFERROR(__xludf.DUMMYFUNCTION("""COMPUTED_VALUE"""),45515.4275125231)</f>
        <v>45515.4275125231</v>
      </c>
      <c r="B65" s="1" t="str">
        <f ca="1">IFERROR(__xludf.DUMMYFUNCTION("""COMPUTED_VALUE"""),"vishal22384.bhanti@gmail.com")</f>
        <v>vishal22384.bhanti@gmail.com</v>
      </c>
      <c r="C65" s="1" t="str">
        <f ca="1">IFERROR(__xludf.DUMMYFUNCTION("""COMPUTED_VALUE"""),"Vishal Bhanti")</f>
        <v>Vishal Bhanti</v>
      </c>
      <c r="D65" s="1">
        <f ca="1">IFERROR(__xludf.DUMMYFUNCTION("""COMPUTED_VALUE"""),7875549380)</f>
        <v>7875549380</v>
      </c>
      <c r="E65" s="1" t="str">
        <f ca="1">IFERROR(__xludf.DUMMYFUNCTION("""COMPUTED_VALUE"""),"Yes")</f>
        <v>Yes</v>
      </c>
      <c r="F65" s="1" t="str">
        <f ca="1">IFERROR(__xludf.DUMMYFUNCTION("""COMPUTED_VALUE"""),"English")</f>
        <v>English</v>
      </c>
      <c r="G65" s="1" t="str">
        <f ca="1">IFERROR(__xludf.DUMMYFUNCTION("""COMPUTED_VALUE"""),"अध्यात्म, धर्म एवं दर्शन")</f>
        <v>अध्यात्म, धर्म एवं दर्शन</v>
      </c>
      <c r="H65" s="1" t="str">
        <f ca="1">IFERROR(__xludf.DUMMYFUNCTION("""COMPUTED_VALUE"""),"अध्यात्म, धर्म एवं आस्तिकता")</f>
        <v>अध्यात्म, धर्म एवं आस्तिकता</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f ca="1">IFERROR(__xludf.DUMMYFUNCTION("""COMPUTED_VALUE"""),2)</f>
        <v>2</v>
      </c>
      <c r="BX65" s="1">
        <f ca="1">IFERROR(__xludf.DUMMYFUNCTION("""COMPUTED_VALUE"""),2)</f>
        <v>2</v>
      </c>
      <c r="BY65" s="1">
        <f ca="1">IFERROR(__xludf.DUMMYFUNCTION("""COMPUTED_VALUE"""),2)</f>
        <v>2</v>
      </c>
      <c r="BZ65" s="1">
        <f ca="1">IFERROR(__xludf.DUMMYFUNCTION("""COMPUTED_VALUE"""),0)</f>
        <v>0</v>
      </c>
      <c r="CA65" s="1"/>
      <c r="CB65" s="1"/>
      <c r="CC65" s="1" t="str">
        <f ca="1">IFERROR(__xludf.DUMMYFUNCTION("""COMPUTED_VALUE"""),"Miracles Of Charismatic Prayer : EP_59")</f>
        <v>Miracles Of Charismatic Prayer : EP_59</v>
      </c>
      <c r="CD65" s="3" t="str">
        <f ca="1">IFERROR(__xludf.DUMMYFUNCTION("""COMPUTED_VALUE"""),"https://vicharkrantibooks.org/productdetail?book_name=ENGRE059_MIRACLES_OF_CHARISMATIC_PRAYER_xxyyyy&amp;product_id=3451")</f>
        <v>https://vicharkrantibooks.org/productdetail?book_name=ENGRE059_MIRACLES_OF_CHARISMATIC_PRAYER_xxyyyy&amp;product_id=3451</v>
      </c>
      <c r="CE65" s="1" t="str">
        <f ca="1">IFERROR(__xludf.DUMMYFUNCTION("""COMPUTED_VALUE"""),"Audiobook : Miracles Of Charismatic Prayer : EP_59 : vishal22384.bhanti@gmail.com : Recorded")</f>
        <v>Audiobook : Miracles Of Charismatic Prayer : EP_59 : vishal22384.bhanti@gmail.com : Recorded</v>
      </c>
      <c r="CF65" s="1" t="str">
        <f ca="1">IFERROR(__xludf.DUMMYFUNCTION("""COMPUTED_VALUE"""),"#N/A")</f>
        <v>#N/A</v>
      </c>
      <c r="CG65" s="1" t="str">
        <f ca="1">IFERROR(__xludf.DUMMYFUNCTION("""COMPUTED_VALUE"""),"Adarniya Vishal Bhanti ji Miracles Of Charismatic Prayer : EP_59 : Allocated on 11-Aug-24 Contact Number  7875549380")</f>
        <v>Adarniya Vishal Bhanti ji Miracles Of Charismatic Prayer : EP_59 : Allocated on 11-Aug-24 Contact Number  7875549380</v>
      </c>
      <c r="CH65" s="1" t="str">
        <f ca="1">IFERROR(__xludf.DUMMYFUNCTION("""COMPUTED_VALUE"""),"vishal22384.bhanti@gmail.com : Miracles Of Charismatic Prayer : EP_59")</f>
        <v>vishal22384.bhanti@gmail.com : Miracles Of Charismatic Prayer : EP_59</v>
      </c>
      <c r="CI65" s="5">
        <f ca="1">IFERROR(__xludf.DUMMYFUNCTION("""COMPUTED_VALUE"""),45515.4275125231)</f>
        <v>45515.4275125231</v>
      </c>
    </row>
    <row r="66" spans="1:87" x14ac:dyDescent="0.25">
      <c r="A66" s="5">
        <f ca="1">IFERROR(__xludf.DUMMYFUNCTION("""COMPUTED_VALUE"""),45515.3456911226)</f>
        <v>45515.345691122602</v>
      </c>
      <c r="B66" s="1" t="str">
        <f ca="1">IFERROR(__xludf.DUMMYFUNCTION("""COMPUTED_VALUE"""),"jamunassgayatri3006@gmail.com")</f>
        <v>jamunassgayatri3006@gmail.com</v>
      </c>
      <c r="C66" s="1" t="str">
        <f ca="1">IFERROR(__xludf.DUMMYFUNCTION("""COMPUTED_VALUE"""),"Jamuna Shukla ")</f>
        <v xml:space="preserve">Jamuna Shukla </v>
      </c>
      <c r="D66" s="1">
        <f ca="1">IFERROR(__xludf.DUMMYFUNCTION("""COMPUTED_VALUE"""),8010712106)</f>
        <v>8010712106</v>
      </c>
      <c r="E66" s="1" t="str">
        <f ca="1">IFERROR(__xludf.DUMMYFUNCTION("""COMPUTED_VALUE"""),"Yes")</f>
        <v>Yes</v>
      </c>
      <c r="F66" s="1" t="str">
        <f ca="1">IFERROR(__xludf.DUMMYFUNCTION("""COMPUTED_VALUE"""),"हिन्दी")</f>
        <v>हिन्दी</v>
      </c>
      <c r="G66" s="1" t="str">
        <f ca="1">IFERROR(__xludf.DUMMYFUNCTION("""COMPUTED_VALUE"""),"जीवन प्रबंध")</f>
        <v>जीवन प्रबंध</v>
      </c>
      <c r="H66" s="1"/>
      <c r="I66" s="1"/>
      <c r="J66" s="1"/>
      <c r="K66" s="1"/>
      <c r="L66" s="1" t="str">
        <f ca="1">IFERROR(__xludf.DUMMYFUNCTION("""COMPUTED_VALUE"""),"मानव जीवन की गरिमा")</f>
        <v>मानव जीवन की गरिमा</v>
      </c>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f ca="1">IFERROR(__xludf.DUMMYFUNCTION("""COMPUTED_VALUE"""),1)</f>
        <v>1</v>
      </c>
      <c r="BX66" s="1">
        <f ca="1">IFERROR(__xludf.DUMMYFUNCTION("""COMPUTED_VALUE"""),3)</f>
        <v>3</v>
      </c>
      <c r="BY66" s="1">
        <f ca="1">IFERROR(__xludf.DUMMYFUNCTION("""COMPUTED_VALUE"""),5)</f>
        <v>5</v>
      </c>
      <c r="BZ66" s="1">
        <f ca="1">IFERROR(__xludf.DUMMYFUNCTION("""COMPUTED_VALUE"""),0)</f>
        <v>0</v>
      </c>
      <c r="CA66" s="1"/>
      <c r="CB66" s="1"/>
      <c r="CC66" s="1" t="str">
        <f ca="1">IFERROR(__xludf.DUMMYFUNCTION("""COMPUTED_VALUE"""),"सुख भोग में नहीं त्याग में है : Rare Book")</f>
        <v>सुख भोग में नहीं त्याग में है : Rare Book</v>
      </c>
      <c r="CD66" s="3" t="str">
        <f ca="1">IFERROR(__xludf.DUMMYFUNCTION("""COMPUTED_VALUE"""),"https://vicharkrantibooks.org/productdetail?book_name=HINP0870_SUKH_BHOG_MEIN_NAHI_TYAG_MEIN_HAI_xx1982&amp;product_id=1435")</f>
        <v>https://vicharkrantibooks.org/productdetail?book_name=HINP0870_SUKH_BHOG_MEIN_NAHI_TYAG_MEIN_HAI_xx1982&amp;product_id=1435</v>
      </c>
      <c r="CE66" s="1" t="str">
        <f ca="1">IFERROR(__xludf.DUMMYFUNCTION("""COMPUTED_VALUE"""),"Audiobook : सुख भोग में नहीं त्याग में है : Rare Book : jamunassgayatri3006@gmail.com : Recorded")</f>
        <v>Audiobook : सुख भोग में नहीं त्याग में है : Rare Book : jamunassgayatri3006@gmail.com : Recorded</v>
      </c>
      <c r="CF66" s="1" t="str">
        <f ca="1">IFERROR(__xludf.DUMMYFUNCTION("""COMPUTED_VALUE"""),"#N/A")</f>
        <v>#N/A</v>
      </c>
      <c r="CG66" s="1" t="str">
        <f ca="1">IFERROR(__xludf.DUMMYFUNCTION("""COMPUTED_VALUE"""),"Adarniya Jamuna Shukla  ji सुख भोग में नहीं त्याग में है : Rare Book : Allocated on 11-Aug-24 Contact Number  8010712106")</f>
        <v>Adarniya Jamuna Shukla  ji सुख भोग में नहीं त्याग में है : Rare Book : Allocated on 11-Aug-24 Contact Number  8010712106</v>
      </c>
      <c r="CH66" s="1" t="str">
        <f ca="1">IFERROR(__xludf.DUMMYFUNCTION("""COMPUTED_VALUE"""),"jamunassgayatri3006@gmail.com : सुख भोग में नहीं त्याग में है : Rare Book")</f>
        <v>jamunassgayatri3006@gmail.com : सुख भोग में नहीं त्याग में है : Rare Book</v>
      </c>
      <c r="CI66" s="5">
        <f ca="1">IFERROR(__xludf.DUMMYFUNCTION("""COMPUTED_VALUE"""),45515.3456911226)</f>
        <v>45515.345691122602</v>
      </c>
    </row>
    <row r="67" spans="1:87" x14ac:dyDescent="0.25">
      <c r="A67" s="5">
        <f ca="1">IFERROR(__xludf.DUMMYFUNCTION("""COMPUTED_VALUE"""),45514.1653163194)</f>
        <v>45514.165316319399</v>
      </c>
      <c r="B67" s="1" t="str">
        <f ca="1">IFERROR(__xludf.DUMMYFUNCTION("""COMPUTED_VALUE"""),"sanjayneha1@yahoo.com")</f>
        <v>sanjayneha1@yahoo.com</v>
      </c>
      <c r="C67" s="1" t="str">
        <f ca="1">IFERROR(__xludf.DUMMYFUNCTION("""COMPUTED_VALUE"""),"Neha Manocha")</f>
        <v>Neha Manocha</v>
      </c>
      <c r="D67" s="1">
        <f ca="1">IFERROR(__xludf.DUMMYFUNCTION("""COMPUTED_VALUE"""),16174130446)</f>
        <v>16174130446</v>
      </c>
      <c r="E67" s="1" t="str">
        <f ca="1">IFERROR(__xludf.DUMMYFUNCTION("""COMPUTED_VALUE"""),"Yes")</f>
        <v>Yes</v>
      </c>
      <c r="F67" s="1" t="str">
        <f ca="1">IFERROR(__xludf.DUMMYFUNCTION("""COMPUTED_VALUE"""),"हिन्दी or English")</f>
        <v>हिन्दी or English</v>
      </c>
      <c r="G67" s="1" t="str">
        <f ca="1">IFERROR(__xludf.DUMMYFUNCTION("""COMPUTED_VALUE"""),"जीवन प्रबंध")</f>
        <v>जीवन प्रबंध</v>
      </c>
      <c r="H67" s="1"/>
      <c r="I67" s="1"/>
      <c r="J67" s="1"/>
      <c r="K67" s="1"/>
      <c r="L67" s="1" t="str">
        <f ca="1">IFERROR(__xludf.DUMMYFUNCTION("""COMPUTED_VALUE"""),"मानव जीवन की गरिमा")</f>
        <v>मानव जीवन की गरिमा</v>
      </c>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f ca="1">IFERROR(__xludf.DUMMYFUNCTION("""COMPUTED_VALUE"""),33)</f>
        <v>33</v>
      </c>
      <c r="BX67" s="1">
        <f ca="1">IFERROR(__xludf.DUMMYFUNCTION("""COMPUTED_VALUE"""),33)</f>
        <v>33</v>
      </c>
      <c r="BY67" s="1">
        <f ca="1">IFERROR(__xludf.DUMMYFUNCTION("""COMPUTED_VALUE"""),33)</f>
        <v>33</v>
      </c>
      <c r="BZ67" s="1">
        <f ca="1">IFERROR(__xludf.DUMMYFUNCTION("""COMPUTED_VALUE"""),22)</f>
        <v>22</v>
      </c>
      <c r="CA67" s="1"/>
      <c r="CB67" s="1"/>
      <c r="CC67" s="1" t="str">
        <f ca="1">IFERROR(__xludf.DUMMYFUNCTION("""COMPUTED_VALUE"""),"Stories Of Saints : EPB_145")</f>
        <v>Stories Of Saints : EPB_145</v>
      </c>
      <c r="CD67" s="3" t="str">
        <f ca="1">IFERROR(__xludf.DUMMYFUNCTION("""COMPUTED_VALUE"""),"https://vicharkrantibooks.org/productdetail?book_name=ENGB0214_STORIES_OF_SAINTS_1st2013&amp;product_id=3530")</f>
        <v>https://vicharkrantibooks.org/productdetail?book_name=ENGB0214_STORIES_OF_SAINTS_1st2013&amp;product_id=3530</v>
      </c>
      <c r="CE67" s="1" t="str">
        <f ca="1">IFERROR(__xludf.DUMMYFUNCTION("""COMPUTED_VALUE"""),"Audiobook : Stories Of Saints : EPB_145 : sanjayneha1@yahoo.com : Recorded")</f>
        <v>Audiobook : Stories Of Saints : EPB_145 : sanjayneha1@yahoo.com : Recorded</v>
      </c>
      <c r="CF67" s="1" t="str">
        <f ca="1">IFERROR(__xludf.DUMMYFUNCTION("""COMPUTED_VALUE"""),"Audiobook : Stories Of Saints : EPB_145 : sanjayneha1@yahoo.com : Recorded")</f>
        <v>Audiobook : Stories Of Saints : EPB_145 : sanjayneha1@yahoo.com : Recorded</v>
      </c>
      <c r="CG67" s="1" t="str">
        <f ca="1">IFERROR(__xludf.DUMMYFUNCTION("""COMPUTED_VALUE"""),"Adarniya Neha Manocha ji Stories Of Saints : EPB_145 : Allocated on 10-Aug-24 Contact Number  16174130446")</f>
        <v>Adarniya Neha Manocha ji Stories Of Saints : EPB_145 : Allocated on 10-Aug-24 Contact Number  16174130446</v>
      </c>
      <c r="CH67" s="1" t="str">
        <f ca="1">IFERROR(__xludf.DUMMYFUNCTION("""COMPUTED_VALUE"""),"sanjayneha1@yahoo.com : Stories Of Saints : EPB_145")</f>
        <v>sanjayneha1@yahoo.com : Stories Of Saints : EPB_145</v>
      </c>
      <c r="CI67" s="5">
        <f ca="1">IFERROR(__xludf.DUMMYFUNCTION("""COMPUTED_VALUE"""),45514.1653163194)</f>
        <v>45514.165316319399</v>
      </c>
    </row>
    <row r="68" spans="1:87" x14ac:dyDescent="0.25">
      <c r="A68" s="5">
        <f ca="1">IFERROR(__xludf.DUMMYFUNCTION("""COMPUTED_VALUE"""),45513.9739895138)</f>
        <v>45513.973989513797</v>
      </c>
      <c r="B68" s="1" t="str">
        <f ca="1">IFERROR(__xludf.DUMMYFUNCTION("""COMPUTED_VALUE"""),"anuragsaxena@hotmail.com")</f>
        <v>anuragsaxena@hotmail.com</v>
      </c>
      <c r="C68" s="1" t="str">
        <f ca="1">IFERROR(__xludf.DUMMYFUNCTION("""COMPUTED_VALUE"""),"Anurag Saxena")</f>
        <v>Anurag Saxena</v>
      </c>
      <c r="D68" s="1">
        <f ca="1">IFERROR(__xludf.DUMMYFUNCTION("""COMPUTED_VALUE"""),9165052531)</f>
        <v>9165052531</v>
      </c>
      <c r="E68" s="1" t="str">
        <f ca="1">IFERROR(__xludf.DUMMYFUNCTION("""COMPUTED_VALUE"""),"Artificial Intelligence")</f>
        <v>Artificial Intelligence</v>
      </c>
      <c r="F68" s="1" t="str">
        <f ca="1">IFERROR(__xludf.DUMMYFUNCTION("""COMPUTED_VALUE"""),"English")</f>
        <v>English</v>
      </c>
      <c r="G68" s="1" t="str">
        <f ca="1">IFERROR(__xludf.DUMMYFUNCTION("""COMPUTED_VALUE"""),"English")</f>
        <v>English</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f ca="1">IFERROR(__xludf.DUMMYFUNCTION("""COMPUTED_VALUE"""),1)</f>
        <v>1</v>
      </c>
      <c r="BX68" s="1">
        <f ca="1">IFERROR(__xludf.DUMMYFUNCTION("""COMPUTED_VALUE"""),1)</f>
        <v>1</v>
      </c>
      <c r="BY68" s="1">
        <f ca="1">IFERROR(__xludf.DUMMYFUNCTION("""COMPUTED_VALUE"""),1)</f>
        <v>1</v>
      </c>
      <c r="BZ68" s="1">
        <f ca="1">IFERROR(__xludf.DUMMYFUNCTION("""COMPUTED_VALUE"""),0)</f>
        <v>0</v>
      </c>
      <c r="CA68" s="1"/>
      <c r="CB68" s="1"/>
      <c r="CC68" s="1" t="str">
        <f ca="1">IFERROR(__xludf.DUMMYFUNCTION("""COMPUTED_VALUE"""),"Wonders Of Human Bioelectricity : EP_82")</f>
        <v>Wonders Of Human Bioelectricity : EP_82</v>
      </c>
      <c r="CD68" s="3" t="str">
        <f ca="1">IFERROR(__xludf.DUMMYFUNCTION("""COMPUTED_VALUE"""),"https://vicharkrantibooks.org/productdetail?product_id=3477")</f>
        <v>https://vicharkrantibooks.org/productdetail?product_id=3477</v>
      </c>
      <c r="CE68" s="1" t="str">
        <f ca="1">IFERROR(__xludf.DUMMYFUNCTION("""COMPUTED_VALUE"""),"Audiobook : Wonders Of Human Bioelectricity : EP_82 : anuragsaxena@hotmail.com : Recorded")</f>
        <v>Audiobook : Wonders Of Human Bioelectricity : EP_82 : anuragsaxena@hotmail.com : Recorded</v>
      </c>
      <c r="CF68" s="1" t="str">
        <f ca="1">IFERROR(__xludf.DUMMYFUNCTION("""COMPUTED_VALUE"""),"#N/A")</f>
        <v>#N/A</v>
      </c>
      <c r="CG68" s="1" t="str">
        <f ca="1">IFERROR(__xludf.DUMMYFUNCTION("""COMPUTED_VALUE"""),"Adarniya Anurag Saxena ji Wonders Of Human Bioelectricity : EP_82 : Allocated on 09-Aug-24 Contact Number  9165052531")</f>
        <v>Adarniya Anurag Saxena ji Wonders Of Human Bioelectricity : EP_82 : Allocated on 09-Aug-24 Contact Number  9165052531</v>
      </c>
      <c r="CH68" s="1" t="str">
        <f ca="1">IFERROR(__xludf.DUMMYFUNCTION("""COMPUTED_VALUE"""),"anuragsaxena@hotmail.com : Wonders Of Human Bioelectricity : EP_82")</f>
        <v>anuragsaxena@hotmail.com : Wonders Of Human Bioelectricity : EP_82</v>
      </c>
      <c r="CI68" s="5">
        <f ca="1">IFERROR(__xludf.DUMMYFUNCTION("""COMPUTED_VALUE"""),45513.9739895138)</f>
        <v>45513.973989513797</v>
      </c>
    </row>
    <row r="69" spans="1:87" x14ac:dyDescent="0.25">
      <c r="A69" s="5">
        <f ca="1">IFERROR(__xludf.DUMMYFUNCTION("""COMPUTED_VALUE"""),45512.3831478356)</f>
        <v>45512.383147835601</v>
      </c>
      <c r="B69" s="1" t="str">
        <f ca="1">IFERROR(__xludf.DUMMYFUNCTION("""COMPUTED_VALUE"""),"kalagpatel1959@gmail.com")</f>
        <v>kalagpatel1959@gmail.com</v>
      </c>
      <c r="C69" s="1" t="str">
        <f ca="1">IFERROR(__xludf.DUMMYFUNCTION("""COMPUTED_VALUE"""),"Kala Patel ")</f>
        <v xml:space="preserve">Kala Patel </v>
      </c>
      <c r="D69" s="1">
        <f ca="1">IFERROR(__xludf.DUMMYFUNCTION("""COMPUTED_VALUE"""),9016250929)</f>
        <v>9016250929</v>
      </c>
      <c r="E69" s="1" t="str">
        <f ca="1">IFERROR(__xludf.DUMMYFUNCTION("""COMPUTED_VALUE"""),"Yes")</f>
        <v>Yes</v>
      </c>
      <c r="F69" s="1" t="str">
        <f ca="1">IFERROR(__xludf.DUMMYFUNCTION("""COMPUTED_VALUE"""),"गुजराती")</f>
        <v>गुजराती</v>
      </c>
      <c r="G69" s="1" t="str">
        <f ca="1">IFERROR(__xludf.DUMMYFUNCTION("""COMPUTED_VALUE"""),"अध्यात्म, धर्म एवं दर्शन")</f>
        <v>अध्यात्म, धर्म एवं दर्शन</v>
      </c>
      <c r="H69" s="1" t="str">
        <f ca="1">IFERROR(__xludf.DUMMYFUNCTION("""COMPUTED_VALUE"""),"अध्यात्म, धर्म एवं आस्तिकता")</f>
        <v>अध्यात्म, धर्म एवं आस्तिकता</v>
      </c>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f ca="1">IFERROR(__xludf.DUMMYFUNCTION("""COMPUTED_VALUE"""),34)</f>
        <v>34</v>
      </c>
      <c r="BX69" s="1">
        <f ca="1">IFERROR(__xludf.DUMMYFUNCTION("""COMPUTED_VALUE"""),34)</f>
        <v>34</v>
      </c>
      <c r="BY69" s="1">
        <f ca="1">IFERROR(__xludf.DUMMYFUNCTION("""COMPUTED_VALUE"""),34)</f>
        <v>34</v>
      </c>
      <c r="BZ69" s="1">
        <f ca="1">IFERROR(__xludf.DUMMYFUNCTION("""COMPUTED_VALUE"""),11)</f>
        <v>11</v>
      </c>
      <c r="CA69" s="1"/>
      <c r="CB69" s="1"/>
      <c r="CC69" s="1" t="str">
        <f ca="1">IFERROR(__xludf.DUMMYFUNCTION("""COMPUTED_VALUE"""),"નારી ઉત્થાન માટે આવા પગલા ભરો : G_PP_49")</f>
        <v>નારી ઉત્થાન માટે આવા પગલા ભરો : G_PP_49</v>
      </c>
      <c r="CD69" s="3" t="str">
        <f ca="1">IFERROR(__xludf.DUMMYFUNCTION("""COMPUTED_VALUE"""),"https://vicharkrantibooks.org/productdetail?product_id=3954")</f>
        <v>https://vicharkrantibooks.org/productdetail?product_id=3954</v>
      </c>
      <c r="CE69" s="1" t="str">
        <f ca="1">IFERROR(__xludf.DUMMYFUNCTION("""COMPUTED_VALUE"""),"Audiobook : નારી ઉત્થાન માટે આવા પગલા ભરો : G_PP_49 : kalagpatel1959@gmail.com : Recorded")</f>
        <v>Audiobook : નારી ઉત્થાન માટે આવા પગલા ભરો : G_PP_49 : kalagpatel1959@gmail.com : Recorded</v>
      </c>
      <c r="CF69" s="1" t="str">
        <f ca="1">IFERROR(__xludf.DUMMYFUNCTION("""COMPUTED_VALUE"""),"#N/A")</f>
        <v>#N/A</v>
      </c>
      <c r="CG69" s="1" t="str">
        <f ca="1">IFERROR(__xludf.DUMMYFUNCTION("""COMPUTED_VALUE"""),"Adarniya Kala Patel  ji નારી ઉત્થાન માટે આવા પગલા ભરો : G_PP_49 : Allocated on 08-Aug-24 Contact Number  9016250929")</f>
        <v>Adarniya Kala Patel  ji નારી ઉત્થાન માટે આવા પગલા ભરો : G_PP_49 : Allocated on 08-Aug-24 Contact Number  9016250929</v>
      </c>
      <c r="CH69" s="1" t="str">
        <f ca="1">IFERROR(__xludf.DUMMYFUNCTION("""COMPUTED_VALUE"""),"kalagpatel1959@gmail.com : નારી ઉત્થાન માટે આવા પગલા ભરો : G_PP_49")</f>
        <v>kalagpatel1959@gmail.com : નારી ઉત્થાન માટે આવા પગલા ભરો : G_PP_49</v>
      </c>
      <c r="CI69" s="5">
        <f ca="1">IFERROR(__xludf.DUMMYFUNCTION("""COMPUTED_VALUE"""),45512.3831478356)</f>
        <v>45512.383147835601</v>
      </c>
    </row>
    <row r="70" spans="1:87" x14ac:dyDescent="0.25">
      <c r="A70" s="5">
        <f ca="1">IFERROR(__xludf.DUMMYFUNCTION("""COMPUTED_VALUE"""),45511.9872473148)</f>
        <v>45511.987247314799</v>
      </c>
      <c r="B70" s="1" t="str">
        <f ca="1">IFERROR(__xludf.DUMMYFUNCTION("""COMPUTED_VALUE"""),"anu161965@gmail.com")</f>
        <v>anu161965@gmail.com</v>
      </c>
      <c r="C70" s="1" t="str">
        <f ca="1">IFERROR(__xludf.DUMMYFUNCTION("""COMPUTED_VALUE"""),"Anureeta awadh")</f>
        <v>Anureeta awadh</v>
      </c>
      <c r="D70" s="1">
        <f ca="1">IFERROR(__xludf.DUMMYFUNCTION("""COMPUTED_VALUE"""),8860314422)</f>
        <v>8860314422</v>
      </c>
      <c r="E70" s="1"/>
      <c r="F70" s="1" t="str">
        <f ca="1">IFERROR(__xludf.DUMMYFUNCTION("""COMPUTED_VALUE"""),"हिन्दी")</f>
        <v>हिन्दी</v>
      </c>
      <c r="G70" s="1" t="str">
        <f ca="1">IFERROR(__xludf.DUMMYFUNCTION("""COMPUTED_VALUE"""),"वैज्ञानिक अध्यात्मवाद का प्रतिपादन")</f>
        <v>वैज्ञानिक अध्यात्मवाद का प्रतिपादन</v>
      </c>
      <c r="H70" s="1"/>
      <c r="I70" s="1"/>
      <c r="J70" s="1"/>
      <c r="K70" s="1"/>
      <c r="L70" s="1"/>
      <c r="M70" s="1"/>
      <c r="N70" s="1"/>
      <c r="O70" s="1"/>
      <c r="P70" s="1"/>
      <c r="Q70" s="1"/>
      <c r="R70" s="1"/>
      <c r="S70" s="1" t="str">
        <f ca="1">IFERROR(__xludf.DUMMYFUNCTION("""COMPUTED_VALUE"""),"वैज्ञानिक अध्यात्मवाद का प्रतिपादन")</f>
        <v>वैज्ञानिक अध्यात्मवाद का प्रतिपादन</v>
      </c>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f ca="1">IFERROR(__xludf.DUMMYFUNCTION("""COMPUTED_VALUE"""),24)</f>
        <v>24</v>
      </c>
      <c r="BX70" s="1">
        <f ca="1">IFERROR(__xludf.DUMMYFUNCTION("""COMPUTED_VALUE"""),22)</f>
        <v>22</v>
      </c>
      <c r="BY70" s="1">
        <f ca="1">IFERROR(__xludf.DUMMYFUNCTION("""COMPUTED_VALUE"""),22)</f>
        <v>22</v>
      </c>
      <c r="BZ70" s="1">
        <f ca="1">IFERROR(__xludf.DUMMYFUNCTION("""COMPUTED_VALUE"""),5)</f>
        <v>5</v>
      </c>
      <c r="CA70" s="1"/>
      <c r="CB70" s="1"/>
      <c r="CC70" s="1" t="str">
        <f ca="1">IFERROR(__xludf.DUMMYFUNCTION("""COMPUTED_VALUE"""),"शब्द एक प्रचंद उर्जा शक्ति का भंडार")</f>
        <v>शब्द एक प्रचंद उर्जा शक्ति का भंडार</v>
      </c>
      <c r="CD70" s="3" t="str">
        <f ca="1">IFERROR(__xludf.DUMMYFUNCTION("""COMPUTED_VALUE"""),"https://vicharkrantibooks.org/productdetail?book_name=HINF0260_SHABD_EK_PRACHAND_URJA_SHAKTI_KA_BHANDAR_xxyyyy&amp;product_id=480")</f>
        <v>https://vicharkrantibooks.org/productdetail?book_name=HINF0260_SHABD_EK_PRACHAND_URJA_SHAKTI_KA_BHANDAR_xxyyyy&amp;product_id=480</v>
      </c>
      <c r="CE70" s="1" t="str">
        <f ca="1">IFERROR(__xludf.DUMMYFUNCTION("""COMPUTED_VALUE"""),"Audiobook : शब्द एक प्रचंद उर्जा शक्ति का भंडार : anu161965@gmail.com : Recorded")</f>
        <v>Audiobook : शब्द एक प्रचंद उर्जा शक्ति का भंडार : anu161965@gmail.com : Recorded</v>
      </c>
      <c r="CF70" s="1" t="str">
        <f ca="1">IFERROR(__xludf.DUMMYFUNCTION("""COMPUTED_VALUE"""),"#N/A")</f>
        <v>#N/A</v>
      </c>
      <c r="CG70" s="1" t="str">
        <f ca="1">IFERROR(__xludf.DUMMYFUNCTION("""COMPUTED_VALUE"""),"Adarniya Anureeta awadh ji शब्द एक प्रचंद उर्जा शक्ति का भंडार : Allocated on 07-Aug-24 Contact Number  8860314422")</f>
        <v>Adarniya Anureeta awadh ji शब्द एक प्रचंद उर्जा शक्ति का भंडार : Allocated on 07-Aug-24 Contact Number  8860314422</v>
      </c>
      <c r="CH70" s="1" t="str">
        <f ca="1">IFERROR(__xludf.DUMMYFUNCTION("""COMPUTED_VALUE"""),"anu161965@gmail.com : शब्द एक प्रचंद उर्जा शक्ति का भंडार")</f>
        <v>anu161965@gmail.com : शब्द एक प्रचंद उर्जा शक्ति का भंडार</v>
      </c>
      <c r="CI70" s="5">
        <f ca="1">IFERROR(__xludf.DUMMYFUNCTION("""COMPUTED_VALUE"""),45511.9872473148)</f>
        <v>45511.987247314799</v>
      </c>
    </row>
    <row r="71" spans="1:87" x14ac:dyDescent="0.25">
      <c r="A71" s="5">
        <f ca="1">IFERROR(__xludf.DUMMYFUNCTION("""COMPUTED_VALUE"""),45511.6624203703)</f>
        <v>45511.662420370303</v>
      </c>
      <c r="B71" s="1" t="str">
        <f ca="1">IFERROR(__xludf.DUMMYFUNCTION("""COMPUTED_VALUE"""),"guptarakhi072@gmail.com")</f>
        <v>guptarakhi072@gmail.com</v>
      </c>
      <c r="C71" s="1" t="str">
        <f ca="1">IFERROR(__xludf.DUMMYFUNCTION("""COMPUTED_VALUE"""),"Rakhi Gupta ")</f>
        <v xml:space="preserve">Rakhi Gupta </v>
      </c>
      <c r="D71" s="1">
        <f ca="1">IFERROR(__xludf.DUMMYFUNCTION("""COMPUTED_VALUE"""),8128540757)</f>
        <v>8128540757</v>
      </c>
      <c r="E71" s="1" t="str">
        <f ca="1">IFERROR(__xludf.DUMMYFUNCTION("""COMPUTED_VALUE"""),"Yes")</f>
        <v>Yes</v>
      </c>
      <c r="F71" s="1" t="str">
        <f ca="1">IFERROR(__xludf.DUMMYFUNCTION("""COMPUTED_VALUE"""),"हिन्दी")</f>
        <v>हिन्दी</v>
      </c>
      <c r="G71" s="1" t="str">
        <f ca="1">IFERROR(__xludf.DUMMYFUNCTION("""COMPUTED_VALUE"""),"पर्यावरण संरक्षण")</f>
        <v>पर्यावरण संरक्षण</v>
      </c>
      <c r="H71" s="1"/>
      <c r="I71" s="1"/>
      <c r="J71" s="1"/>
      <c r="K71" s="1"/>
      <c r="L71" s="1"/>
      <c r="M71" s="1"/>
      <c r="N71" s="1" t="str">
        <f ca="1">IFERROR(__xludf.DUMMYFUNCTION("""COMPUTED_VALUE"""),"पर्यावरण संरक्षण")</f>
        <v>पर्यावरण संरक्षण</v>
      </c>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f ca="1">IFERROR(__xludf.DUMMYFUNCTION("""COMPUTED_VALUE"""),21)</f>
        <v>21</v>
      </c>
      <c r="BX71" s="1">
        <f ca="1">IFERROR(__xludf.DUMMYFUNCTION("""COMPUTED_VALUE"""),20)</f>
        <v>20</v>
      </c>
      <c r="BY71" s="1">
        <f ca="1">IFERROR(__xludf.DUMMYFUNCTION("""COMPUTED_VALUE"""),21)</f>
        <v>21</v>
      </c>
      <c r="BZ71" s="1">
        <f ca="1">IFERROR(__xludf.DUMMYFUNCTION("""COMPUTED_VALUE"""),14)</f>
        <v>14</v>
      </c>
      <c r="CA71" s="1"/>
      <c r="CB71" s="1"/>
      <c r="CC71" s="1" t="str">
        <f ca="1">IFERROR(__xludf.DUMMYFUNCTION("""COMPUTED_VALUE"""),"वॄक्षों का धार्मिक महत्त्व : Rare Book")</f>
        <v>वॄक्षों का धार्मिक महत्त्व : Rare Book</v>
      </c>
      <c r="CD71" s="3" t="str">
        <f ca="1">IFERROR(__xludf.DUMMYFUNCTION("""COMPUTED_VALUE"""),"https://vicharkrantibooks.org/productdetail?book_name=HINP1006_VRUKSHON_KA_DHARMIK_MAHATV_xxyyyy&amp;product_id=1571")</f>
        <v>https://vicharkrantibooks.org/productdetail?book_name=HINP1006_VRUKSHON_KA_DHARMIK_MAHATV_xxyyyy&amp;product_id=1571</v>
      </c>
      <c r="CE71" s="1" t="str">
        <f ca="1">IFERROR(__xludf.DUMMYFUNCTION("""COMPUTED_VALUE"""),"Audiobook : वॄक्षों का धार्मिक महत्त्व : Rare Book : guptarakhi072@gmail.com : Recorded")</f>
        <v>Audiobook : वॄक्षों का धार्मिक महत्त्व : Rare Book : guptarakhi072@gmail.com : Recorded</v>
      </c>
      <c r="CF71" s="1" t="str">
        <f ca="1">IFERROR(__xludf.DUMMYFUNCTION("""COMPUTED_VALUE"""),"Audiobook : वॄक्षों का धार्मिक महत्त्व : Rare Book : guptarakhi072@gmail.com : Recorded")</f>
        <v>Audiobook : वॄक्षों का धार्मिक महत्त्व : Rare Book : guptarakhi072@gmail.com : Recorded</v>
      </c>
      <c r="CG71" s="1" t="str">
        <f ca="1">IFERROR(__xludf.DUMMYFUNCTION("""COMPUTED_VALUE"""),"Adarniya Rakhi Gupta  ji वॄक्षों का धार्मिक महत्त्व : Rare Book : Allocated on 07-Aug-24 Contact Number  8128540757")</f>
        <v>Adarniya Rakhi Gupta  ji वॄक्षों का धार्मिक महत्त्व : Rare Book : Allocated on 07-Aug-24 Contact Number  8128540757</v>
      </c>
      <c r="CH71" s="1" t="str">
        <f ca="1">IFERROR(__xludf.DUMMYFUNCTION("""COMPUTED_VALUE"""),"guptarakhi072@gmail.com : वॄक्षों का धार्मिक महत्त्व : Rare Book")</f>
        <v>guptarakhi072@gmail.com : वॄक्षों का धार्मिक महत्त्व : Rare Book</v>
      </c>
      <c r="CI71" s="5">
        <f ca="1">IFERROR(__xludf.DUMMYFUNCTION("""COMPUTED_VALUE"""),45511.6624203703)</f>
        <v>45511.662420370303</v>
      </c>
    </row>
    <row r="72" spans="1:87" x14ac:dyDescent="0.25">
      <c r="A72" s="5">
        <f ca="1">IFERROR(__xludf.DUMMYFUNCTION("""COMPUTED_VALUE"""),45511.5422720717)</f>
        <v>45511.542272071703</v>
      </c>
      <c r="B72" s="1" t="str">
        <f ca="1">IFERROR(__xludf.DUMMYFUNCTION("""COMPUTED_VALUE"""),"patilyogitaj@gmail.com")</f>
        <v>patilyogitaj@gmail.com</v>
      </c>
      <c r="C72" s="1" t="str">
        <f ca="1">IFERROR(__xludf.DUMMYFUNCTION("""COMPUTED_VALUE"""),"Yogita Patil ")</f>
        <v xml:space="preserve">Yogita Patil </v>
      </c>
      <c r="D72" s="1" t="str">
        <f ca="1">IFERROR(__xludf.DUMMYFUNCTION("""COMPUTED_VALUE"""),"09403837133")</f>
        <v>09403837133</v>
      </c>
      <c r="E72" s="1" t="str">
        <f ca="1">IFERROR(__xludf.DUMMYFUNCTION("""COMPUTED_VALUE"""),"Yes")</f>
        <v>Yes</v>
      </c>
      <c r="F72" s="1" t="str">
        <f ca="1">IFERROR(__xludf.DUMMYFUNCTION("""COMPUTED_VALUE"""),"हिन्दी")</f>
        <v>हिन्दी</v>
      </c>
      <c r="G72" s="1" t="str">
        <f ca="1">IFERROR(__xludf.DUMMYFUNCTION("""COMPUTED_VALUE"""),"जीवन प्रबंध")</f>
        <v>जीवन प्रबंध</v>
      </c>
      <c r="H72" s="1"/>
      <c r="I72" s="1"/>
      <c r="J72" s="1"/>
      <c r="K72" s="1"/>
      <c r="L72" s="1" t="str">
        <f ca="1">IFERROR(__xludf.DUMMYFUNCTION("""COMPUTED_VALUE"""),"मन की शक्ति एवं मनोविज्ञान")</f>
        <v>मन की शक्ति एवं मनोविज्ञान</v>
      </c>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f ca="1">IFERROR(__xludf.DUMMYFUNCTION("""COMPUTED_VALUE"""),4)</f>
        <v>4</v>
      </c>
      <c r="BX72" s="1">
        <f ca="1">IFERROR(__xludf.DUMMYFUNCTION("""COMPUTED_VALUE"""),1)</f>
        <v>1</v>
      </c>
      <c r="BY72" s="1">
        <f ca="1">IFERROR(__xludf.DUMMYFUNCTION("""COMPUTED_VALUE"""),3)</f>
        <v>3</v>
      </c>
      <c r="BZ72" s="1">
        <f ca="1">IFERROR(__xludf.DUMMYFUNCTION("""COMPUTED_VALUE"""),0)</f>
        <v>0</v>
      </c>
      <c r="CA72" s="1"/>
      <c r="CB72" s="1"/>
      <c r="CC72" s="1" t="str">
        <f ca="1">IFERROR(__xludf.DUMMYFUNCTION("""COMPUTED_VALUE"""),"संयम से जीवन सुखी बनाएँ : Rare Book")</f>
        <v>संयम से जीवन सुखी बनाएँ : Rare Book</v>
      </c>
      <c r="CD72" s="3" t="str">
        <f ca="1">IFERROR(__xludf.DUMMYFUNCTION("""COMPUTED_VALUE"""),"https://vicharkrantibooks.org/productdetail?book_name=HINP0801_SANYAM_SE_JIVAN_SUKHI_BANAEN_xxyyyy&amp;product_id=1366")</f>
        <v>https://vicharkrantibooks.org/productdetail?book_name=HINP0801_SANYAM_SE_JIVAN_SUKHI_BANAEN_xxyyyy&amp;product_id=1366</v>
      </c>
      <c r="CE72" s="1" t="str">
        <f ca="1">IFERROR(__xludf.DUMMYFUNCTION("""COMPUTED_VALUE"""),"Audiobook : संयम से जीवन सुखी बनाएँ : Rare Book : patilyogitaj@gmail.com : Recorded")</f>
        <v>Audiobook : संयम से जीवन सुखी बनाएँ : Rare Book : patilyogitaj@gmail.com : Recorded</v>
      </c>
      <c r="CF72" s="1" t="str">
        <f ca="1">IFERROR(__xludf.DUMMYFUNCTION("""COMPUTED_VALUE"""),"#N/A")</f>
        <v>#N/A</v>
      </c>
      <c r="CG72" s="1" t="str">
        <f ca="1">IFERROR(__xludf.DUMMYFUNCTION("""COMPUTED_VALUE"""),"Adarniya Yogita Patil  ji संयम से जीवन सुखी बनाएँ : Rare Book : Allocated on 07-Aug-24 Contact Number  09403837133")</f>
        <v>Adarniya Yogita Patil  ji संयम से जीवन सुखी बनाएँ : Rare Book : Allocated on 07-Aug-24 Contact Number  09403837133</v>
      </c>
      <c r="CH72" s="1" t="str">
        <f ca="1">IFERROR(__xludf.DUMMYFUNCTION("""COMPUTED_VALUE"""),"patilyogitaj@gmail.com : संयम से जीवन सुखी बनाएँ : Rare Book")</f>
        <v>patilyogitaj@gmail.com : संयम से जीवन सुखी बनाएँ : Rare Book</v>
      </c>
      <c r="CI72" s="5">
        <f ca="1">IFERROR(__xludf.DUMMYFUNCTION("""COMPUTED_VALUE"""),45511.5422720717)</f>
        <v>45511.542272071703</v>
      </c>
    </row>
    <row r="73" spans="1:87" x14ac:dyDescent="0.25">
      <c r="A73" s="5">
        <f ca="1">IFERROR(__xludf.DUMMYFUNCTION("""COMPUTED_VALUE"""),45511.4866692245)</f>
        <v>45511.486669224498</v>
      </c>
      <c r="B73" s="1" t="str">
        <f ca="1">IFERROR(__xludf.DUMMYFUNCTION("""COMPUTED_VALUE"""),"parag.v.agrawal@gmail.com")</f>
        <v>parag.v.agrawal@gmail.com</v>
      </c>
      <c r="C73" s="1" t="str">
        <f ca="1">IFERROR(__xludf.DUMMYFUNCTION("""COMPUTED_VALUE"""),"Parag Vijay Agrawal")</f>
        <v>Parag Vijay Agrawal</v>
      </c>
      <c r="D73" s="1">
        <f ca="1">IFERROR(__xludf.DUMMYFUNCTION("""COMPUTED_VALUE"""),9971646298)</f>
        <v>9971646298</v>
      </c>
      <c r="E73" s="1" t="str">
        <f ca="1">IFERROR(__xludf.DUMMYFUNCTION("""COMPUTED_VALUE"""),"Artificial Intelligence")</f>
        <v>Artificial Intelligence</v>
      </c>
      <c r="F73" s="1" t="str">
        <f ca="1">IFERROR(__xludf.DUMMYFUNCTION("""COMPUTED_VALUE"""),"हिन्दी or English")</f>
        <v>हिन्दी or English</v>
      </c>
      <c r="G73" s="1" t="str">
        <f ca="1">IFERROR(__xludf.DUMMYFUNCTION("""COMPUTED_VALUE"""),"अध्यात्म, धर्म एवं दर्शन")</f>
        <v>अध्यात्म, धर्म एवं दर्शन</v>
      </c>
      <c r="H73" s="1" t="str">
        <f ca="1">IFERROR(__xludf.DUMMYFUNCTION("""COMPUTED_VALUE"""),"अध्यात्म, धर्म एवं आस्तिकता")</f>
        <v>अध्यात्म, धर्म एवं आस्तिकता</v>
      </c>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f ca="1">IFERROR(__xludf.DUMMYFUNCTION("""COMPUTED_VALUE"""),1)</f>
        <v>1</v>
      </c>
      <c r="BX73" s="1">
        <f ca="1">IFERROR(__xludf.DUMMYFUNCTION("""COMPUTED_VALUE"""),1)</f>
        <v>1</v>
      </c>
      <c r="BY73" s="1">
        <f ca="1">IFERROR(__xludf.DUMMYFUNCTION("""COMPUTED_VALUE"""),1)</f>
        <v>1</v>
      </c>
      <c r="BZ73" s="1">
        <f ca="1">IFERROR(__xludf.DUMMYFUNCTION("""COMPUTED_VALUE"""),0)</f>
        <v>0</v>
      </c>
      <c r="CA73" s="1"/>
      <c r="CB73" s="1"/>
      <c r="CC73" s="1" t="str">
        <f ca="1">IFERROR(__xludf.DUMMYFUNCTION("""COMPUTED_VALUE"""),"The Legend Of A Divine Campaign : EP_107")</f>
        <v>The Legend Of A Divine Campaign : EP_107</v>
      </c>
      <c r="CD73" s="3" t="str">
        <f ca="1">IFERROR(__xludf.DUMMYFUNCTION("""COMPUTED_VALUE"""),"https://vicharkrantibooks.org/productdetail?book_name=ENGRE107_THE_LEGEND_OF_A_DIVINE_CAMPAIGN_1st2011&amp;product_id=3494")</f>
        <v>https://vicharkrantibooks.org/productdetail?book_name=ENGRE107_THE_LEGEND_OF_A_DIVINE_CAMPAIGN_1st2011&amp;product_id=3494</v>
      </c>
      <c r="CE73" s="1" t="str">
        <f ca="1">IFERROR(__xludf.DUMMYFUNCTION("""COMPUTED_VALUE"""),"Audiobook : The Legend Of A Divine Campaign : EP_107 : parag.v.agrawal@gmail.com : Recorded")</f>
        <v>Audiobook : The Legend Of A Divine Campaign : EP_107 : parag.v.agrawal@gmail.com : Recorded</v>
      </c>
      <c r="CF73" s="1" t="str">
        <f ca="1">IFERROR(__xludf.DUMMYFUNCTION("""COMPUTED_VALUE"""),"#N/A")</f>
        <v>#N/A</v>
      </c>
      <c r="CG73" s="1" t="str">
        <f ca="1">IFERROR(__xludf.DUMMYFUNCTION("""COMPUTED_VALUE"""),"Adarniya Parag Vijay Agrawal ji The Legend Of A Divine Campaign : EP_107 : Allocated on 07-Aug-24 Contact Number  9971646298")</f>
        <v>Adarniya Parag Vijay Agrawal ji The Legend Of A Divine Campaign : EP_107 : Allocated on 07-Aug-24 Contact Number  9971646298</v>
      </c>
      <c r="CH73" s="1" t="str">
        <f ca="1">IFERROR(__xludf.DUMMYFUNCTION("""COMPUTED_VALUE"""),"parag.v.agrawal@gmail.com : The Legend Of A Divine Campaign : EP_107")</f>
        <v>parag.v.agrawal@gmail.com : The Legend Of A Divine Campaign : EP_107</v>
      </c>
      <c r="CI73" s="5">
        <f ca="1">IFERROR(__xludf.DUMMYFUNCTION("""COMPUTED_VALUE"""),45511.4866692245)</f>
        <v>45511.486669224498</v>
      </c>
    </row>
    <row r="74" spans="1:87" x14ac:dyDescent="0.25">
      <c r="A74" s="5">
        <f ca="1">IFERROR(__xludf.DUMMYFUNCTION("""COMPUTED_VALUE"""),45509.9250653125)</f>
        <v>45509.925065312498</v>
      </c>
      <c r="B74" s="1" t="str">
        <f ca="1">IFERROR(__xludf.DUMMYFUNCTION("""COMPUTED_VALUE"""),"vandana15rastogi@gmail.com")</f>
        <v>vandana15rastogi@gmail.com</v>
      </c>
      <c r="C74" s="1" t="str">
        <f ca="1">IFERROR(__xludf.DUMMYFUNCTION("""COMPUTED_VALUE"""),"Vandana Rastogi")</f>
        <v>Vandana Rastogi</v>
      </c>
      <c r="D74" s="1">
        <f ca="1">IFERROR(__xludf.DUMMYFUNCTION("""COMPUTED_VALUE"""),9359528684)</f>
        <v>9359528684</v>
      </c>
      <c r="E74" s="1" t="str">
        <f ca="1">IFERROR(__xludf.DUMMYFUNCTION("""COMPUTED_VALUE"""),"Yes")</f>
        <v>Yes</v>
      </c>
      <c r="F74" s="1" t="str">
        <f ca="1">IFERROR(__xludf.DUMMYFUNCTION("""COMPUTED_VALUE"""),"हिन्दी")</f>
        <v>हिन्दी</v>
      </c>
      <c r="G74" s="1" t="str">
        <f ca="1">IFERROR(__xludf.DUMMYFUNCTION("""COMPUTED_VALUE"""),"युग द्रष्टा पं. श्रीराम शर्मा आचार्यजी")</f>
        <v>युग द्रष्टा पं. श्रीराम शर्मा आचार्यजी</v>
      </c>
      <c r="H74" s="1"/>
      <c r="I74" s="1"/>
      <c r="J74" s="1"/>
      <c r="K74" s="1"/>
      <c r="L74" s="1"/>
      <c r="M74" s="1"/>
      <c r="N74" s="1"/>
      <c r="O74" s="1"/>
      <c r="P74" s="1" t="str">
        <f ca="1">IFERROR(__xludf.DUMMYFUNCTION("""COMPUTED_VALUE"""),"युगॠषी की अमृतवाणी")</f>
        <v>युगॠषी की अमृतवाणी</v>
      </c>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f ca="1">IFERROR(__xludf.DUMMYFUNCTION("""COMPUTED_VALUE"""),33)</f>
        <v>33</v>
      </c>
      <c r="BX74" s="1">
        <f ca="1">IFERROR(__xludf.DUMMYFUNCTION("""COMPUTED_VALUE"""),35)</f>
        <v>35</v>
      </c>
      <c r="BY74" s="1">
        <f ca="1">IFERROR(__xludf.DUMMYFUNCTION("""COMPUTED_VALUE"""),37)</f>
        <v>37</v>
      </c>
      <c r="BZ74" s="1">
        <f ca="1">IFERROR(__xludf.DUMMYFUNCTION("""COMPUTED_VALUE"""),14)</f>
        <v>14</v>
      </c>
      <c r="CA74" s="1"/>
      <c r="CB74" s="1"/>
      <c r="CC74" s="1" t="str">
        <f ca="1">IFERROR(__xludf.DUMMYFUNCTION("""COMPUTED_VALUE"""),"धर्म प्रथाओं में नहीं सदाचरण में : Rare Book")</f>
        <v>धर्म प्रथाओं में नहीं सदाचरण में : Rare Book</v>
      </c>
      <c r="CD74" s="3" t="str">
        <f ca="1">IFERROR(__xludf.DUMMYFUNCTION("""COMPUTED_VALUE"""),"https://vicharkrantibooks.org/productdetail?book_name=HINP0239_DHARM_PRATHAON_MEIN_NAHI_SADACHARAN_MEIN_xx1979&amp;product_id=804")</f>
        <v>https://vicharkrantibooks.org/productdetail?book_name=HINP0239_DHARM_PRATHAON_MEIN_NAHI_SADACHARAN_MEIN_xx1979&amp;product_id=804</v>
      </c>
      <c r="CE74" s="1" t="str">
        <f ca="1">IFERROR(__xludf.DUMMYFUNCTION("""COMPUTED_VALUE"""),"Audiobook : धर्म प्रथाओं में नहीं सदाचरण में : Rare Book : vandana15rastogi@gmail.com : Recorded")</f>
        <v>Audiobook : धर्म प्रथाओं में नहीं सदाचरण में : Rare Book : vandana15rastogi@gmail.com : Recorded</v>
      </c>
      <c r="CF74" s="1" t="str">
        <f ca="1">IFERROR(__xludf.DUMMYFUNCTION("""COMPUTED_VALUE"""),"Audiobook : धर्म प्रथाओं में नहीं सदाचरण में : Rare Book : vandana15rastogi@gmail.com : Recorded")</f>
        <v>Audiobook : धर्म प्रथाओं में नहीं सदाचरण में : Rare Book : vandana15rastogi@gmail.com : Recorded</v>
      </c>
      <c r="CG74" s="1" t="str">
        <f ca="1">IFERROR(__xludf.DUMMYFUNCTION("""COMPUTED_VALUE"""),"Adarniya Vandana Rastogi ji धर्म प्रथाओं में नहीं सदाचरण में : Rare Book : Allocated on 05-Aug-24 Contact Number  9359528684")</f>
        <v>Adarniya Vandana Rastogi ji धर्म प्रथाओं में नहीं सदाचरण में : Rare Book : Allocated on 05-Aug-24 Contact Number  9359528684</v>
      </c>
      <c r="CH74" s="1"/>
      <c r="CI74" s="1"/>
    </row>
    <row r="75" spans="1:87" x14ac:dyDescent="0.25">
      <c r="A75" s="5">
        <f ca="1">IFERROR(__xludf.DUMMYFUNCTION("""COMPUTED_VALUE"""),45509.6674916319)</f>
        <v>45509.667491631903</v>
      </c>
      <c r="B75" s="1" t="str">
        <f ca="1">IFERROR(__xludf.DUMMYFUNCTION("""COMPUTED_VALUE"""),"bhoyar.atulkumar@gmail.com")</f>
        <v>bhoyar.atulkumar@gmail.com</v>
      </c>
      <c r="C75" s="1" t="str">
        <f ca="1">IFERROR(__xludf.DUMMYFUNCTION("""COMPUTED_VALUE"""),"Atul Bhoyar ")</f>
        <v xml:space="preserve">Atul Bhoyar </v>
      </c>
      <c r="D75" s="1">
        <f ca="1">IFERROR(__xludf.DUMMYFUNCTION("""COMPUTED_VALUE"""),9167554827)</f>
        <v>9167554827</v>
      </c>
      <c r="E75" s="1" t="str">
        <f ca="1">IFERROR(__xludf.DUMMYFUNCTION("""COMPUTED_VALUE"""),"Artificial Intelligence")</f>
        <v>Artificial Intelligence</v>
      </c>
      <c r="F75" s="1" t="str">
        <f ca="1">IFERROR(__xludf.DUMMYFUNCTION("""COMPUTED_VALUE"""),"हिन्दी")</f>
        <v>हिन्दी</v>
      </c>
      <c r="G75" s="1" t="str">
        <f ca="1">IFERROR(__xludf.DUMMYFUNCTION("""COMPUTED_VALUE"""),"अध्यात्म, धर्म एवं दर्शन")</f>
        <v>अध्यात्म, धर्म एवं दर्शन</v>
      </c>
      <c r="H75" s="1" t="str">
        <f ca="1">IFERROR(__xludf.DUMMYFUNCTION("""COMPUTED_VALUE"""),"अध्यात्म, धर्म एवं आस्तिकता")</f>
        <v>अध्यात्म, धर्म एवं आस्तिकता</v>
      </c>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f ca="1">IFERROR(__xludf.DUMMYFUNCTION("""COMPUTED_VALUE"""),1)</f>
        <v>1</v>
      </c>
      <c r="BX75" s="1">
        <f ca="1">IFERROR(__xludf.DUMMYFUNCTION("""COMPUTED_VALUE"""),1)</f>
        <v>1</v>
      </c>
      <c r="BY75" s="1">
        <f ca="1">IFERROR(__xludf.DUMMYFUNCTION("""COMPUTED_VALUE"""),1)</f>
        <v>1</v>
      </c>
      <c r="BZ75" s="1">
        <f ca="1">IFERROR(__xludf.DUMMYFUNCTION("""COMPUTED_VALUE"""),0)</f>
        <v>0</v>
      </c>
      <c r="CA75" s="1"/>
      <c r="CB75" s="1"/>
      <c r="CC75" s="1" t="str">
        <f ca="1">IFERROR(__xludf.DUMMYFUNCTION("""COMPUTED_VALUE"""),"अध्यात्‍म विद्या का प्रवेश द्वार : H_AA_01")</f>
        <v>अध्यात्‍म विद्या का प्रवेश द्वार : H_AA_01</v>
      </c>
      <c r="CD75" s="3" t="str">
        <f ca="1">IFERROR(__xludf.DUMMYFUNCTION("""COMPUTED_VALUE"""),"https://vicharkrantibooks.org/productdetail?book_name=HINR0031_ADHYATM_VIDHYA_KA_PRAVESH_DVAR_Re2010&amp;product_id=1716")</f>
        <v>https://vicharkrantibooks.org/productdetail?book_name=HINR0031_ADHYATM_VIDHYA_KA_PRAVESH_DVAR_Re2010&amp;product_id=1716</v>
      </c>
      <c r="CE75" s="1" t="str">
        <f ca="1">IFERROR(__xludf.DUMMYFUNCTION("""COMPUTED_VALUE"""),"Audiobook : अध्यात्‍म विद्या का प्रवेश द्वार : H_AA_01 : bhoyar.atulkumar@gmail.com : Recorded")</f>
        <v>Audiobook : अध्यात्‍म विद्या का प्रवेश द्वार : H_AA_01 : bhoyar.atulkumar@gmail.com : Recorded</v>
      </c>
      <c r="CF75" s="1" t="str">
        <f ca="1">IFERROR(__xludf.DUMMYFUNCTION("""COMPUTED_VALUE"""),"#N/A")</f>
        <v>#N/A</v>
      </c>
      <c r="CG75" s="1" t="str">
        <f ca="1">IFERROR(__xludf.DUMMYFUNCTION("""COMPUTED_VALUE"""),"Adarniya Atul Bhoyar  ji अध्यात्‍म विद्या का प्रवेश द्वार : H_AA_01 : Allocated on 05-Aug-24 Contact Number  9167554827")</f>
        <v>Adarniya Atul Bhoyar  ji अध्यात्‍म विद्या का प्रवेश द्वार : H_AA_01 : Allocated on 05-Aug-24 Contact Number  9167554827</v>
      </c>
      <c r="CH75" s="1" t="str">
        <f ca="1">IFERROR(__xludf.DUMMYFUNCTION("""COMPUTED_VALUE"""),"bhoyar.atulkumar@gmail.com : अध्यात्‍म विद्या का प्रवेश द्वार : H_AA_01")</f>
        <v>bhoyar.atulkumar@gmail.com : अध्यात्‍म विद्या का प्रवेश द्वार : H_AA_01</v>
      </c>
      <c r="CI75" s="1"/>
    </row>
    <row r="76" spans="1:87" x14ac:dyDescent="0.25">
      <c r="A76" s="5">
        <f ca="1">IFERROR(__xludf.DUMMYFUNCTION("""COMPUTED_VALUE"""),45509.6313692361)</f>
        <v>45509.6313692361</v>
      </c>
      <c r="B76" s="1" t="str">
        <f ca="1">IFERROR(__xludf.DUMMYFUNCTION("""COMPUTED_VALUE"""),"rashmi.soni28@gmail.com")</f>
        <v>rashmi.soni28@gmail.com</v>
      </c>
      <c r="C76" s="1" t="str">
        <f ca="1">IFERROR(__xludf.DUMMYFUNCTION("""COMPUTED_VALUE"""),"Rashmi Soni")</f>
        <v>Rashmi Soni</v>
      </c>
      <c r="D76" s="1">
        <f ca="1">IFERROR(__xludf.DUMMYFUNCTION("""COMPUTED_VALUE"""),7798897755)</f>
        <v>7798897755</v>
      </c>
      <c r="E76" s="1" t="str">
        <f ca="1">IFERROR(__xludf.DUMMYFUNCTION("""COMPUTED_VALUE"""),"Artificial Intelligence")</f>
        <v>Artificial Intelligence</v>
      </c>
      <c r="F76" s="1" t="str">
        <f ca="1">IFERROR(__xludf.DUMMYFUNCTION("""COMPUTED_VALUE"""),"English")</f>
        <v>English</v>
      </c>
      <c r="G76" s="1" t="str">
        <f ca="1">IFERROR(__xludf.DUMMYFUNCTION("""COMPUTED_VALUE"""),"युग परिवर्तन-विचार क्रांति")</f>
        <v>युग परिवर्तन-विचार क्रांति</v>
      </c>
      <c r="H76" s="1"/>
      <c r="I76" s="1"/>
      <c r="J76" s="1"/>
      <c r="K76" s="1"/>
      <c r="L76" s="1"/>
      <c r="M76" s="1"/>
      <c r="N76" s="1"/>
      <c r="O76" s="1"/>
      <c r="P76" s="1"/>
      <c r="Q76" s="1" t="str">
        <f ca="1">IFERROR(__xludf.DUMMYFUNCTION("""COMPUTED_VALUE"""),"युग निर्माण योजना एवं युग परिवर्तन")</f>
        <v>युग निर्माण योजना एवं युग परिवर्तन</v>
      </c>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f ca="1">IFERROR(__xludf.DUMMYFUNCTION("""COMPUTED_VALUE"""),1)</f>
        <v>1</v>
      </c>
      <c r="BX76" s="1">
        <f ca="1">IFERROR(__xludf.DUMMYFUNCTION("""COMPUTED_VALUE"""),1)</f>
        <v>1</v>
      </c>
      <c r="BY76" s="1">
        <f ca="1">IFERROR(__xludf.DUMMYFUNCTION("""COMPUTED_VALUE"""),1)</f>
        <v>1</v>
      </c>
      <c r="BZ76" s="1">
        <f ca="1">IFERROR(__xludf.DUMMYFUNCTION("""COMPUTED_VALUE"""),0)</f>
        <v>0</v>
      </c>
      <c r="CA76" s="1"/>
      <c r="CB76" s="1"/>
      <c r="CC76" s="1" t="str">
        <f ca="1">IFERROR(__xludf.DUMMYFUNCTION("""COMPUTED_VALUE"""),"Revival Of Satyug The Golden Age Towards A Bright Future : EP_01")</f>
        <v>Revival Of Satyug The Golden Age Towards A Bright Future : EP_01</v>
      </c>
      <c r="CD76" s="3" t="str">
        <f ca="1">IFERROR(__xludf.DUMMYFUNCTION("""COMPUTED_VALUE"""),"http://literature.awgp.org/book/The_Revival_of_Satyug_The_Golden_Age/v1")</f>
        <v>http://literature.awgp.org/book/The_Revival_of_Satyug_The_Golden_Age/v1</v>
      </c>
      <c r="CE76" s="1" t="str">
        <f ca="1">IFERROR(__xludf.DUMMYFUNCTION("""COMPUTED_VALUE"""),"Audiobook : Revival Of Satyug The Golden Age Towards A Bright Future : EP_01 : rashmi.soni28@gmail.com : Recorded")</f>
        <v>Audiobook : Revival Of Satyug The Golden Age Towards A Bright Future : EP_01 : rashmi.soni28@gmail.com : Recorded</v>
      </c>
      <c r="CF76" s="1" t="str">
        <f ca="1">IFERROR(__xludf.DUMMYFUNCTION("""COMPUTED_VALUE"""),"#N/A")</f>
        <v>#N/A</v>
      </c>
      <c r="CG76" s="1" t="str">
        <f ca="1">IFERROR(__xludf.DUMMYFUNCTION("""COMPUTED_VALUE"""),"Adarniya Rashmi Soni ji Revival Of Satyug The Golden Age Towards A Bright Future : EP_01 : Allocated on 05-Aug-24 Contact Number  7798897755")</f>
        <v>Adarniya Rashmi Soni ji Revival Of Satyug The Golden Age Towards A Bright Future : EP_01 : Allocated on 05-Aug-24 Contact Number  7798897755</v>
      </c>
      <c r="CH76" s="1" t="str">
        <f ca="1">IFERROR(__xludf.DUMMYFUNCTION("""COMPUTED_VALUE"""),"rashmi.soni28@gmail.com : Revival Of Satyug The Golden Age Towards A Bright Future : EP_01")</f>
        <v>rashmi.soni28@gmail.com : Revival Of Satyug The Golden Age Towards A Bright Future : EP_01</v>
      </c>
      <c r="CI76" s="1"/>
    </row>
    <row r="77" spans="1:87" x14ac:dyDescent="0.25">
      <c r="A77" s="5">
        <f ca="1">IFERROR(__xludf.DUMMYFUNCTION("""COMPUTED_VALUE"""),45509.6104164699)</f>
        <v>45509.610416469899</v>
      </c>
      <c r="B77" s="1" t="str">
        <f ca="1">IFERROR(__xludf.DUMMYFUNCTION("""COMPUTED_VALUE"""),"sameerkmaheshwari@gmail.com")</f>
        <v>sameerkmaheshwari@gmail.com</v>
      </c>
      <c r="C77" s="1" t="str">
        <f ca="1">IFERROR(__xludf.DUMMYFUNCTION("""COMPUTED_VALUE"""),"Sameer Maheshwari ")</f>
        <v xml:space="preserve">Sameer Maheshwari </v>
      </c>
      <c r="D77" s="1">
        <f ca="1">IFERROR(__xludf.DUMMYFUNCTION("""COMPUTED_VALUE"""),9769933920)</f>
        <v>9769933920</v>
      </c>
      <c r="E77" s="1" t="str">
        <f ca="1">IFERROR(__xludf.DUMMYFUNCTION("""COMPUTED_VALUE"""),"Artificial Intelligence")</f>
        <v>Artificial Intelligence</v>
      </c>
      <c r="F77" s="1" t="str">
        <f ca="1">IFERROR(__xludf.DUMMYFUNCTION("""COMPUTED_VALUE"""),"English")</f>
        <v>English</v>
      </c>
      <c r="G77" s="1" t="str">
        <f ca="1">IFERROR(__xludf.DUMMYFUNCTION("""COMPUTED_VALUE"""),"English")</f>
        <v>English</v>
      </c>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f ca="1">IFERROR(__xludf.DUMMYFUNCTION("""COMPUTED_VALUE"""),1)</f>
        <v>1</v>
      </c>
      <c r="BX77" s="1">
        <f ca="1">IFERROR(__xludf.DUMMYFUNCTION("""COMPUTED_VALUE"""),1)</f>
        <v>1</v>
      </c>
      <c r="BY77" s="1">
        <f ca="1">IFERROR(__xludf.DUMMYFUNCTION("""COMPUTED_VALUE"""),1)</f>
        <v>1</v>
      </c>
      <c r="BZ77" s="1">
        <f ca="1">IFERROR(__xludf.DUMMYFUNCTION("""COMPUTED_VALUE"""),0)</f>
        <v>0</v>
      </c>
      <c r="CA77" s="1"/>
      <c r="CB77" s="1"/>
      <c r="CC77" s="1" t="str">
        <f ca="1">IFERROR(__xludf.DUMMYFUNCTION("""COMPUTED_VALUE"""),"The Life Beyond Physical Death : EP_12")</f>
        <v>The Life Beyond Physical Death : EP_12</v>
      </c>
      <c r="CD77" s="3" t="str">
        <f ca="1">IFERROR(__xludf.DUMMYFUNCTION("""COMPUTED_VALUE"""),"https://vicharkrantibooks.org/productdetail?product_id=3405")</f>
        <v>https://vicharkrantibooks.org/productdetail?product_id=3405</v>
      </c>
      <c r="CE77" s="1" t="str">
        <f ca="1">IFERROR(__xludf.DUMMYFUNCTION("""COMPUTED_VALUE"""),"Audiobook : The Life Beyond Physical Death : EP_12 : sameerkmaheshwari@gmail.com : Recorded")</f>
        <v>Audiobook : The Life Beyond Physical Death : EP_12 : sameerkmaheshwari@gmail.com : Recorded</v>
      </c>
      <c r="CF77" s="1" t="str">
        <f ca="1">IFERROR(__xludf.DUMMYFUNCTION("""COMPUTED_VALUE"""),"#N/A")</f>
        <v>#N/A</v>
      </c>
      <c r="CG77" s="1" t="str">
        <f ca="1">IFERROR(__xludf.DUMMYFUNCTION("""COMPUTED_VALUE"""),"Adarniya Sameer Maheshwari  ji The Life Beyond Physical Death : EP_12 : Allocated on 05-Aug-24 Contact Number  9769933920")</f>
        <v>Adarniya Sameer Maheshwari  ji The Life Beyond Physical Death : EP_12 : Allocated on 05-Aug-24 Contact Number  9769933920</v>
      </c>
      <c r="CH77" s="1" t="str">
        <f ca="1">IFERROR(__xludf.DUMMYFUNCTION("""COMPUTED_VALUE"""),"sameerkmaheshwari@gmail.com : The Life Beyond Physical Death : EP_12")</f>
        <v>sameerkmaheshwari@gmail.com : The Life Beyond Physical Death : EP_12</v>
      </c>
      <c r="CI77" s="1"/>
    </row>
    <row r="78" spans="1:87" x14ac:dyDescent="0.25">
      <c r="A78" s="5">
        <f ca="1">IFERROR(__xludf.DUMMYFUNCTION("""COMPUTED_VALUE"""),45509.5764075694)</f>
        <v>45509.576407569402</v>
      </c>
      <c r="B78" s="1" t="str">
        <f ca="1">IFERROR(__xludf.DUMMYFUNCTION("""COMPUTED_VALUE"""),"lokesh16191@gmail.com")</f>
        <v>lokesh16191@gmail.com</v>
      </c>
      <c r="C78" s="1" t="str">
        <f ca="1">IFERROR(__xludf.DUMMYFUNCTION("""COMPUTED_VALUE"""),"Lokesh Verma ")</f>
        <v xml:space="preserve">Lokesh Verma </v>
      </c>
      <c r="D78" s="1">
        <f ca="1">IFERROR(__xludf.DUMMYFUNCTION("""COMPUTED_VALUE"""),9026442452)</f>
        <v>9026442452</v>
      </c>
      <c r="E78" s="1" t="str">
        <f ca="1">IFERROR(__xludf.DUMMYFUNCTION("""COMPUTED_VALUE"""),"Artificial Intelligence")</f>
        <v>Artificial Intelligence</v>
      </c>
      <c r="F78" s="1" t="str">
        <f ca="1">IFERROR(__xludf.DUMMYFUNCTION("""COMPUTED_VALUE"""),"हिन्दी")</f>
        <v>हिन्दी</v>
      </c>
      <c r="G78" s="1" t="str">
        <f ca="1">IFERROR(__xludf.DUMMYFUNCTION("""COMPUTED_VALUE"""),"भारतीय संस्कृति")</f>
        <v>भारतीय संस्कृति</v>
      </c>
      <c r="H78" s="1"/>
      <c r="I78" s="1"/>
      <c r="J78" s="1"/>
      <c r="K78" s="1"/>
      <c r="L78" s="1"/>
      <c r="M78" s="1"/>
      <c r="N78" s="1"/>
      <c r="O78" s="1" t="str">
        <f ca="1">IFERROR(__xludf.DUMMYFUNCTION("""COMPUTED_VALUE"""),"गायत्री")</f>
        <v>गायत्री</v>
      </c>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f ca="1">IFERROR(__xludf.DUMMYFUNCTION("""COMPUTED_VALUE"""),4)</f>
        <v>4</v>
      </c>
      <c r="BX78" s="1">
        <f ca="1">IFERROR(__xludf.DUMMYFUNCTION("""COMPUTED_VALUE"""),1)</f>
        <v>1</v>
      </c>
      <c r="BY78" s="1">
        <f ca="1">IFERROR(__xludf.DUMMYFUNCTION("""COMPUTED_VALUE"""),4)</f>
        <v>4</v>
      </c>
      <c r="BZ78" s="1">
        <f ca="1">IFERROR(__xludf.DUMMYFUNCTION("""COMPUTED_VALUE"""),1)</f>
        <v>1</v>
      </c>
      <c r="CA78" s="1"/>
      <c r="CB78" s="1"/>
      <c r="CC78" s="1" t="str">
        <f ca="1">IFERROR(__xludf.DUMMYFUNCTION("""COMPUTED_VALUE"""),"देव संस्कृति का मेरुदण्ड वानप्रस्थ : H_BD_03")</f>
        <v>देव संस्कृति का मेरुदण्ड वानप्रस्थ : H_BD_03</v>
      </c>
      <c r="CD78" s="3" t="str">
        <f ca="1">IFERROR(__xludf.DUMMYFUNCTION("""COMPUTED_VALUE"""),"https://vicharkrantibooks.org/productdetail?book_name=HINR0319_DEV_SANSKRUTI_KA_MERUDAND_VANPRASTH_xx2010&amp;product_id=2004")</f>
        <v>https://vicharkrantibooks.org/productdetail?book_name=HINR0319_DEV_SANSKRUTI_KA_MERUDAND_VANPRASTH_xx2010&amp;product_id=2004</v>
      </c>
      <c r="CE78" s="1" t="str">
        <f ca="1">IFERROR(__xludf.DUMMYFUNCTION("""COMPUTED_VALUE"""),"Audiobook : देव संस्कृति का मेरुदण्ड वानप्रस्थ : H_BD_03 : lokesh16191@gmail.com : Recorded")</f>
        <v>Audiobook : देव संस्कृति का मेरुदण्ड वानप्रस्थ : H_BD_03 : lokesh16191@gmail.com : Recorded</v>
      </c>
      <c r="CF78" s="1" t="str">
        <f ca="1">IFERROR(__xludf.DUMMYFUNCTION("""COMPUTED_VALUE"""),"Audiobook : देव संस्कृति का मेरुदण्ड वानप्रस्थ : H_BD_03 : lokesh16191@gmail.com : Recorded")</f>
        <v>Audiobook : देव संस्कृति का मेरुदण्ड वानप्रस्थ : H_BD_03 : lokesh16191@gmail.com : Recorded</v>
      </c>
      <c r="CG78" s="1" t="str">
        <f ca="1">IFERROR(__xludf.DUMMYFUNCTION("""COMPUTED_VALUE"""),"Adarniya Lokesh Verma  ji देव संस्कृति का मेरुदण्ड वानप्रस्थ : H_BD_03 : Allocated on 05-Aug-24 Contact Number  9026442452")</f>
        <v>Adarniya Lokesh Verma  ji देव संस्कृति का मेरुदण्ड वानप्रस्थ : H_BD_03 : Allocated on 05-Aug-24 Contact Number  9026442452</v>
      </c>
      <c r="CH78" s="1" t="str">
        <f ca="1">IFERROR(__xludf.DUMMYFUNCTION("""COMPUTED_VALUE"""),"lokesh16191@gmail.com : देव संस्कृति का मेरुदण्ड वानप्रस्थ : H_BD_03")</f>
        <v>lokesh16191@gmail.com : देव संस्कृति का मेरुदण्ड वानप्रस्थ : H_BD_03</v>
      </c>
      <c r="CI78" s="1"/>
    </row>
    <row r="79" spans="1:87" x14ac:dyDescent="0.25">
      <c r="A79" s="5">
        <f ca="1">IFERROR(__xludf.DUMMYFUNCTION("""COMPUTED_VALUE"""),45509.5741119675)</f>
        <v>45509.5741119675</v>
      </c>
      <c r="B79" s="1" t="str">
        <f ca="1">IFERROR(__xludf.DUMMYFUNCTION("""COMPUTED_VALUE"""),"ashish.j.31@gmail.com")</f>
        <v>ashish.j.31@gmail.com</v>
      </c>
      <c r="C79" s="1" t="str">
        <f ca="1">IFERROR(__xludf.DUMMYFUNCTION("""COMPUTED_VALUE"""),"Ashish Kumar Jha")</f>
        <v>Ashish Kumar Jha</v>
      </c>
      <c r="D79" s="1">
        <f ca="1">IFERROR(__xludf.DUMMYFUNCTION("""COMPUTED_VALUE"""),9013044221)</f>
        <v>9013044221</v>
      </c>
      <c r="E79" s="1" t="str">
        <f ca="1">IFERROR(__xludf.DUMMYFUNCTION("""COMPUTED_VALUE"""),"Artificial Intelligence")</f>
        <v>Artificial Intelligence</v>
      </c>
      <c r="F79" s="1" t="str">
        <f ca="1">IFERROR(__xludf.DUMMYFUNCTION("""COMPUTED_VALUE"""),"English")</f>
        <v>English</v>
      </c>
      <c r="G79" s="1" t="str">
        <f ca="1">IFERROR(__xludf.DUMMYFUNCTION("""COMPUTED_VALUE"""),"English")</f>
        <v>English</v>
      </c>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f ca="1">IFERROR(__xludf.DUMMYFUNCTION("""COMPUTED_VALUE"""),1)</f>
        <v>1</v>
      </c>
      <c r="BX79" s="1">
        <f ca="1">IFERROR(__xludf.DUMMYFUNCTION("""COMPUTED_VALUE"""),1)</f>
        <v>1</v>
      </c>
      <c r="BY79" s="1">
        <f ca="1">IFERROR(__xludf.DUMMYFUNCTION("""COMPUTED_VALUE"""),1)</f>
        <v>1</v>
      </c>
      <c r="BZ79" s="1">
        <f ca="1">IFERROR(__xludf.DUMMYFUNCTION("""COMPUTED_VALUE"""),0)</f>
        <v>0</v>
      </c>
      <c r="CA79" s="1"/>
      <c r="CB79" s="1"/>
      <c r="CC79" s="1" t="str">
        <f ca="1">IFERROR(__xludf.DUMMYFUNCTION("""COMPUTED_VALUE"""),"Reviving The Vedic Culture Of Yagya : EP_30")</f>
        <v>Reviving The Vedic Culture Of Yagya : EP_30</v>
      </c>
      <c r="CD79" s="3" t="str">
        <f ca="1">IFERROR(__xludf.DUMMYFUNCTION("""COMPUTED_VALUE"""),"http://literature.awgp.org/book/reviving_the_vedic_cultue_of_yagya/v1")</f>
        <v>http://literature.awgp.org/book/reviving_the_vedic_cultue_of_yagya/v1</v>
      </c>
      <c r="CE79" s="1" t="str">
        <f ca="1">IFERROR(__xludf.DUMMYFUNCTION("""COMPUTED_VALUE"""),"Audiobook : Reviving The Vedic Culture Of Yagya : EP_30 : ashish.j.31@gmail.com : Recorded")</f>
        <v>Audiobook : Reviving The Vedic Culture Of Yagya : EP_30 : ashish.j.31@gmail.com : Recorded</v>
      </c>
      <c r="CF79" s="1" t="str">
        <f ca="1">IFERROR(__xludf.DUMMYFUNCTION("""COMPUTED_VALUE"""),"#N/A")</f>
        <v>#N/A</v>
      </c>
      <c r="CG79" s="1" t="str">
        <f ca="1">IFERROR(__xludf.DUMMYFUNCTION("""COMPUTED_VALUE"""),"Adarniya Ashish Kumar Jha ji Reviving The Vedic Culture Of Yagya : EP_30 : Allocated on 05-Aug-24 Contact Number  9013044221")</f>
        <v>Adarniya Ashish Kumar Jha ji Reviving The Vedic Culture Of Yagya : EP_30 : Allocated on 05-Aug-24 Contact Number  9013044221</v>
      </c>
      <c r="CH79" s="1" t="str">
        <f ca="1">IFERROR(__xludf.DUMMYFUNCTION("""COMPUTED_VALUE"""),"ashish.j.31@gmail.com : Reviving The Vedic Culture Of Yagya : EP_30")</f>
        <v>ashish.j.31@gmail.com : Reviving The Vedic Culture Of Yagya : EP_30</v>
      </c>
      <c r="CI79" s="1"/>
    </row>
    <row r="80" spans="1:87" x14ac:dyDescent="0.25">
      <c r="A80" s="5">
        <f ca="1">IFERROR(__xludf.DUMMYFUNCTION("""COMPUTED_VALUE"""),45509.5710662037)</f>
        <v>45509.571066203702</v>
      </c>
      <c r="B80" s="1" t="str">
        <f ca="1">IFERROR(__xludf.DUMMYFUNCTION("""COMPUTED_VALUE"""),"kuldeep2kk@gmail.com")</f>
        <v>kuldeep2kk@gmail.com</v>
      </c>
      <c r="C80" s="1" t="str">
        <f ca="1">IFERROR(__xludf.DUMMYFUNCTION("""COMPUTED_VALUE"""),"Kuldeep Pandey")</f>
        <v>Kuldeep Pandey</v>
      </c>
      <c r="D80" s="1">
        <f ca="1">IFERROR(__xludf.DUMMYFUNCTION("""COMPUTED_VALUE"""),9258369415)</f>
        <v>9258369415</v>
      </c>
      <c r="E80" s="1" t="str">
        <f ca="1">IFERROR(__xludf.DUMMYFUNCTION("""COMPUTED_VALUE"""),"Artificial Intelligence")</f>
        <v>Artificial Intelligence</v>
      </c>
      <c r="F80" s="1" t="str">
        <f ca="1">IFERROR(__xludf.DUMMYFUNCTION("""COMPUTED_VALUE"""),"हिन्दी")</f>
        <v>हिन्दी</v>
      </c>
      <c r="G80" s="1" t="str">
        <f ca="1">IFERROR(__xludf.DUMMYFUNCTION("""COMPUTED_VALUE"""),"राष्ट्र निर्माण")</f>
        <v>राष्ट्र निर्माण</v>
      </c>
      <c r="H80" s="1"/>
      <c r="I80" s="1"/>
      <c r="J80" s="1"/>
      <c r="K80" s="1"/>
      <c r="L80" s="1"/>
      <c r="M80" s="1"/>
      <c r="N80" s="1"/>
      <c r="O80" s="1"/>
      <c r="P80" s="1"/>
      <c r="Q80" s="1"/>
      <c r="R80" s="1" t="str">
        <f ca="1">IFERROR(__xludf.DUMMYFUNCTION("""COMPUTED_VALUE"""),"राष्ट्र निर्माण")</f>
        <v>राष्ट्र निर्माण</v>
      </c>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f ca="1">IFERROR(__xludf.DUMMYFUNCTION("""COMPUTED_VALUE"""),2)</f>
        <v>2</v>
      </c>
      <c r="BX80" s="1">
        <f ca="1">IFERROR(__xludf.DUMMYFUNCTION("""COMPUTED_VALUE"""),2)</f>
        <v>2</v>
      </c>
      <c r="BY80" s="1">
        <f ca="1">IFERROR(__xludf.DUMMYFUNCTION("""COMPUTED_VALUE"""),2)</f>
        <v>2</v>
      </c>
      <c r="BZ80" s="1">
        <f ca="1">IFERROR(__xludf.DUMMYFUNCTION("""COMPUTED_VALUE"""),0)</f>
        <v>0</v>
      </c>
      <c r="CA80" s="1"/>
      <c r="CB80" s="1"/>
      <c r="CC80" s="1" t="str">
        <f ca="1">IFERROR(__xludf.DUMMYFUNCTION("""COMPUTED_VALUE"""),"राष्ट्र समर्थ और सशक्त कैसे बने ? : H_SS_14")</f>
        <v>राष्ट्र समर्थ और सशक्त कैसे बने ? : H_SS_14</v>
      </c>
      <c r="CD80" s="3" t="str">
        <f ca="1">IFERROR(__xludf.DUMMYFUNCTION("""COMPUTED_VALUE"""),"https://vicharkrantibooks.org/productdetail?book_name=HINR1083_RASHTR_SAMARTH_AUR_SASHAKT_KAISE_BANE_Re2011&amp;product_id=2768")</f>
        <v>https://vicharkrantibooks.org/productdetail?book_name=HINR1083_RASHTR_SAMARTH_AUR_SASHAKT_KAISE_BANE_Re2011&amp;product_id=2768</v>
      </c>
      <c r="CE80" s="1" t="str">
        <f ca="1">IFERROR(__xludf.DUMMYFUNCTION("""COMPUTED_VALUE"""),"Audiobook : राष्ट्र समर्थ और सशक्त कैसे बने ? : H_SS_14 : kuldeep2kk@gmail.com : Recorded")</f>
        <v>Audiobook : राष्ट्र समर्थ और सशक्त कैसे बने ? : H_SS_14 : kuldeep2kk@gmail.com : Recorded</v>
      </c>
      <c r="CF80" s="1" t="str">
        <f ca="1">IFERROR(__xludf.DUMMYFUNCTION("""COMPUTED_VALUE"""),"#N/A")</f>
        <v>#N/A</v>
      </c>
      <c r="CG80" s="1" t="str">
        <f ca="1">IFERROR(__xludf.DUMMYFUNCTION("""COMPUTED_VALUE"""),"Adarniya Kuldeep Pandey ji राष्ट्र समर्थ और सशक्त कैसे बने ? : H_SS_14 : Allocated on 05-Aug-24 Contact Number  9258369415")</f>
        <v>Adarniya Kuldeep Pandey ji राष्ट्र समर्थ और सशक्त कैसे बने ? : H_SS_14 : Allocated on 05-Aug-24 Contact Number  9258369415</v>
      </c>
      <c r="CH80" s="1" t="str">
        <f ca="1">IFERROR(__xludf.DUMMYFUNCTION("""COMPUTED_VALUE"""),"kuldeep2kk@gmail.com : राष्ट्र समर्थ और सशक्त कैसे बने ? : H_SS_14")</f>
        <v>kuldeep2kk@gmail.com : राष्ट्र समर्थ और सशक्त कैसे बने ? : H_SS_14</v>
      </c>
      <c r="CI80" s="1"/>
    </row>
    <row r="81" spans="1:87" x14ac:dyDescent="0.25">
      <c r="A81" s="5">
        <f ca="1">IFERROR(__xludf.DUMMYFUNCTION("""COMPUTED_VALUE"""),45508.6772527662)</f>
        <v>45508.677252766203</v>
      </c>
      <c r="B81" s="1" t="str">
        <f ca="1">IFERROR(__xludf.DUMMYFUNCTION("""COMPUTED_VALUE"""),"pravinathakkar15@gmail.com")</f>
        <v>pravinathakkar15@gmail.com</v>
      </c>
      <c r="C81" s="1" t="str">
        <f ca="1">IFERROR(__xludf.DUMMYFUNCTION("""COMPUTED_VALUE"""),"Pravina B Thakkar ")</f>
        <v xml:space="preserve">Pravina B Thakkar </v>
      </c>
      <c r="D81" s="1">
        <f ca="1">IFERROR(__xludf.DUMMYFUNCTION("""COMPUTED_VALUE"""),7600058001)</f>
        <v>7600058001</v>
      </c>
      <c r="E81" s="1" t="str">
        <f ca="1">IFERROR(__xludf.DUMMYFUNCTION("""COMPUTED_VALUE"""),"Yes")</f>
        <v>Yes</v>
      </c>
      <c r="F81" s="1" t="str">
        <f ca="1">IFERROR(__xludf.DUMMYFUNCTION("""COMPUTED_VALUE"""),"गुजराती")</f>
        <v>गुजराती</v>
      </c>
      <c r="G81" s="1" t="str">
        <f ca="1">IFERROR(__xludf.DUMMYFUNCTION("""COMPUTED_VALUE"""),"जीवन प्रबंध")</f>
        <v>जीवन प्रबंध</v>
      </c>
      <c r="H81" s="1"/>
      <c r="I81" s="1"/>
      <c r="J81" s="1"/>
      <c r="K81" s="1"/>
      <c r="L81" s="1" t="str">
        <f ca="1">IFERROR(__xludf.DUMMYFUNCTION("""COMPUTED_VALUE"""),"मन की शक्ति एवं मनोविज्ञान")</f>
        <v>मन की शक्ति एवं मनोविज्ञान</v>
      </c>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f ca="1">IFERROR(__xludf.DUMMYFUNCTION("""COMPUTED_VALUE"""),6)</f>
        <v>6</v>
      </c>
      <c r="BX81" s="1">
        <f ca="1">IFERROR(__xludf.DUMMYFUNCTION("""COMPUTED_VALUE"""),6)</f>
        <v>6</v>
      </c>
      <c r="BY81" s="1">
        <f ca="1">IFERROR(__xludf.DUMMYFUNCTION("""COMPUTED_VALUE"""),3)</f>
        <v>3</v>
      </c>
      <c r="BZ81" s="1">
        <f ca="1">IFERROR(__xludf.DUMMYFUNCTION("""COMPUTED_VALUE"""),0)</f>
        <v>0</v>
      </c>
      <c r="CA81" s="1"/>
      <c r="CB81" s="1"/>
      <c r="CC81" s="1" t="str">
        <f ca="1">IFERROR(__xludf.DUMMYFUNCTION("""COMPUTED_VALUE"""),"આપણે બદલાઈશું તો યુગ બદલાશે : G_PP_21")</f>
        <v>આપણે બદલાઈશું તો યુગ બદલાશે : G_PP_21</v>
      </c>
      <c r="CD81" s="1" t="str">
        <f ca="1">IFERROR(__xludf.DUMMYFUNCTION("""COMPUTED_VALUE"""),"https://vicharkrantibooks.org/productdetail?product_id=3926.             https://vicharkrantibooks.org/productdetail?product_id=4155")</f>
        <v>https://vicharkrantibooks.org/productdetail?product_id=3926.             https://vicharkrantibooks.org/productdetail?product_id=4155</v>
      </c>
      <c r="CE81" s="1" t="str">
        <f ca="1">IFERROR(__xludf.DUMMYFUNCTION("""COMPUTED_VALUE"""),"Audiobook : આપણે બદલાઈશું તો યુગ બદલાશે : G_PP_21 : pravinathakkar15@gmail.com : Recorded")</f>
        <v>Audiobook : આપણે બદલાઈશું તો યુગ બદલાશે : G_PP_21 : pravinathakkar15@gmail.com : Recorded</v>
      </c>
      <c r="CF81" s="1" t="str">
        <f ca="1">IFERROR(__xludf.DUMMYFUNCTION("""COMPUTED_VALUE"""),"#N/A")</f>
        <v>#N/A</v>
      </c>
      <c r="CG81" s="1" t="str">
        <f ca="1">IFERROR(__xludf.DUMMYFUNCTION("""COMPUTED_VALUE"""),"Adarniya Pravina B Thakkar  ji આપણે બદલાઈશું તો યુગ બદલાશે : G_PP_21 : Allocated on 04-Aug-24 Contact Number  7600058001")</f>
        <v>Adarniya Pravina B Thakkar  ji આપણે બદલાઈશું તો યુગ બદલાશે : G_PP_21 : Allocated on 04-Aug-24 Contact Number  7600058001</v>
      </c>
      <c r="CH81" s="1"/>
      <c r="CI81" s="1"/>
    </row>
    <row r="82" spans="1:87" x14ac:dyDescent="0.25">
      <c r="A82" s="5">
        <f ca="1">IFERROR(__xludf.DUMMYFUNCTION("""COMPUTED_VALUE"""),45508.4756759143)</f>
        <v>45508.475675914298</v>
      </c>
      <c r="B82" s="1" t="str">
        <f ca="1">IFERROR(__xludf.DUMMYFUNCTION("""COMPUTED_VALUE"""),"spmittalmumbai@gmail.com")</f>
        <v>spmittalmumbai@gmail.com</v>
      </c>
      <c r="C82" s="1" t="str">
        <f ca="1">IFERROR(__xludf.DUMMYFUNCTION("""COMPUTED_VALUE"""),"S.P.Mittal")</f>
        <v>S.P.Mittal</v>
      </c>
      <c r="D82" s="1">
        <f ca="1">IFERROR(__xludf.DUMMYFUNCTION("""COMPUTED_VALUE"""),9860003407)</f>
        <v>9860003407</v>
      </c>
      <c r="E82" s="1" t="str">
        <f ca="1">IFERROR(__xludf.DUMMYFUNCTION("""COMPUTED_VALUE"""),"Yes")</f>
        <v>Yes</v>
      </c>
      <c r="F82" s="1" t="str">
        <f ca="1">IFERROR(__xludf.DUMMYFUNCTION("""COMPUTED_VALUE"""),"हिन्दी")</f>
        <v>हिन्दी</v>
      </c>
      <c r="G82" s="1" t="str">
        <f ca="1">IFERROR(__xludf.DUMMYFUNCTION("""COMPUTED_VALUE"""),"समग्र स्वास्थ्य")</f>
        <v>समग्र स्वास्थ्य</v>
      </c>
      <c r="H82" s="1"/>
      <c r="I82" s="1"/>
      <c r="J82" s="1"/>
      <c r="K82" s="1"/>
      <c r="L82" s="1"/>
      <c r="M82" s="1"/>
      <c r="N82" s="1"/>
      <c r="O82" s="1"/>
      <c r="P82" s="1"/>
      <c r="Q82" s="1"/>
      <c r="R82" s="1"/>
      <c r="S82" s="1"/>
      <c r="T82" s="1"/>
      <c r="U82" s="1" t="str">
        <f ca="1">IFERROR(__xludf.DUMMYFUNCTION("""COMPUTED_VALUE"""),"स्वास्थ्य संवर्धन")</f>
        <v>स्वास्थ्य संवर्धन</v>
      </c>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f ca="1">IFERROR(__xludf.DUMMYFUNCTION("""COMPUTED_VALUE"""),39)</f>
        <v>39</v>
      </c>
      <c r="BX82" s="1">
        <f ca="1">IFERROR(__xludf.DUMMYFUNCTION("""COMPUTED_VALUE"""),10)</f>
        <v>10</v>
      </c>
      <c r="BY82" s="1">
        <f ca="1">IFERROR(__xludf.DUMMYFUNCTION("""COMPUTED_VALUE"""),26)</f>
        <v>26</v>
      </c>
      <c r="BZ82" s="1">
        <f ca="1">IFERROR(__xludf.DUMMYFUNCTION("""COMPUTED_VALUE"""),23)</f>
        <v>23</v>
      </c>
      <c r="CA82" s="1"/>
      <c r="CB82" s="1"/>
      <c r="CC82" s="1" t="str">
        <f ca="1">IFERROR(__xludf.DUMMYFUNCTION("""COMPUTED_VALUE"""),"स्वाद के नाम पर अखाध्य भक्षण : Rare Book")</f>
        <v>स्वाद के नाम पर अखाध्य भक्षण : Rare Book</v>
      </c>
      <c r="CD82" s="3" t="str">
        <f ca="1">IFERROR(__xludf.DUMMYFUNCTION("""COMPUTED_VALUE"""),"https://vicharkrantibooks.org/productdetail?book_name=HINP0884_SVAD_KE_NAM_PAR_AKHADHY_BHAKSHAN_xx1981&amp;product_id=1449")</f>
        <v>https://vicharkrantibooks.org/productdetail?book_name=HINP0884_SVAD_KE_NAM_PAR_AKHADHY_BHAKSHAN_xx1981&amp;product_id=1449</v>
      </c>
      <c r="CE82" s="1" t="str">
        <f ca="1">IFERROR(__xludf.DUMMYFUNCTION("""COMPUTED_VALUE"""),"Audiobook : स्वाद के नाम पर अखाध्य भक्षण : Rare Book : spmittalmumbai@gmail.com : Recorded")</f>
        <v>Audiobook : स्वाद के नाम पर अखाध्य भक्षण : Rare Book : spmittalmumbai@gmail.com : Recorded</v>
      </c>
      <c r="CF82" s="1" t="str">
        <f ca="1">IFERROR(__xludf.DUMMYFUNCTION("""COMPUTED_VALUE"""),"Audiobook : स्वाद के नाम पर अखाध्य भक्षण : Rare Book : spmittalmumbai@gmail.com : Recorded")</f>
        <v>Audiobook : स्वाद के नाम पर अखाध्य भक्षण : Rare Book : spmittalmumbai@gmail.com : Recorded</v>
      </c>
      <c r="CG82" s="1" t="str">
        <f ca="1">IFERROR(__xludf.DUMMYFUNCTION("""COMPUTED_VALUE"""),"Adarniya S.P.Mittal ji स्वाद के नाम पर अखाध्य भक्षण : Rare Book : Allocated on 04-Aug-24 Contact Number  9860003407")</f>
        <v>Adarniya S.P.Mittal ji स्वाद के नाम पर अखाध्य भक्षण : Rare Book : Allocated on 04-Aug-24 Contact Number  9860003407</v>
      </c>
      <c r="CH82" s="1"/>
      <c r="CI82" s="1"/>
    </row>
    <row r="83" spans="1:87" x14ac:dyDescent="0.25">
      <c r="A83" s="5">
        <f ca="1">IFERROR(__xludf.DUMMYFUNCTION("""COMPUTED_VALUE"""),45506.8334612615)</f>
        <v>45506.8334612615</v>
      </c>
      <c r="B83" s="1" t="str">
        <f ca="1">IFERROR(__xludf.DUMMYFUNCTION("""COMPUTED_VALUE"""),"jagriti.mishra@gmail.com")</f>
        <v>jagriti.mishra@gmail.com</v>
      </c>
      <c r="C83" s="1" t="str">
        <f ca="1">IFERROR(__xludf.DUMMYFUNCTION("""COMPUTED_VALUE"""),"Jagriti Mishra")</f>
        <v>Jagriti Mishra</v>
      </c>
      <c r="D83" s="1">
        <f ca="1">IFERROR(__xludf.DUMMYFUNCTION("""COMPUTED_VALUE"""),9860078596)</f>
        <v>9860078596</v>
      </c>
      <c r="E83" s="1" t="str">
        <f ca="1">IFERROR(__xludf.DUMMYFUNCTION("""COMPUTED_VALUE"""),"Yes")</f>
        <v>Yes</v>
      </c>
      <c r="F83" s="1" t="str">
        <f ca="1">IFERROR(__xludf.DUMMYFUNCTION("""COMPUTED_VALUE"""),"हिन्दी")</f>
        <v>हिन्दी</v>
      </c>
      <c r="G83" s="1" t="str">
        <f ca="1">IFERROR(__xludf.DUMMYFUNCTION("""COMPUTED_VALUE"""),"भारतीय संस्कृति")</f>
        <v>भारतीय संस्कृति</v>
      </c>
      <c r="H83" s="1"/>
      <c r="I83" s="1"/>
      <c r="J83" s="1"/>
      <c r="K83" s="1"/>
      <c r="L83" s="1"/>
      <c r="M83" s="1"/>
      <c r="N83" s="1"/>
      <c r="O83" s="1" t="str">
        <f ca="1">IFERROR(__xludf.DUMMYFUNCTION("""COMPUTED_VALUE"""),"भारतीय संस्कृति")</f>
        <v>भारतीय संस्कृति</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f ca="1">IFERROR(__xludf.DUMMYFUNCTION("""COMPUTED_VALUE"""),3)</f>
        <v>3</v>
      </c>
      <c r="BX83" s="1">
        <f ca="1">IFERROR(__xludf.DUMMYFUNCTION("""COMPUTED_VALUE"""),3)</f>
        <v>3</v>
      </c>
      <c r="BY83" s="1">
        <f ca="1">IFERROR(__xludf.DUMMYFUNCTION("""COMPUTED_VALUE"""),3)</f>
        <v>3</v>
      </c>
      <c r="BZ83" s="1">
        <f ca="1">IFERROR(__xludf.DUMMYFUNCTION("""COMPUTED_VALUE"""),0)</f>
        <v>0</v>
      </c>
      <c r="CA83" s="1"/>
      <c r="CB83" s="1"/>
      <c r="CC83" s="1" t="str">
        <f ca="1">IFERROR(__xludf.DUMMYFUNCTION("""COMPUTED_VALUE"""),"देव संस्कृति की गरिमा और महत्ता : Rare Book")</f>
        <v>देव संस्कृति की गरिमा और महत्ता : Rare Book</v>
      </c>
      <c r="CD83" s="3" t="str">
        <f ca="1">IFERROR(__xludf.DUMMYFUNCTION("""COMPUTED_VALUE"""),"https://vicharkrantibooks.org/productdetail?book_name=HINP0213_DEV_SANSKRUTI_KI_GARIMA_AUR_MAHATTA_xx1982&amp;product_id=778")</f>
        <v>https://vicharkrantibooks.org/productdetail?book_name=HINP0213_DEV_SANSKRUTI_KI_GARIMA_AUR_MAHATTA_xx1982&amp;product_id=778</v>
      </c>
      <c r="CE83" s="1" t="str">
        <f ca="1">IFERROR(__xludf.DUMMYFUNCTION("""COMPUTED_VALUE"""),"Audiobook : देव संस्कृति की गरिमा और महत्ता : Rare Book : jagriti.mishra@gmail.com : Recorded")</f>
        <v>Audiobook : देव संस्कृति की गरिमा और महत्ता : Rare Book : jagriti.mishra@gmail.com : Recorded</v>
      </c>
      <c r="CF83" s="1" t="str">
        <f ca="1">IFERROR(__xludf.DUMMYFUNCTION("""COMPUTED_VALUE"""),"#N/A")</f>
        <v>#N/A</v>
      </c>
      <c r="CG83" s="1" t="str">
        <f ca="1">IFERROR(__xludf.DUMMYFUNCTION("""COMPUTED_VALUE"""),"Adarniya Jagriti Mishra ji देव संस्कृति की गरिमा और महत्ता : Rare Book : Allocated on 02-Aug-24 Contact Number  9860078596")</f>
        <v>Adarniya Jagriti Mishra ji देव संस्कृति की गरिमा और महत्ता : Rare Book : Allocated on 02-Aug-24 Contact Number  9860078596</v>
      </c>
      <c r="CH83" s="1"/>
      <c r="CI83" s="1"/>
    </row>
    <row r="84" spans="1:87" x14ac:dyDescent="0.25">
      <c r="A84" s="5">
        <f ca="1">IFERROR(__xludf.DUMMYFUNCTION("""COMPUTED_VALUE"""),45506.6928256365)</f>
        <v>45506.692825636499</v>
      </c>
      <c r="B84" s="1" t="str">
        <f ca="1">IFERROR(__xludf.DUMMYFUNCTION("""COMPUTED_VALUE"""),"dave.chhaya@gmail.com")</f>
        <v>dave.chhaya@gmail.com</v>
      </c>
      <c r="C84" s="1" t="str">
        <f ca="1">IFERROR(__xludf.DUMMYFUNCTION("""COMPUTED_VALUE"""),"Chhaya Deepak Dave ")</f>
        <v xml:space="preserve">Chhaya Deepak Dave </v>
      </c>
      <c r="D84" s="1">
        <f ca="1">IFERROR(__xludf.DUMMYFUNCTION("""COMPUTED_VALUE"""),9879596556)</f>
        <v>9879596556</v>
      </c>
      <c r="E84" s="1" t="str">
        <f ca="1">IFERROR(__xludf.DUMMYFUNCTION("""COMPUTED_VALUE"""),"Yes")</f>
        <v>Yes</v>
      </c>
      <c r="F84" s="1" t="str">
        <f ca="1">IFERROR(__xludf.DUMMYFUNCTION("""COMPUTED_VALUE"""),"गुजराती")</f>
        <v>गुजराती</v>
      </c>
      <c r="G84" s="1" t="str">
        <f ca="1">IFERROR(__xludf.DUMMYFUNCTION("""COMPUTED_VALUE"""),"संस्कार, कर्मकाण्ड, पाठ, पूजा, गीत-संगीत")</f>
        <v>संस्कार, कर्मकाण्ड, पाठ, पूजा, गीत-संगीत</v>
      </c>
      <c r="H84" s="1"/>
      <c r="I84" s="1"/>
      <c r="J84" s="1"/>
      <c r="K84" s="1"/>
      <c r="L84" s="1"/>
      <c r="M84" s="1"/>
      <c r="N84" s="1"/>
      <c r="O84" s="1"/>
      <c r="P84" s="1"/>
      <c r="Q84" s="1"/>
      <c r="R84" s="1"/>
      <c r="S84" s="1"/>
      <c r="T84" s="1"/>
      <c r="U84" s="1"/>
      <c r="V84" s="1"/>
      <c r="W84" s="1" t="str">
        <f ca="1">IFERROR(__xludf.DUMMYFUNCTION("""COMPUTED_VALUE"""),"स्वाध्याय, सत्संग, चिंतन, मनन")</f>
        <v>स्वाध्याय, सत्संग, चिंतन, मनन</v>
      </c>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t="str">
        <f ca="1">IFERROR(__xludf.DUMMYFUNCTION("""COMPUTED_VALUE"""),"चिंतन चरित्र को उँचा उठाएँ")</f>
        <v>चिंतन चरित्र को उँचा उठाएँ</v>
      </c>
      <c r="BK84" s="1"/>
      <c r="BL84" s="1"/>
      <c r="BM84" s="1"/>
      <c r="BN84" s="1"/>
      <c r="BO84" s="1"/>
      <c r="BP84" s="1"/>
      <c r="BQ84" s="1"/>
      <c r="BR84" s="1"/>
      <c r="BS84" s="1"/>
      <c r="BT84" s="1"/>
      <c r="BU84" s="1"/>
      <c r="BV84" s="1"/>
      <c r="BW84" s="1">
        <f ca="1">IFERROR(__xludf.DUMMYFUNCTION("""COMPUTED_VALUE"""),46)</f>
        <v>46</v>
      </c>
      <c r="BX84" s="1">
        <f ca="1">IFERROR(__xludf.DUMMYFUNCTION("""COMPUTED_VALUE"""),46)</f>
        <v>46</v>
      </c>
      <c r="BY84" s="1">
        <f ca="1">IFERROR(__xludf.DUMMYFUNCTION("""COMPUTED_VALUE"""),46)</f>
        <v>46</v>
      </c>
      <c r="BZ84" s="1">
        <f ca="1">IFERROR(__xludf.DUMMYFUNCTION("""COMPUTED_VALUE"""),16)</f>
        <v>16</v>
      </c>
      <c r="CA84" s="1"/>
      <c r="CB84" s="1"/>
      <c r="CC84" s="1" t="str">
        <f ca="1">IFERROR(__xludf.DUMMYFUNCTION("""COMPUTED_VALUE"""),"પ્રતિકપૂજાનો વૈજ્ઞાનિક આધાર : G_JS_51")</f>
        <v>પ્રતિકપૂજાનો વૈજ્ઞાનિક આધાર : G_JS_51</v>
      </c>
      <c r="CD84" s="3" t="str">
        <f ca="1">IFERROR(__xludf.DUMMYFUNCTION("""COMPUTED_VALUE"""),"https://vicharkrantibooks.org/productdetail?product_id=3776")</f>
        <v>https://vicharkrantibooks.org/productdetail?product_id=3776</v>
      </c>
      <c r="CE84" s="1" t="str">
        <f ca="1">IFERROR(__xludf.DUMMYFUNCTION("""COMPUTED_VALUE"""),"Audiobook : પ્રતિકપૂજાનો વૈજ્ઞાનિક આધાર : G_JS_51 : dave.chhaya@gmail.com : Recorded")</f>
        <v>Audiobook : પ્રતિકપૂજાનો વૈજ્ઞાનિક આધાર : G_JS_51 : dave.chhaya@gmail.com : Recorded</v>
      </c>
      <c r="CF84" s="1" t="str">
        <f ca="1">IFERROR(__xludf.DUMMYFUNCTION("""COMPUTED_VALUE"""),"Audiobook : પ્રતિકપૂજાનો વૈજ્ઞાનિક આધાર : G_JS_51 : dave.chhaya@gmail.com : Recorded")</f>
        <v>Audiobook : પ્રતિકપૂજાનો વૈજ્ઞાનિક આધાર : G_JS_51 : dave.chhaya@gmail.com : Recorded</v>
      </c>
      <c r="CG84" s="1" t="str">
        <f ca="1">IFERROR(__xludf.DUMMYFUNCTION("""COMPUTED_VALUE"""),"Adarniya Chhaya Deepak Dave  ji પ્રતિકપૂજાનો વૈજ્ઞાનિક આધાર : G_JS_51 : Allocated on 02-Aug-24 Contact Number  9879596556")</f>
        <v>Adarniya Chhaya Deepak Dave  ji પ્રતિકપૂજાનો વૈજ્ઞાનિક આધાર : G_JS_51 : Allocated on 02-Aug-24 Contact Number  9879596556</v>
      </c>
      <c r="CH84" s="1"/>
      <c r="CI84" s="1"/>
    </row>
    <row r="85" spans="1:87" x14ac:dyDescent="0.25">
      <c r="A85" s="5">
        <f ca="1">IFERROR(__xludf.DUMMYFUNCTION("""COMPUTED_VALUE"""),45506.656703449)</f>
        <v>45506.656703449</v>
      </c>
      <c r="B85" s="1" t="str">
        <f ca="1">IFERROR(__xludf.DUMMYFUNCTION("""COMPUTED_VALUE"""),"premlatadebi4669@gmail.com")</f>
        <v>premlatadebi4669@gmail.com</v>
      </c>
      <c r="C85" s="1" t="str">
        <f ca="1">IFERROR(__xludf.DUMMYFUNCTION("""COMPUTED_VALUE"""),"Premlata barnwal ")</f>
        <v xml:space="preserve">Premlata barnwal </v>
      </c>
      <c r="D85" s="1">
        <f ca="1">IFERROR(__xludf.DUMMYFUNCTION("""COMPUTED_VALUE"""),9372282030)</f>
        <v>9372282030</v>
      </c>
      <c r="E85" s="1" t="str">
        <f ca="1">IFERROR(__xludf.DUMMYFUNCTION("""COMPUTED_VALUE"""),"Yes")</f>
        <v>Yes</v>
      </c>
      <c r="F85" s="1" t="str">
        <f ca="1">IFERROR(__xludf.DUMMYFUNCTION("""COMPUTED_VALUE"""),"हिन्दी")</f>
        <v>हिन्दी</v>
      </c>
      <c r="G85" s="1" t="str">
        <f ca="1">IFERROR(__xludf.DUMMYFUNCTION("""COMPUTED_VALUE"""),"परिवार निर्माण")</f>
        <v>परिवार निर्माण</v>
      </c>
      <c r="H85" s="1"/>
      <c r="I85" s="1"/>
      <c r="J85" s="1"/>
      <c r="K85" s="1"/>
      <c r="L85" s="1"/>
      <c r="M85" s="1" t="str">
        <f ca="1">IFERROR(__xludf.DUMMYFUNCTION("""COMPUTED_VALUE"""),"परिवार")</f>
        <v>परिवार</v>
      </c>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f ca="1">IFERROR(__xludf.DUMMYFUNCTION("""COMPUTED_VALUE"""),2)</f>
        <v>2</v>
      </c>
      <c r="BX85" s="1">
        <f ca="1">IFERROR(__xludf.DUMMYFUNCTION("""COMPUTED_VALUE"""),10)</f>
        <v>10</v>
      </c>
      <c r="BY85" s="1">
        <f ca="1">IFERROR(__xludf.DUMMYFUNCTION("""COMPUTED_VALUE"""),14)</f>
        <v>14</v>
      </c>
      <c r="BZ85" s="1">
        <f ca="1">IFERROR(__xludf.DUMMYFUNCTION("""COMPUTED_VALUE"""),0)</f>
        <v>0</v>
      </c>
      <c r="CA85" s="1"/>
      <c r="CB85" s="1"/>
      <c r="CC85" s="1" t="str">
        <f ca="1">IFERROR(__xludf.DUMMYFUNCTION("""COMPUTED_VALUE"""),"संयुक्त परिवार-एक सुरक्षित गढ़ : Rare Book")</f>
        <v>संयुक्त परिवार-एक सुरक्षित गढ़ : Rare Book</v>
      </c>
      <c r="CD85" s="3" t="str">
        <f ca="1">IFERROR(__xludf.DUMMYFUNCTION("""COMPUTED_VALUE"""),"https://vicharkrantibooks.org/productdetail?book_name=HINP0803_SANYUKT_PARIWAR_EK_SURAKSHIT_GADH_xxyyyy&amp;product_id=1368")</f>
        <v>https://vicharkrantibooks.org/productdetail?book_name=HINP0803_SANYUKT_PARIWAR_EK_SURAKSHIT_GADH_xxyyyy&amp;product_id=1368</v>
      </c>
      <c r="CE85" s="1" t="str">
        <f ca="1">IFERROR(__xludf.DUMMYFUNCTION("""COMPUTED_VALUE"""),"Audiobook : संयुक्त परिवार-एक सुरक्षित गढ़ : Rare Book : premlatadebi4669@gmail.com : Recorded")</f>
        <v>Audiobook : संयुक्त परिवार-एक सुरक्षित गढ़ : Rare Book : premlatadebi4669@gmail.com : Recorded</v>
      </c>
      <c r="CF85" s="1" t="str">
        <f ca="1">IFERROR(__xludf.DUMMYFUNCTION("""COMPUTED_VALUE"""),"#N/A")</f>
        <v>#N/A</v>
      </c>
      <c r="CG85" s="1" t="str">
        <f ca="1">IFERROR(__xludf.DUMMYFUNCTION("""COMPUTED_VALUE"""),"Adarniya Premlata barnwal  ji संयुक्त परिवार-एक सुरक्षित गढ़ : Rare Book : Allocated on 02-Aug-24 Contact Number  9372282030")</f>
        <v>Adarniya Premlata barnwal  ji संयुक्त परिवार-एक सुरक्षित गढ़ : Rare Book : Allocated on 02-Aug-24 Contact Number  9372282030</v>
      </c>
      <c r="CH85" s="1"/>
      <c r="CI85" s="1"/>
    </row>
    <row r="86" spans="1:87" x14ac:dyDescent="0.25">
      <c r="A86" s="5">
        <f ca="1">IFERROR(__xludf.DUMMYFUNCTION("""COMPUTED_VALUE"""),45506.6558050925)</f>
        <v>45506.655805092501</v>
      </c>
      <c r="B86" s="1" t="str">
        <f ca="1">IFERROR(__xludf.DUMMYFUNCTION("""COMPUTED_VALUE"""),"rbbansalriya@gmail.com")</f>
        <v>rbbansalriya@gmail.com</v>
      </c>
      <c r="C86" s="1" t="str">
        <f ca="1">IFERROR(__xludf.DUMMYFUNCTION("""COMPUTED_VALUE"""),"Riya bansal ")</f>
        <v xml:space="preserve">Riya bansal </v>
      </c>
      <c r="D86" s="1">
        <f ca="1">IFERROR(__xludf.DUMMYFUNCTION("""COMPUTED_VALUE"""),9176361023)</f>
        <v>9176361023</v>
      </c>
      <c r="E86" s="1" t="str">
        <f ca="1">IFERROR(__xludf.DUMMYFUNCTION("""COMPUTED_VALUE"""),"Yes")</f>
        <v>Yes</v>
      </c>
      <c r="F86" s="1" t="str">
        <f ca="1">IFERROR(__xludf.DUMMYFUNCTION("""COMPUTED_VALUE"""),"हिन्दी")</f>
        <v>हिन्दी</v>
      </c>
      <c r="G86" s="1" t="str">
        <f ca="1">IFERROR(__xludf.DUMMYFUNCTION("""COMPUTED_VALUE"""),"अध्यात्म, धर्म एवं दर्शन")</f>
        <v>अध्यात्म, धर्म एवं दर्शन</v>
      </c>
      <c r="H86" s="1" t="str">
        <f ca="1">IFERROR(__xludf.DUMMYFUNCTION("""COMPUTED_VALUE"""),"अध्यात्म, धर्म एवं आस्तिकता")</f>
        <v>अध्यात्म, धर्म एवं आस्तिकता</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f ca="1">IFERROR(__xludf.DUMMYFUNCTION("""COMPUTED_VALUE"""),54)</f>
        <v>54</v>
      </c>
      <c r="BX86" s="1">
        <f ca="1">IFERROR(__xludf.DUMMYFUNCTION("""COMPUTED_VALUE"""),51)</f>
        <v>51</v>
      </c>
      <c r="BY86" s="1">
        <f ca="1">IFERROR(__xludf.DUMMYFUNCTION("""COMPUTED_VALUE"""),54)</f>
        <v>54</v>
      </c>
      <c r="BZ86" s="1">
        <f ca="1">IFERROR(__xludf.DUMMYFUNCTION("""COMPUTED_VALUE"""),43)</f>
        <v>43</v>
      </c>
      <c r="CA86" s="1"/>
      <c r="CB86" s="1"/>
      <c r="CC86" s="1" t="str">
        <f ca="1">IFERROR(__xludf.DUMMYFUNCTION("""COMPUTED_VALUE"""),"धर्म प्रथाओं में नहीं सदाचरण में : Rare Book")</f>
        <v>धर्म प्रथाओं में नहीं सदाचरण में : Rare Book</v>
      </c>
      <c r="CD86" s="3" t="str">
        <f ca="1">IFERROR(__xludf.DUMMYFUNCTION("""COMPUTED_VALUE"""),"https://vicharkrantibooks.org/productdetail?book_name=HINP0239_DHARM_PRATHAON_MEIN_NAHI_SADACHARAN_MEIN_xx1979&amp;product_id=804")</f>
        <v>https://vicharkrantibooks.org/productdetail?book_name=HINP0239_DHARM_PRATHAON_MEIN_NAHI_SADACHARAN_MEIN_xx1979&amp;product_id=804</v>
      </c>
      <c r="CE86" s="1" t="str">
        <f ca="1">IFERROR(__xludf.DUMMYFUNCTION("""COMPUTED_VALUE"""),"Audiobook : धर्म प्रथाओं में नहीं सदाचरण में : Rare Book : rbbansalriya@gmail.com : Recorded")</f>
        <v>Audiobook : धर्म प्रथाओं में नहीं सदाचरण में : Rare Book : rbbansalriya@gmail.com : Recorded</v>
      </c>
      <c r="CF86" s="1" t="str">
        <f ca="1">IFERROR(__xludf.DUMMYFUNCTION("""COMPUTED_VALUE"""),"Audiobook : धर्म प्रथाओं में नहीं सदाचरण में : Rare Book : rbbansalriya@gmail.com : Recorded")</f>
        <v>Audiobook : धर्म प्रथाओं में नहीं सदाचरण में : Rare Book : rbbansalriya@gmail.com : Recorded</v>
      </c>
      <c r="CG86" s="1" t="str">
        <f ca="1">IFERROR(__xludf.DUMMYFUNCTION("""COMPUTED_VALUE"""),"Adarniya Riya bansal  ji धर्म प्रथाओं में नहीं सदाचरण में : Rare Book : Allocated on 02-Aug-24 Contact Number  9176361023")</f>
        <v>Adarniya Riya bansal  ji धर्म प्रथाओं में नहीं सदाचरण में : Rare Book : Allocated on 02-Aug-24 Contact Number  9176361023</v>
      </c>
      <c r="CH86" s="1"/>
      <c r="CI86" s="1"/>
    </row>
    <row r="87" spans="1:87" x14ac:dyDescent="0.25">
      <c r="A87" s="5">
        <f ca="1">IFERROR(__xludf.DUMMYFUNCTION("""COMPUTED_VALUE"""),45504.9263171527)</f>
        <v>45504.926317152698</v>
      </c>
      <c r="B87" s="1" t="str">
        <f ca="1">IFERROR(__xludf.DUMMYFUNCTION("""COMPUTED_VALUE"""),"sharmabhavna33@gmail.com")</f>
        <v>sharmabhavna33@gmail.com</v>
      </c>
      <c r="C87" s="1" t="str">
        <f ca="1">IFERROR(__xludf.DUMMYFUNCTION("""COMPUTED_VALUE"""),"Bhawana Parashar ")</f>
        <v xml:space="preserve">Bhawana Parashar </v>
      </c>
      <c r="D87" s="1">
        <f ca="1">IFERROR(__xludf.DUMMYFUNCTION("""COMPUTED_VALUE"""),9826248427)</f>
        <v>9826248427</v>
      </c>
      <c r="E87" s="1" t="str">
        <f ca="1">IFERROR(__xludf.DUMMYFUNCTION("""COMPUTED_VALUE"""),"Yes")</f>
        <v>Yes</v>
      </c>
      <c r="F87" s="1" t="str">
        <f ca="1">IFERROR(__xludf.DUMMYFUNCTION("""COMPUTED_VALUE"""),"हिन्दी")</f>
        <v>हिन्दी</v>
      </c>
      <c r="G87" s="1" t="str">
        <f ca="1">IFERROR(__xludf.DUMMYFUNCTION("""COMPUTED_VALUE"""),"युग परिवर्तन-विचार क्रांति")</f>
        <v>युग परिवर्तन-विचार क्रांति</v>
      </c>
      <c r="H87" s="1"/>
      <c r="I87" s="1"/>
      <c r="J87" s="1"/>
      <c r="K87" s="1"/>
      <c r="L87" s="1"/>
      <c r="M87" s="1"/>
      <c r="N87" s="1"/>
      <c r="O87" s="1"/>
      <c r="P87" s="1"/>
      <c r="Q87" s="1" t="str">
        <f ca="1">IFERROR(__xludf.DUMMYFUNCTION("""COMPUTED_VALUE"""),"विचार क्रांति")</f>
        <v>विचार क्रांति</v>
      </c>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f ca="1">IFERROR(__xludf.DUMMYFUNCTION("""COMPUTED_VALUE"""),9)</f>
        <v>9</v>
      </c>
      <c r="BX87" s="1">
        <f ca="1">IFERROR(__xludf.DUMMYFUNCTION("""COMPUTED_VALUE"""),3)</f>
        <v>3</v>
      </c>
      <c r="BY87" s="1">
        <f ca="1">IFERROR(__xludf.DUMMYFUNCTION("""COMPUTED_VALUE"""),9)</f>
        <v>9</v>
      </c>
      <c r="BZ87" s="1">
        <f ca="1">IFERROR(__xludf.DUMMYFUNCTION("""COMPUTED_VALUE"""),1)</f>
        <v>1</v>
      </c>
      <c r="CA87" s="1"/>
      <c r="CB87" s="1"/>
      <c r="CC87" s="1" t="str">
        <f ca="1">IFERROR(__xludf.DUMMYFUNCTION("""COMPUTED_VALUE"""),"युग परिवर्तन का वातावरण बनाने विभूतिवान आगे आयें : Rare Book")</f>
        <v>युग परिवर्तन का वातावरण बनाने विभूतिवान आगे आयें : Rare Book</v>
      </c>
      <c r="CD87" s="3" t="str">
        <f ca="1">IFERROR(__xludf.DUMMYFUNCTION("""COMPUTED_VALUE"""),"https://vicharkrantibooks.org/productdetail?book_name=HINP1052_YUG_PARIVARTAN_KA_VATAVARAN_BANANE_VIBHUTIVAN_AGE_AYE_xx1982&amp;product_id=1617")</f>
        <v>https://vicharkrantibooks.org/productdetail?book_name=HINP1052_YUG_PARIVARTAN_KA_VATAVARAN_BANANE_VIBHUTIVAN_AGE_AYE_xx1982&amp;product_id=1617</v>
      </c>
      <c r="CE87" s="1" t="str">
        <f ca="1">IFERROR(__xludf.DUMMYFUNCTION("""COMPUTED_VALUE"""),"Audiobook : युग परिवर्तन का वातावरण बनाने विभूतिवान आगे आयें : Rare Book : sharmabhavna33@gmail.com : Recorded")</f>
        <v>Audiobook : युग परिवर्तन का वातावरण बनाने विभूतिवान आगे आयें : Rare Book : sharmabhavna33@gmail.com : Recorded</v>
      </c>
      <c r="CF87" s="1" t="str">
        <f ca="1">IFERROR(__xludf.DUMMYFUNCTION("""COMPUTED_VALUE"""),"#N/A")</f>
        <v>#N/A</v>
      </c>
      <c r="CG87" s="1" t="str">
        <f ca="1">IFERROR(__xludf.DUMMYFUNCTION("""COMPUTED_VALUE"""),"Adarniya Bhawana Parashar  ji युग परिवर्तन का वातावरण बनाने विभूतिवान आगे आयें : Rare Book : Allocated on 31-Jul-24 Contact Number  9826248427")</f>
        <v>Adarniya Bhawana Parashar  ji युग परिवर्तन का वातावरण बनाने विभूतिवान आगे आयें : Rare Book : Allocated on 31-Jul-24 Contact Number  9826248427</v>
      </c>
      <c r="CH87" s="1"/>
      <c r="CI87" s="1"/>
    </row>
    <row r="88" spans="1:87" x14ac:dyDescent="0.25">
      <c r="A88" s="5">
        <f ca="1">IFERROR(__xludf.DUMMYFUNCTION("""COMPUTED_VALUE"""),45504.3303796064)</f>
        <v>45504.330379606399</v>
      </c>
      <c r="B88" s="1" t="str">
        <f ca="1">IFERROR(__xludf.DUMMYFUNCTION("""COMPUTED_VALUE"""),"shweta.r.gupta79@gmail.com")</f>
        <v>shweta.r.gupta79@gmail.com</v>
      </c>
      <c r="C88" s="1" t="str">
        <f ca="1">IFERROR(__xludf.DUMMYFUNCTION("""COMPUTED_VALUE"""),"Shweta Gupta ")</f>
        <v xml:space="preserve">Shweta Gupta </v>
      </c>
      <c r="D88" s="1">
        <f ca="1">IFERROR(__xludf.DUMMYFUNCTION("""COMPUTED_VALUE"""),8369516724)</f>
        <v>8369516724</v>
      </c>
      <c r="E88" s="1" t="str">
        <f ca="1">IFERROR(__xludf.DUMMYFUNCTION("""COMPUTED_VALUE"""),"Yes")</f>
        <v>Yes</v>
      </c>
      <c r="F88" s="1" t="str">
        <f ca="1">IFERROR(__xludf.DUMMYFUNCTION("""COMPUTED_VALUE"""),"हिन्दी")</f>
        <v>हिन्दी</v>
      </c>
      <c r="G88" s="1" t="str">
        <f ca="1">IFERROR(__xludf.DUMMYFUNCTION("""COMPUTED_VALUE"""),"परिवार निर्माण")</f>
        <v>परिवार निर्माण</v>
      </c>
      <c r="H88" s="1"/>
      <c r="I88" s="1"/>
      <c r="J88" s="1"/>
      <c r="K88" s="1"/>
      <c r="L88" s="1"/>
      <c r="M88" s="1" t="str">
        <f ca="1">IFERROR(__xludf.DUMMYFUNCTION("""COMPUTED_VALUE"""),"परिवार")</f>
        <v>परिवार</v>
      </c>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f ca="1">IFERROR(__xludf.DUMMYFUNCTION("""COMPUTED_VALUE"""),31)</f>
        <v>31</v>
      </c>
      <c r="BX88" s="1">
        <f ca="1">IFERROR(__xludf.DUMMYFUNCTION("""COMPUTED_VALUE"""),28)</f>
        <v>28</v>
      </c>
      <c r="BY88" s="1">
        <f ca="1">IFERROR(__xludf.DUMMYFUNCTION("""COMPUTED_VALUE"""),31)</f>
        <v>31</v>
      </c>
      <c r="BZ88" s="1">
        <f ca="1">IFERROR(__xludf.DUMMYFUNCTION("""COMPUTED_VALUE"""),40)</f>
        <v>40</v>
      </c>
      <c r="CA88" s="1"/>
      <c r="CB88" s="1"/>
      <c r="CC88" s="1" t="str">
        <f ca="1">IFERROR(__xludf.DUMMYFUNCTION("""COMPUTED_VALUE"""),"संतानोत्पादन को निरुत्साहित किया जाए : Rare Book")</f>
        <v>संतानोत्पादन को निरुत्साहित किया जाए : Rare Book</v>
      </c>
      <c r="CD88" s="3" t="str">
        <f ca="1">IFERROR(__xludf.DUMMYFUNCTION("""COMPUTED_VALUE"""),"https://vicharkrantibooks.org/productdetail?book_name=HINP0796_SANTANOTPADAN_KO_NIRUTSAHIT_KIYA_JAE_xxyyyy&amp;product_id=1361")</f>
        <v>https://vicharkrantibooks.org/productdetail?book_name=HINP0796_SANTANOTPADAN_KO_NIRUTSAHIT_KIYA_JAE_xxyyyy&amp;product_id=1361</v>
      </c>
      <c r="CE88" s="1" t="str">
        <f ca="1">IFERROR(__xludf.DUMMYFUNCTION("""COMPUTED_VALUE"""),"Audiobook : संतानोत्पादन को निरुत्साहित किया जाए : Rare Book : shweta.r.gupta79@gmail.com : Recorded")</f>
        <v>Audiobook : संतानोत्पादन को निरुत्साहित किया जाए : Rare Book : shweta.r.gupta79@gmail.com : Recorded</v>
      </c>
      <c r="CF88" s="1" t="str">
        <f ca="1">IFERROR(__xludf.DUMMYFUNCTION("""COMPUTED_VALUE"""),"#N/A")</f>
        <v>#N/A</v>
      </c>
      <c r="CG88" s="1" t="str">
        <f ca="1">IFERROR(__xludf.DUMMYFUNCTION("""COMPUTED_VALUE"""),"Adarniya Shweta Gupta  ji संतानोत्पादन को निरुत्साहित किया जाए : Rare Book : Allocated on 31-Jul-24 Contact Number  8369516724")</f>
        <v>Adarniya Shweta Gupta  ji संतानोत्पादन को निरुत्साहित किया जाए : Rare Book : Allocated on 31-Jul-24 Contact Number  8369516724</v>
      </c>
      <c r="CH88" s="1" t="str">
        <f ca="1">IFERROR(__xludf.DUMMYFUNCTION("""COMPUTED_VALUE"""),"shweta.r.gupta79@gmail.com : संतानोत्पादन को निरुत्साहित किया जाए : Rare Book")</f>
        <v>shweta.r.gupta79@gmail.com : संतानोत्पादन को निरुत्साहित किया जाए : Rare Book</v>
      </c>
      <c r="CI88" s="5">
        <f ca="1">IFERROR(__xludf.DUMMYFUNCTION("""COMPUTED_VALUE"""),45504.3303796064)</f>
        <v>45504.330379606399</v>
      </c>
    </row>
    <row r="89" spans="1:87" x14ac:dyDescent="0.25">
      <c r="A89" s="5">
        <f ca="1">IFERROR(__xludf.DUMMYFUNCTION("""COMPUTED_VALUE"""),45503.9984878124)</f>
        <v>45503.998487812401</v>
      </c>
      <c r="B89" s="1" t="str">
        <f ca="1">IFERROR(__xludf.DUMMYFUNCTION("""COMPUTED_VALUE"""),"dave.chhaya@gmail.com")</f>
        <v>dave.chhaya@gmail.com</v>
      </c>
      <c r="C89" s="1" t="str">
        <f ca="1">IFERROR(__xludf.DUMMYFUNCTION("""COMPUTED_VALUE"""),"Chhaya Deepak Dave ")</f>
        <v xml:space="preserve">Chhaya Deepak Dave </v>
      </c>
      <c r="D89" s="1">
        <f ca="1">IFERROR(__xludf.DUMMYFUNCTION("""COMPUTED_VALUE"""),9879596556)</f>
        <v>9879596556</v>
      </c>
      <c r="E89" s="1" t="str">
        <f ca="1">IFERROR(__xludf.DUMMYFUNCTION("""COMPUTED_VALUE"""),"Yes")</f>
        <v>Yes</v>
      </c>
      <c r="F89" s="1" t="str">
        <f ca="1">IFERROR(__xludf.DUMMYFUNCTION("""COMPUTED_VALUE"""),"गुजराती")</f>
        <v>गुजराती</v>
      </c>
      <c r="G89" s="1" t="str">
        <f ca="1">IFERROR(__xludf.DUMMYFUNCTION("""COMPUTED_VALUE"""),"संस्कार, कर्मकाण्ड, पाठ, पूजा, गीत-संगीत")</f>
        <v>संस्कार, कर्मकाण्ड, पाठ, पूजा, गीत-संगीत</v>
      </c>
      <c r="H89" s="1"/>
      <c r="I89" s="1"/>
      <c r="J89" s="1"/>
      <c r="K89" s="1"/>
      <c r="L89" s="1"/>
      <c r="M89" s="1"/>
      <c r="N89" s="1"/>
      <c r="O89" s="1"/>
      <c r="P89" s="1"/>
      <c r="Q89" s="1"/>
      <c r="R89" s="1"/>
      <c r="S89" s="1"/>
      <c r="T89" s="1"/>
      <c r="U89" s="1"/>
      <c r="V89" s="1"/>
      <c r="W89" s="1" t="str">
        <f ca="1">IFERROR(__xludf.DUMMYFUNCTION("""COMPUTED_VALUE"""),"पर्व-त्यौहार, कर्मकाण्ड")</f>
        <v>पर्व-त्यौहार, कर्मकाण्ड</v>
      </c>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t="str">
        <f ca="1">IFERROR(__xludf.DUMMYFUNCTION("""COMPUTED_VALUE"""),"युग परिवर्तन में समर्थ दीपयज्ञ")</f>
        <v>युग परिवर्तन में समर्थ दीपयज्ञ</v>
      </c>
      <c r="BH89" s="1"/>
      <c r="BI89" s="1"/>
      <c r="BJ89" s="1"/>
      <c r="BK89" s="1"/>
      <c r="BL89" s="1"/>
      <c r="BM89" s="1"/>
      <c r="BN89" s="1"/>
      <c r="BO89" s="1"/>
      <c r="BP89" s="1"/>
      <c r="BQ89" s="1"/>
      <c r="BR89" s="1"/>
      <c r="BS89" s="1"/>
      <c r="BT89" s="1"/>
      <c r="BU89" s="1"/>
      <c r="BV89" s="1"/>
      <c r="BW89" s="1">
        <f ca="1">IFERROR(__xludf.DUMMYFUNCTION("""COMPUTED_VALUE"""),46)</f>
        <v>46</v>
      </c>
      <c r="BX89" s="1">
        <f ca="1">IFERROR(__xludf.DUMMYFUNCTION("""COMPUTED_VALUE"""),46)</f>
        <v>46</v>
      </c>
      <c r="BY89" s="1">
        <f ca="1">IFERROR(__xludf.DUMMYFUNCTION("""COMPUTED_VALUE"""),46)</f>
        <v>46</v>
      </c>
      <c r="BZ89" s="1">
        <f ca="1">IFERROR(__xludf.DUMMYFUNCTION("""COMPUTED_VALUE"""),16)</f>
        <v>16</v>
      </c>
      <c r="CA89" s="1"/>
      <c r="CB89" s="1"/>
      <c r="CC89" s="1" t="str">
        <f ca="1">IFERROR(__xludf.DUMMYFUNCTION("""COMPUTED_VALUE"""),"મનુષ્ય દેવતા બને : G_JS_89")</f>
        <v>મનુષ્ય દેવતા બને : G_JS_89</v>
      </c>
      <c r="CD89" s="3" t="str">
        <f ca="1">IFERROR(__xludf.DUMMYFUNCTION("""COMPUTED_VALUE"""),"https://vicharkrantibooks.org/productdetail?product_id=3814")</f>
        <v>https://vicharkrantibooks.org/productdetail?product_id=3814</v>
      </c>
      <c r="CE89" s="1" t="str">
        <f ca="1">IFERROR(__xludf.DUMMYFUNCTION("""COMPUTED_VALUE"""),"Audiobook : મનુષ્ય દેવતા બને : G_JS_89 : dave.chhaya@gmail.com : Recorded")</f>
        <v>Audiobook : મનુષ્ય દેવતા બને : G_JS_89 : dave.chhaya@gmail.com : Recorded</v>
      </c>
      <c r="CF89" s="1" t="str">
        <f ca="1">IFERROR(__xludf.DUMMYFUNCTION("""COMPUTED_VALUE"""),"Audiobook : મનુષ્ય દેવતા બને : G_JS_89 : dave.chhaya@gmail.com : Recorded")</f>
        <v>Audiobook : મનુષ્ય દેવતા બને : G_JS_89 : dave.chhaya@gmail.com : Recorded</v>
      </c>
      <c r="CG89" s="1" t="str">
        <f ca="1">IFERROR(__xludf.DUMMYFUNCTION("""COMPUTED_VALUE"""),"Adarniya Chhaya Deepak Dave  ji મનુષ્ય દેવતા બને : G_JS_89 : Allocated on 30-Jul-24 Contact Number  9879596556")</f>
        <v>Adarniya Chhaya Deepak Dave  ji મનુષ્ય દેવતા બને : G_JS_89 : Allocated on 30-Jul-24 Contact Number  9879596556</v>
      </c>
      <c r="CH89" s="1" t="str">
        <f ca="1">IFERROR(__xludf.DUMMYFUNCTION("""COMPUTED_VALUE"""),"dave.chhaya@gmail.com : મનુષ્ય દેવતા બને : G_JS_89")</f>
        <v>dave.chhaya@gmail.com : મનુષ્ય દેવતા બને : G_JS_89</v>
      </c>
      <c r="CI89" s="5">
        <f ca="1">IFERROR(__xludf.DUMMYFUNCTION("""COMPUTED_VALUE"""),45503.9984878124)</f>
        <v>45503.998487812401</v>
      </c>
    </row>
    <row r="90" spans="1:87" x14ac:dyDescent="0.25">
      <c r="A90" s="5">
        <f ca="1">IFERROR(__xludf.DUMMYFUNCTION("""COMPUTED_VALUE"""),45503.772638831)</f>
        <v>45503.772638830997</v>
      </c>
      <c r="B90" s="1" t="str">
        <f ca="1">IFERROR(__xludf.DUMMYFUNCTION("""COMPUTED_VALUE"""),"druma4107@gmail.com")</f>
        <v>druma4107@gmail.com</v>
      </c>
      <c r="C90" s="1" t="str">
        <f ca="1">IFERROR(__xludf.DUMMYFUNCTION("""COMPUTED_VALUE"""),"Dr Uma Agrawal ")</f>
        <v xml:space="preserve">Dr Uma Agrawal </v>
      </c>
      <c r="D90" s="1">
        <f ca="1">IFERROR(__xludf.DUMMYFUNCTION("""COMPUTED_VALUE"""),9410861182)</f>
        <v>9410861182</v>
      </c>
      <c r="E90" s="1" t="str">
        <f ca="1">IFERROR(__xludf.DUMMYFUNCTION("""COMPUTED_VALUE"""),"Yes")</f>
        <v>Yes</v>
      </c>
      <c r="F90" s="1" t="str">
        <f ca="1">IFERROR(__xludf.DUMMYFUNCTION("""COMPUTED_VALUE"""),"English")</f>
        <v>English</v>
      </c>
      <c r="G90" s="1" t="str">
        <f ca="1">IFERROR(__xludf.DUMMYFUNCTION("""COMPUTED_VALUE"""),"युग द्रष्टा पं. श्रीराम शर्मा आचार्यजी")</f>
        <v>युग द्रष्टा पं. श्रीराम शर्मा आचार्यजी</v>
      </c>
      <c r="H90" s="1"/>
      <c r="I90" s="1"/>
      <c r="J90" s="1"/>
      <c r="K90" s="1"/>
      <c r="L90" s="1"/>
      <c r="M90" s="1"/>
      <c r="N90" s="1"/>
      <c r="O90" s="1"/>
      <c r="P90" s="1" t="str">
        <f ca="1">IFERROR(__xludf.DUMMYFUNCTION("""COMPUTED_VALUE"""),"युगॠषी की अमृतवाणी")</f>
        <v>युगॠषी की अमृतवाणी</v>
      </c>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f ca="1">IFERROR(__xludf.DUMMYFUNCTION("""COMPUTED_VALUE"""),104)</f>
        <v>104</v>
      </c>
      <c r="BX90" s="1">
        <f ca="1">IFERROR(__xludf.DUMMYFUNCTION("""COMPUTED_VALUE"""),43)</f>
        <v>43</v>
      </c>
      <c r="BY90" s="1">
        <f ca="1">IFERROR(__xludf.DUMMYFUNCTION("""COMPUTED_VALUE"""),101)</f>
        <v>101</v>
      </c>
      <c r="BZ90" s="1">
        <f ca="1">IFERROR(__xludf.DUMMYFUNCTION("""COMPUTED_VALUE"""),43)</f>
        <v>43</v>
      </c>
      <c r="CA90" s="1"/>
      <c r="CB90" s="1"/>
      <c r="CC90" s="1" t="str">
        <f ca="1">IFERROR(__xludf.DUMMYFUNCTION("""COMPUTED_VALUE"""),"Good Thoughts : EPB_137")</f>
        <v>Good Thoughts : EPB_137</v>
      </c>
      <c r="CD90" s="3" t="str">
        <f ca="1">IFERROR(__xludf.DUMMYFUNCTION("""COMPUTED_VALUE"""),"https://vicharkrantibooks.org/productdetail?book_name=ENGB0201_GOOD_THOUGHTS_1st2013&amp;product_id=3522")</f>
        <v>https://vicharkrantibooks.org/productdetail?book_name=ENGB0201_GOOD_THOUGHTS_1st2013&amp;product_id=3522</v>
      </c>
      <c r="CE90" s="1" t="str">
        <f ca="1">IFERROR(__xludf.DUMMYFUNCTION("""COMPUTED_VALUE"""),"Audiobook : Good Thoughts : EPB_137 : druma4107@gmail.com : Recorded")</f>
        <v>Audiobook : Good Thoughts : EPB_137 : druma4107@gmail.com : Recorded</v>
      </c>
      <c r="CF90" s="1" t="str">
        <f ca="1">IFERROR(__xludf.DUMMYFUNCTION("""COMPUTED_VALUE"""),"Audiobook : Good Thoughts : EPB_137 : druma4107@gmail.com : Recorded")</f>
        <v>Audiobook : Good Thoughts : EPB_137 : druma4107@gmail.com : Recorded</v>
      </c>
      <c r="CG90" s="1" t="str">
        <f ca="1">IFERROR(__xludf.DUMMYFUNCTION("""COMPUTED_VALUE"""),"Adarniya Dr Uma Agrawal  ji Good Thoughts : EPB_137 : Allocated on 30-Jul-24 Contact Number  9410861182")</f>
        <v>Adarniya Dr Uma Agrawal  ji Good Thoughts : EPB_137 : Allocated on 30-Jul-24 Contact Number  9410861182</v>
      </c>
      <c r="CH90" s="1" t="str">
        <f ca="1">IFERROR(__xludf.DUMMYFUNCTION("""COMPUTED_VALUE"""),"druma4107@gmail.com : Good Thoughts : EPB_137")</f>
        <v>druma4107@gmail.com : Good Thoughts : EPB_137</v>
      </c>
      <c r="CI90" s="5">
        <f ca="1">IFERROR(__xludf.DUMMYFUNCTION("""COMPUTED_VALUE"""),45503.772638831)</f>
        <v>45503.772638830997</v>
      </c>
    </row>
    <row r="91" spans="1:87" x14ac:dyDescent="0.25">
      <c r="A91" s="5">
        <f ca="1">IFERROR(__xludf.DUMMYFUNCTION("""COMPUTED_VALUE"""),45502.7964024305)</f>
        <v>45502.796402430497</v>
      </c>
      <c r="B91" s="1" t="str">
        <f ca="1">IFERROR(__xludf.DUMMYFUNCTION("""COMPUTED_VALUE"""),"jamunashukla17@gmail.com")</f>
        <v>jamunashukla17@gmail.com</v>
      </c>
      <c r="C91" s="1" t="str">
        <f ca="1">IFERROR(__xludf.DUMMYFUNCTION("""COMPUTED_VALUE"""),"Jamuna Shukla ")</f>
        <v xml:space="preserve">Jamuna Shukla </v>
      </c>
      <c r="D91" s="1">
        <f ca="1">IFERROR(__xludf.DUMMYFUNCTION("""COMPUTED_VALUE"""),8390353167)</f>
        <v>8390353167</v>
      </c>
      <c r="E91" s="1" t="str">
        <f ca="1">IFERROR(__xludf.DUMMYFUNCTION("""COMPUTED_VALUE"""),"Yes")</f>
        <v>Yes</v>
      </c>
      <c r="F91" s="1" t="str">
        <f ca="1">IFERROR(__xludf.DUMMYFUNCTION("""COMPUTED_VALUE"""),"हिन्दी")</f>
        <v>हिन्दी</v>
      </c>
      <c r="G91" s="1" t="str">
        <f ca="1">IFERROR(__xludf.DUMMYFUNCTION("""COMPUTED_VALUE"""),"युग परिवर्तन-विचार क्रांति")</f>
        <v>युग परिवर्तन-विचार क्रांति</v>
      </c>
      <c r="H91" s="1"/>
      <c r="I91" s="1"/>
      <c r="J91" s="1"/>
      <c r="K91" s="1"/>
      <c r="L91" s="1"/>
      <c r="M91" s="1"/>
      <c r="N91" s="1"/>
      <c r="O91" s="1"/>
      <c r="P91" s="1"/>
      <c r="Q91" s="1" t="str">
        <f ca="1">IFERROR(__xludf.DUMMYFUNCTION("""COMPUTED_VALUE"""),"युग निर्माण योजना एवं युग परिवर्तन")</f>
        <v>युग निर्माण योजना एवं युग परिवर्तन</v>
      </c>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f ca="1">IFERROR(__xludf.DUMMYFUNCTION("""COMPUTED_VALUE"""),53)</f>
        <v>53</v>
      </c>
      <c r="BX91" s="1">
        <f ca="1">IFERROR(__xludf.DUMMYFUNCTION("""COMPUTED_VALUE"""),3)</f>
        <v>3</v>
      </c>
      <c r="BY91" s="1">
        <f ca="1">IFERROR(__xludf.DUMMYFUNCTION("""COMPUTED_VALUE"""),39)</f>
        <v>39</v>
      </c>
      <c r="BZ91" s="1">
        <f ca="1">IFERROR(__xludf.DUMMYFUNCTION("""COMPUTED_VALUE"""),25)</f>
        <v>25</v>
      </c>
      <c r="CA91" s="1"/>
      <c r="CB91" s="1"/>
      <c r="CC91" s="1" t="str">
        <f ca="1">IFERROR(__xludf.DUMMYFUNCTION("""COMPUTED_VALUE"""),"धर्म दर्शन के चार मूलभूत सिद्धान्त : Rare Book")</f>
        <v>धर्म दर्शन के चार मूलभूत सिद्धान्त : Rare Book</v>
      </c>
      <c r="CD91" s="3" t="str">
        <f ca="1">IFERROR(__xludf.DUMMYFUNCTION("""COMPUTED_VALUE"""),"https://vicharkrantibooks.org/productdetail?book_name=HINP0232_DHARM_DARSHAN_KE_CHAR_MULABHUT_SIDDHANT_xx1981&amp;product_id=797")</f>
        <v>https://vicharkrantibooks.org/productdetail?book_name=HINP0232_DHARM_DARSHAN_KE_CHAR_MULABHUT_SIDDHANT_xx1981&amp;product_id=797</v>
      </c>
      <c r="CE91" s="1" t="str">
        <f ca="1">IFERROR(__xludf.DUMMYFUNCTION("""COMPUTED_VALUE"""),"Audiobook : धर्म दर्शन के चार मूलभूत सिद्धान्त : Rare Book : jamunashukla17@gmail.com : Recorded")</f>
        <v>Audiobook : धर्म दर्शन के चार मूलभूत सिद्धान्त : Rare Book : jamunashukla17@gmail.com : Recorded</v>
      </c>
      <c r="CF91" s="1" t="str">
        <f ca="1">IFERROR(__xludf.DUMMYFUNCTION("""COMPUTED_VALUE"""),"Audiobook : धर्म दर्शन के चार मूलभूत सिद्धान्त : Rare Book : jamunashukla17@gmail.com : Recorded")</f>
        <v>Audiobook : धर्म दर्शन के चार मूलभूत सिद्धान्त : Rare Book : jamunashukla17@gmail.com : Recorded</v>
      </c>
      <c r="CG91" s="1" t="str">
        <f ca="1">IFERROR(__xludf.DUMMYFUNCTION("""COMPUTED_VALUE"""),"Adarniya Jamuna Shukla  ji धर्म दर्शन के चार मूलभूत सिद्धान्त : Rare Book : Allocated on 29-Jul-24 Contact Number  8390353167")</f>
        <v>Adarniya Jamuna Shukla  ji धर्म दर्शन के चार मूलभूत सिद्धान्त : Rare Book : Allocated on 29-Jul-24 Contact Number  8390353167</v>
      </c>
      <c r="CH91" s="1"/>
      <c r="CI91" s="1"/>
    </row>
    <row r="92" spans="1:87" x14ac:dyDescent="0.25">
      <c r="A92" s="5">
        <f ca="1">IFERROR(__xludf.DUMMYFUNCTION("""COMPUTED_VALUE"""),45502.4694571759)</f>
        <v>45502.469457175903</v>
      </c>
      <c r="B92" s="1" t="str">
        <f ca="1">IFERROR(__xludf.DUMMYFUNCTION("""COMPUTED_VALUE"""),"anu161965@gmail.com")</f>
        <v>anu161965@gmail.com</v>
      </c>
      <c r="C92" s="1" t="str">
        <f ca="1">IFERROR(__xludf.DUMMYFUNCTION("""COMPUTED_VALUE"""),"Anureeta awadh")</f>
        <v>Anureeta awadh</v>
      </c>
      <c r="D92" s="1">
        <f ca="1">IFERROR(__xludf.DUMMYFUNCTION("""COMPUTED_VALUE"""),8860314422)</f>
        <v>8860314422</v>
      </c>
      <c r="E92" s="1" t="str">
        <f ca="1">IFERROR(__xludf.DUMMYFUNCTION("""COMPUTED_VALUE"""),"Yes")</f>
        <v>Yes</v>
      </c>
      <c r="F92" s="1" t="str">
        <f ca="1">IFERROR(__xludf.DUMMYFUNCTION("""COMPUTED_VALUE"""),"हिन्दी")</f>
        <v>हिन्दी</v>
      </c>
      <c r="G92" s="1" t="str">
        <f ca="1">IFERROR(__xludf.DUMMYFUNCTION("""COMPUTED_VALUE"""),"वैज्ञानिक अध्यात्मवाद का प्रतिपादन")</f>
        <v>वैज्ञानिक अध्यात्मवाद का प्रतिपादन</v>
      </c>
      <c r="H92" s="1"/>
      <c r="I92" s="1"/>
      <c r="J92" s="1"/>
      <c r="K92" s="1"/>
      <c r="L92" s="1"/>
      <c r="M92" s="1"/>
      <c r="N92" s="1"/>
      <c r="O92" s="1"/>
      <c r="P92" s="1"/>
      <c r="Q92" s="1"/>
      <c r="R92" s="1"/>
      <c r="S92" s="1" t="str">
        <f ca="1">IFERROR(__xludf.DUMMYFUNCTION("""COMPUTED_VALUE"""),"वैज्ञानिक अध्यात्मवाद का प्रतिपादन")</f>
        <v>वैज्ञानिक अध्यात्मवाद का प्रतिपादन</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f ca="1">IFERROR(__xludf.DUMMYFUNCTION("""COMPUTED_VALUE"""),24)</f>
        <v>24</v>
      </c>
      <c r="BX92" s="1">
        <f ca="1">IFERROR(__xludf.DUMMYFUNCTION("""COMPUTED_VALUE"""),18)</f>
        <v>18</v>
      </c>
      <c r="BY92" s="1">
        <f ca="1">IFERROR(__xludf.DUMMYFUNCTION("""COMPUTED_VALUE"""),7)</f>
        <v>7</v>
      </c>
      <c r="BZ92" s="1">
        <f ca="1">IFERROR(__xludf.DUMMYFUNCTION("""COMPUTED_VALUE"""),5)</f>
        <v>5</v>
      </c>
      <c r="CA92" s="1"/>
      <c r="CB92" s="1"/>
      <c r="CC92" s="1" t="str">
        <f ca="1">IFERROR(__xludf.DUMMYFUNCTION("""COMPUTED_VALUE"""),"युग परिवर्तन का यही उपयुक्त समय : Rare Book")</f>
        <v>युग परिवर्तन का यही उपयुक्त समय : Rare Book</v>
      </c>
      <c r="CD92" s="3" t="str">
        <f ca="1">IFERROR(__xludf.DUMMYFUNCTION("""COMPUTED_VALUE"""),"https://vicharkrantibooks.org/productdetail?book_name=HINP1053_YUG_PARIVARTAN_KA_YAHI_UPAYUKT_SAMAY_xx1981&amp;product_id=1618")</f>
        <v>https://vicharkrantibooks.org/productdetail?book_name=HINP1053_YUG_PARIVARTAN_KA_YAHI_UPAYUKT_SAMAY_xx1981&amp;product_id=1618</v>
      </c>
      <c r="CE92" s="1" t="str">
        <f ca="1">IFERROR(__xludf.DUMMYFUNCTION("""COMPUTED_VALUE"""),"Audiobook : युग परिवर्तन का यही उपयुक्त समय : Rare Book : anu161965@gmail.com : Recorded")</f>
        <v>Audiobook : युग परिवर्तन का यही उपयुक्त समय : Rare Book : anu161965@gmail.com : Recorded</v>
      </c>
      <c r="CF92" s="1" t="str">
        <f ca="1">IFERROR(__xludf.DUMMYFUNCTION("""COMPUTED_VALUE"""),"Audiobook : युग परिवर्तन का यही उपयुक्त समय : Rare Book : anu161965@gmail.com : Recorded")</f>
        <v>Audiobook : युग परिवर्तन का यही उपयुक्त समय : Rare Book : anu161965@gmail.com : Recorded</v>
      </c>
      <c r="CG92" s="1" t="str">
        <f ca="1">IFERROR(__xludf.DUMMYFUNCTION("""COMPUTED_VALUE"""),"Adarniya Anureeta awadh ji युग परिवर्तन का यही उपयुक्त समय : Rare Book : Allocated on 29-Jul-24 Contact Number  8860314422")</f>
        <v>Adarniya Anureeta awadh ji युग परिवर्तन का यही उपयुक्त समय : Rare Book : Allocated on 29-Jul-24 Contact Number  8860314422</v>
      </c>
      <c r="CH92" s="1"/>
      <c r="CI92" s="1"/>
    </row>
    <row r="93" spans="1:87" x14ac:dyDescent="0.25">
      <c r="A93" s="5">
        <f ca="1">IFERROR(__xludf.DUMMYFUNCTION("""COMPUTED_VALUE"""),45501.7076076736)</f>
        <v>45501.707607673598</v>
      </c>
      <c r="B93" s="1" t="str">
        <f ca="1">IFERROR(__xludf.DUMMYFUNCTION("""COMPUTED_VALUE"""),"indusaxena036@gmail.com")</f>
        <v>indusaxena036@gmail.com</v>
      </c>
      <c r="C93" s="1" t="str">
        <f ca="1">IFERROR(__xludf.DUMMYFUNCTION("""COMPUTED_VALUE"""),"Dr.indu saxena")</f>
        <v>Dr.indu saxena</v>
      </c>
      <c r="D93" s="1">
        <f ca="1">IFERROR(__xludf.DUMMYFUNCTION("""COMPUTED_VALUE"""),7692077781)</f>
        <v>7692077781</v>
      </c>
      <c r="E93" s="1" t="str">
        <f ca="1">IFERROR(__xludf.DUMMYFUNCTION("""COMPUTED_VALUE"""),"No")</f>
        <v>No</v>
      </c>
      <c r="F93" s="1" t="str">
        <f ca="1">IFERROR(__xludf.DUMMYFUNCTION("""COMPUTED_VALUE"""),"हिन्दी")</f>
        <v>हिन्दी</v>
      </c>
      <c r="G93" s="1" t="str">
        <f ca="1">IFERROR(__xludf.DUMMYFUNCTION("""COMPUTED_VALUE"""),"व्यक्ति निर्माण, युवा/विद्यार्थी एवं शिक्षक")</f>
        <v>व्यक्ति निर्माण, युवा/विद्यार्थी एवं शिक्षक</v>
      </c>
      <c r="H93" s="1"/>
      <c r="I93" s="1"/>
      <c r="J93" s="1"/>
      <c r="K93" s="1"/>
      <c r="L93" s="1"/>
      <c r="M93" s="1"/>
      <c r="N93" s="1"/>
      <c r="O93" s="1"/>
      <c r="P93" s="1"/>
      <c r="Q93" s="1"/>
      <c r="R93" s="1"/>
      <c r="S93" s="1"/>
      <c r="T93" s="1" t="str">
        <f ca="1">IFERROR(__xludf.DUMMYFUNCTION("""COMPUTED_VALUE"""),"व्यक्तित्व परिष्कार")</f>
        <v>व्यक्तित्व परिष्कार</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f ca="1">IFERROR(__xludf.DUMMYFUNCTION("""COMPUTED_VALUE"""),1)</f>
        <v>1</v>
      </c>
      <c r="BX93" s="1">
        <f ca="1">IFERROR(__xludf.DUMMYFUNCTION("""COMPUTED_VALUE"""),0)</f>
        <v>0</v>
      </c>
      <c r="BY93" s="1">
        <f ca="1">IFERROR(__xludf.DUMMYFUNCTION("""COMPUTED_VALUE"""),1)</f>
        <v>1</v>
      </c>
      <c r="BZ93" s="1">
        <f ca="1">IFERROR(__xludf.DUMMYFUNCTION("""COMPUTED_VALUE"""),0)</f>
        <v>0</v>
      </c>
      <c r="CA93" s="1"/>
      <c r="CB93" s="1"/>
      <c r="CC93" s="1" t="str">
        <f ca="1">IFERROR(__xludf.DUMMYFUNCTION("""COMPUTED_VALUE"""),"औचित्य के अनुरुप दृष्टिकोण अपनाएँ : Rare Book")</f>
        <v>औचित्य के अनुरुप दृष्टिकोण अपनाएँ : Rare Book</v>
      </c>
      <c r="CD93" s="3" t="str">
        <f ca="1">IFERROR(__xludf.DUMMYFUNCTION("""COMPUTED_VALUE"""),"https://vicharkrantibooks.org/productdetail?product_id=276")</f>
        <v>https://vicharkrantibooks.org/productdetail?product_id=276</v>
      </c>
      <c r="CE93" s="1" t="str">
        <f ca="1">IFERROR(__xludf.DUMMYFUNCTION("""COMPUTED_VALUE"""),"Audiobook : औचित्य के अनुरुप दृष्टिकोण अपनाएँ : Rare Book : indusaxena036@gmail.com : Recorded")</f>
        <v>Audiobook : औचित्य के अनुरुप दृष्टिकोण अपनाएँ : Rare Book : indusaxena036@gmail.com : Recorded</v>
      </c>
      <c r="CF93" s="1" t="str">
        <f ca="1">IFERROR(__xludf.DUMMYFUNCTION("""COMPUTED_VALUE"""),"#N/A")</f>
        <v>#N/A</v>
      </c>
      <c r="CG93" s="1" t="str">
        <f ca="1">IFERROR(__xludf.DUMMYFUNCTION("""COMPUTED_VALUE"""),"Adarniya Dr.indu saxena ji औचित्य के अनुरुप दृष्टिकोण अपनाएँ : Rare Book : Allocated on 28-Jul-24 Contact Number  7692077781")</f>
        <v>Adarniya Dr.indu saxena ji औचित्य के अनुरुप दृष्टिकोण अपनाएँ : Rare Book : Allocated on 28-Jul-24 Contact Number  7692077781</v>
      </c>
      <c r="CH93" s="1"/>
      <c r="CI93" s="1"/>
    </row>
    <row r="94" spans="1:87" x14ac:dyDescent="0.25">
      <c r="A94" s="5">
        <f ca="1">IFERROR(__xludf.DUMMYFUNCTION("""COMPUTED_VALUE"""),45501.6478050578)</f>
        <v>45501.647805057801</v>
      </c>
      <c r="B94" s="1" t="str">
        <f ca="1">IFERROR(__xludf.DUMMYFUNCTION("""COMPUTED_VALUE"""),"druma4107@gmail.com")</f>
        <v>druma4107@gmail.com</v>
      </c>
      <c r="C94" s="1" t="str">
        <f ca="1">IFERROR(__xludf.DUMMYFUNCTION("""COMPUTED_VALUE"""),"Dr Uma Agrawal ")</f>
        <v xml:space="preserve">Dr Uma Agrawal </v>
      </c>
      <c r="D94" s="1">
        <f ca="1">IFERROR(__xludf.DUMMYFUNCTION("""COMPUTED_VALUE"""),9410861182)</f>
        <v>9410861182</v>
      </c>
      <c r="E94" s="1" t="str">
        <f ca="1">IFERROR(__xludf.DUMMYFUNCTION("""COMPUTED_VALUE"""),"Yes")</f>
        <v>Yes</v>
      </c>
      <c r="F94" s="1" t="str">
        <f ca="1">IFERROR(__xludf.DUMMYFUNCTION("""COMPUTED_VALUE"""),"हिन्दी")</f>
        <v>हिन्दी</v>
      </c>
      <c r="G94" s="1" t="str">
        <f ca="1">IFERROR(__xludf.DUMMYFUNCTION("""COMPUTED_VALUE"""),"जीवन प्रबंध")</f>
        <v>जीवन प्रबंध</v>
      </c>
      <c r="H94" s="1"/>
      <c r="I94" s="1"/>
      <c r="J94" s="1"/>
      <c r="K94" s="1"/>
      <c r="L94" s="1" t="str">
        <f ca="1">IFERROR(__xludf.DUMMYFUNCTION("""COMPUTED_VALUE"""),"मानव जीवन की गरिमा")</f>
        <v>मानव जीवन की गरिमा</v>
      </c>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f ca="1">IFERROR(__xludf.DUMMYFUNCTION("""COMPUTED_VALUE"""),104)</f>
        <v>104</v>
      </c>
      <c r="BX94" s="1">
        <f ca="1">IFERROR(__xludf.DUMMYFUNCTION("""COMPUTED_VALUE"""),106)</f>
        <v>106</v>
      </c>
      <c r="BY94" s="1">
        <f ca="1">IFERROR(__xludf.DUMMYFUNCTION("""COMPUTED_VALUE"""),9)</f>
        <v>9</v>
      </c>
      <c r="BZ94" s="1">
        <f ca="1">IFERROR(__xludf.DUMMYFUNCTION("""COMPUTED_VALUE"""),43)</f>
        <v>43</v>
      </c>
      <c r="CA94" s="1"/>
      <c r="CB94" s="1"/>
      <c r="CC94" s="1" t="str">
        <f ca="1">IFERROR(__xludf.DUMMYFUNCTION("""COMPUTED_VALUE"""),"मानस की ज्योती : Rare Book")</f>
        <v>मानस की ज्योती : Rare Book</v>
      </c>
      <c r="CD94" s="3" t="str">
        <f ca="1">IFERROR(__xludf.DUMMYFUNCTION("""COMPUTED_VALUE"""),"https://vicharkrantibooks.org/productdetail?book_name=HINP0492_MANAS_KI_JYOTI_xxyyyy&amp;product_id=1057")</f>
        <v>https://vicharkrantibooks.org/productdetail?book_name=HINP0492_MANAS_KI_JYOTI_xxyyyy&amp;product_id=1057</v>
      </c>
      <c r="CE94" s="1" t="str">
        <f ca="1">IFERROR(__xludf.DUMMYFUNCTION("""COMPUTED_VALUE"""),"Audiobook : मानस की ज्योती : Rare Book : druma4107@gmail.com : Recorded")</f>
        <v>Audiobook : मानस की ज्योती : Rare Book : druma4107@gmail.com : Recorded</v>
      </c>
      <c r="CF94" s="1" t="str">
        <f ca="1">IFERROR(__xludf.DUMMYFUNCTION("""COMPUTED_VALUE"""),"Audiobook : मानस की ज्योती : Rare Book : druma4107@gmail.com : Recorded")</f>
        <v>Audiobook : मानस की ज्योती : Rare Book : druma4107@gmail.com : Recorded</v>
      </c>
      <c r="CG94" s="1" t="str">
        <f ca="1">IFERROR(__xludf.DUMMYFUNCTION("""COMPUTED_VALUE"""),"Adarniya Dr Uma Agrawal  ji मानस की ज्योती : Rare Book : Allocated on 28-Jul-24 Contact Number  9410861182")</f>
        <v>Adarniya Dr Uma Agrawal  ji मानस की ज्योती : Rare Book : Allocated on 28-Jul-24 Contact Number  9410861182</v>
      </c>
      <c r="CH94" s="1" t="str">
        <f ca="1">IFERROR(__xludf.DUMMYFUNCTION("""COMPUTED_VALUE"""),"druma4107@gmail.com : मानस की ज्योती : Rare Book")</f>
        <v>druma4107@gmail.com : मानस की ज्योती : Rare Book</v>
      </c>
      <c r="CI94" s="5">
        <f ca="1">IFERROR(__xludf.DUMMYFUNCTION("""COMPUTED_VALUE"""),45501.6478050578)</f>
        <v>45501.647805057801</v>
      </c>
    </row>
    <row r="95" spans="1:87" x14ac:dyDescent="0.25">
      <c r="A95" s="5">
        <f ca="1">IFERROR(__xludf.DUMMYFUNCTION("""COMPUTED_VALUE"""),45501.6210237847)</f>
        <v>45501.621023784697</v>
      </c>
      <c r="B95" s="1" t="str">
        <f ca="1">IFERROR(__xludf.DUMMYFUNCTION("""COMPUTED_VALUE"""),"rekhabhagat2511@gmail.com")</f>
        <v>rekhabhagat2511@gmail.com</v>
      </c>
      <c r="C95" s="1" t="str">
        <f ca="1">IFERROR(__xludf.DUMMYFUNCTION("""COMPUTED_VALUE"""),"Rekha Bhagat ")</f>
        <v xml:space="preserve">Rekha Bhagat </v>
      </c>
      <c r="D95" s="1">
        <f ca="1">IFERROR(__xludf.DUMMYFUNCTION("""COMPUTED_VALUE"""),9424811235)</f>
        <v>9424811235</v>
      </c>
      <c r="E95" s="1" t="str">
        <f ca="1">IFERROR(__xludf.DUMMYFUNCTION("""COMPUTED_VALUE"""),"Yes")</f>
        <v>Yes</v>
      </c>
      <c r="F95" s="1" t="str">
        <f ca="1">IFERROR(__xludf.DUMMYFUNCTION("""COMPUTED_VALUE"""),"हिन्दी")</f>
        <v>हिन्दी</v>
      </c>
      <c r="G95" s="1" t="str">
        <f ca="1">IFERROR(__xludf.DUMMYFUNCTION("""COMPUTED_VALUE"""),"अध्यात्म, धर्म एवं दर्शन")</f>
        <v>अध्यात्म, धर्म एवं दर्शन</v>
      </c>
      <c r="H95" s="1" t="str">
        <f ca="1">IFERROR(__xludf.DUMMYFUNCTION("""COMPUTED_VALUE"""),"आत्मज्ञान एवं आत्मनिर्माण")</f>
        <v>आत्मज्ञान एवं आत्मनिर्माण</v>
      </c>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f ca="1">IFERROR(__xludf.DUMMYFUNCTION("""COMPUTED_VALUE"""),19)</f>
        <v>19</v>
      </c>
      <c r="BX95" s="1">
        <f ca="1">IFERROR(__xludf.DUMMYFUNCTION("""COMPUTED_VALUE"""),11)</f>
        <v>11</v>
      </c>
      <c r="BY95" s="1">
        <f ca="1">IFERROR(__xludf.DUMMYFUNCTION("""COMPUTED_VALUE"""),8)</f>
        <v>8</v>
      </c>
      <c r="BZ95" s="1">
        <f ca="1">IFERROR(__xludf.DUMMYFUNCTION("""COMPUTED_VALUE"""),4)</f>
        <v>4</v>
      </c>
      <c r="CA95" s="1"/>
      <c r="CB95" s="1"/>
      <c r="CC95" s="1" t="str">
        <f ca="1">IFERROR(__xludf.DUMMYFUNCTION("""COMPUTED_VALUE"""),"कर्मफल का भोग अनिवार्य : Rare Book")</f>
        <v>कर्मफल का भोग अनिवार्य : Rare Book</v>
      </c>
      <c r="CD95" s="3" t="str">
        <f ca="1">IFERROR(__xludf.DUMMYFUNCTION("""COMPUTED_VALUE"""),"https://vicharkrantibooks.org/productdetail?book_name=HINP0426_KARMAPHAL_KA_BHOG_ANIVARY_xxyyyy&amp;product_id=991")</f>
        <v>https://vicharkrantibooks.org/productdetail?book_name=HINP0426_KARMAPHAL_KA_BHOG_ANIVARY_xxyyyy&amp;product_id=991</v>
      </c>
      <c r="CE95" s="1" t="str">
        <f ca="1">IFERROR(__xludf.DUMMYFUNCTION("""COMPUTED_VALUE"""),"Audiobook : कर्मफल का भोग अनिवार्य : Rare Book : rekhabhagat2511@gmail.com : Recorded")</f>
        <v>Audiobook : कर्मफल का भोग अनिवार्य : Rare Book : rekhabhagat2511@gmail.com : Recorded</v>
      </c>
      <c r="CF95" s="1" t="str">
        <f ca="1">IFERROR(__xludf.DUMMYFUNCTION("""COMPUTED_VALUE"""),"#N/A")</f>
        <v>#N/A</v>
      </c>
      <c r="CG95" s="1" t="str">
        <f ca="1">IFERROR(__xludf.DUMMYFUNCTION("""COMPUTED_VALUE"""),"Adarniya Rekha Bhagat  ji कर्मफल का भोग अनिवार्य : Rare Book : Allocated on 28-Jul-24 Contact Number  9424811235")</f>
        <v>Adarniya Rekha Bhagat  ji कर्मफल का भोग अनिवार्य : Rare Book : Allocated on 28-Jul-24 Contact Number  9424811235</v>
      </c>
      <c r="CH95" s="1" t="str">
        <f ca="1">IFERROR(__xludf.DUMMYFUNCTION("""COMPUTED_VALUE"""),"rekhabhagat2511@gmail.com : कर्मफल का भोग अनिवार्य : Rare Book")</f>
        <v>rekhabhagat2511@gmail.com : कर्मफल का भोग अनिवार्य : Rare Book</v>
      </c>
      <c r="CI95" s="5">
        <f ca="1">IFERROR(__xludf.DUMMYFUNCTION("""COMPUTED_VALUE"""),45501.6210237847)</f>
        <v>45501.621023784697</v>
      </c>
    </row>
    <row r="96" spans="1:87" x14ac:dyDescent="0.25">
      <c r="A96" s="5">
        <f ca="1">IFERROR(__xludf.DUMMYFUNCTION("""COMPUTED_VALUE"""),45499.9498565509)</f>
        <v>45499.949856550898</v>
      </c>
      <c r="B96" s="1" t="str">
        <f ca="1">IFERROR(__xludf.DUMMYFUNCTION("""COMPUTED_VALUE"""),"dave.chhaya@gmail.com")</f>
        <v>dave.chhaya@gmail.com</v>
      </c>
      <c r="C96" s="1" t="str">
        <f ca="1">IFERROR(__xludf.DUMMYFUNCTION("""COMPUTED_VALUE"""),"Chhaya Deepak Dave ")</f>
        <v xml:space="preserve">Chhaya Deepak Dave </v>
      </c>
      <c r="D96" s="1">
        <f ca="1">IFERROR(__xludf.DUMMYFUNCTION("""COMPUTED_VALUE"""),9879596556)</f>
        <v>9879596556</v>
      </c>
      <c r="E96" s="1" t="str">
        <f ca="1">IFERROR(__xludf.DUMMYFUNCTION("""COMPUTED_VALUE"""),"Yes")</f>
        <v>Yes</v>
      </c>
      <c r="F96" s="1" t="str">
        <f ca="1">IFERROR(__xludf.DUMMYFUNCTION("""COMPUTED_VALUE"""),"गुजराती")</f>
        <v>गुजराती</v>
      </c>
      <c r="G96" s="1" t="str">
        <f ca="1">IFERROR(__xludf.DUMMYFUNCTION("""COMPUTED_VALUE"""),"संस्कार, कर्मकाण्ड, पाठ, पूजा, गीत-संगीत")</f>
        <v>संस्कार, कर्मकाण्ड, पाठ, पूजा, गीत-संगीत</v>
      </c>
      <c r="H96" s="1"/>
      <c r="I96" s="1"/>
      <c r="J96" s="1"/>
      <c r="K96" s="1"/>
      <c r="L96" s="1"/>
      <c r="M96" s="1"/>
      <c r="N96" s="1"/>
      <c r="O96" s="1"/>
      <c r="P96" s="1"/>
      <c r="Q96" s="1"/>
      <c r="R96" s="1"/>
      <c r="S96" s="1"/>
      <c r="T96" s="1"/>
      <c r="U96" s="1"/>
      <c r="V96" s="1"/>
      <c r="W96" s="1" t="str">
        <f ca="1">IFERROR(__xludf.DUMMYFUNCTION("""COMPUTED_VALUE"""),"पर्व-त्यौहार, कर्मकाण्ड")</f>
        <v>पर्व-त्यौहार, कर्मकाण्ड</v>
      </c>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t="str">
        <f ca="1">IFERROR(__xludf.DUMMYFUNCTION("""COMPUTED_VALUE"""),"कर्मकांड में छिपा व्यक्तित्व निर्माण का शिक्षण")</f>
        <v>कर्मकांड में छिपा व्यक्तित्व निर्माण का शिक्षण</v>
      </c>
      <c r="BH96" s="1"/>
      <c r="BI96" s="1"/>
      <c r="BJ96" s="1"/>
      <c r="BK96" s="1"/>
      <c r="BL96" s="1"/>
      <c r="BM96" s="1"/>
      <c r="BN96" s="1"/>
      <c r="BO96" s="1"/>
      <c r="BP96" s="1"/>
      <c r="BQ96" s="1"/>
      <c r="BR96" s="1"/>
      <c r="BS96" s="1"/>
      <c r="BT96" s="1"/>
      <c r="BU96" s="1"/>
      <c r="BV96" s="1"/>
      <c r="BW96" s="1">
        <f ca="1">IFERROR(__xludf.DUMMYFUNCTION("""COMPUTED_VALUE"""),46)</f>
        <v>46</v>
      </c>
      <c r="BX96" s="1">
        <f ca="1">IFERROR(__xludf.DUMMYFUNCTION("""COMPUTED_VALUE"""),39)</f>
        <v>39</v>
      </c>
      <c r="BY96" s="1">
        <f ca="1">IFERROR(__xludf.DUMMYFUNCTION("""COMPUTED_VALUE"""),6)</f>
        <v>6</v>
      </c>
      <c r="BZ96" s="1">
        <f ca="1">IFERROR(__xludf.DUMMYFUNCTION("""COMPUTED_VALUE"""),16)</f>
        <v>16</v>
      </c>
      <c r="CA96" s="1"/>
      <c r="CB96" s="1"/>
      <c r="CC96" s="1" t="str">
        <f ca="1">IFERROR(__xludf.DUMMYFUNCTION("""COMPUTED_VALUE"""),"અધ્યાત્મને જીવંત બનાવો : G_JS_47")</f>
        <v>અધ્યાત્મને જીવંત બનાવો : G_JS_47</v>
      </c>
      <c r="CD96" s="3" t="str">
        <f ca="1">IFERROR(__xludf.DUMMYFUNCTION("""COMPUTED_VALUE"""),"https://vicharkrantibooks.org/productdetail?product_id=3772")</f>
        <v>https://vicharkrantibooks.org/productdetail?product_id=3772</v>
      </c>
      <c r="CE96" s="1" t="str">
        <f ca="1">IFERROR(__xludf.DUMMYFUNCTION("""COMPUTED_VALUE"""),"Audiobook : અધ્યાત્મને જીવંત બનાવો : G_JS_47 : dave.chhaya@gmail.com : Recorded")</f>
        <v>Audiobook : અધ્યાત્મને જીવંત બનાવો : G_JS_47 : dave.chhaya@gmail.com : Recorded</v>
      </c>
      <c r="CF96" s="1" t="str">
        <f ca="1">IFERROR(__xludf.DUMMYFUNCTION("""COMPUTED_VALUE"""),"Audiobook : અધ્યાત્મને જીવંત બનાવો : G_JS_47 : dave.chhaya@gmail.com : Recorded")</f>
        <v>Audiobook : અધ્યાત્મને જીવંત બનાવો : G_JS_47 : dave.chhaya@gmail.com : Recorded</v>
      </c>
      <c r="CG96" s="1" t="str">
        <f ca="1">IFERROR(__xludf.DUMMYFUNCTION("""COMPUTED_VALUE"""),"Adarniya Chhaya Deepak Dave  ji અધ્યાત્મને જીવંત બનાવો : G_JS_47 : Allocated on 26-Jul-24 Contact Number  9879596556")</f>
        <v>Adarniya Chhaya Deepak Dave  ji અધ્યાત્મને જીવંત બનાવો : G_JS_47 : Allocated on 26-Jul-24 Contact Number  9879596556</v>
      </c>
      <c r="CH96" s="1" t="str">
        <f ca="1">IFERROR(__xludf.DUMMYFUNCTION("""COMPUTED_VALUE"""),"dave.chhaya@gmail.com : અધ્યાત્મને જીવંત બનાવો : G_JS_47")</f>
        <v>dave.chhaya@gmail.com : અધ્યાત્મને જીવંત બનાવો : G_JS_47</v>
      </c>
      <c r="CI96" s="5">
        <f ca="1">IFERROR(__xludf.DUMMYFUNCTION("""COMPUTED_VALUE"""),45499.9498565509)</f>
        <v>45499.949856550898</v>
      </c>
    </row>
    <row r="97" spans="1:87" x14ac:dyDescent="0.25">
      <c r="A97" s="5">
        <f ca="1">IFERROR(__xludf.DUMMYFUNCTION("""COMPUTED_VALUE"""),45499.6691549999)</f>
        <v>45499.669154999901</v>
      </c>
      <c r="B97" s="1" t="str">
        <f ca="1">IFERROR(__xludf.DUMMYFUNCTION("""COMPUTED_VALUE"""),"sarojchandak664@gmail.com")</f>
        <v>sarojchandak664@gmail.com</v>
      </c>
      <c r="C97" s="1" t="str">
        <f ca="1">IFERROR(__xludf.DUMMYFUNCTION("""COMPUTED_VALUE"""),"Sau. Saroj Lalchand chandak")</f>
        <v>Sau. Saroj Lalchand chandak</v>
      </c>
      <c r="D97" s="1">
        <f ca="1">IFERROR(__xludf.DUMMYFUNCTION("""COMPUTED_VALUE"""),9665283828)</f>
        <v>9665283828</v>
      </c>
      <c r="E97" s="1" t="str">
        <f ca="1">IFERROR(__xludf.DUMMYFUNCTION("""COMPUTED_VALUE"""),"Yes")</f>
        <v>Yes</v>
      </c>
      <c r="F97" s="1" t="str">
        <f ca="1">IFERROR(__xludf.DUMMYFUNCTION("""COMPUTED_VALUE"""),"हिन्दी")</f>
        <v>हिन्दी</v>
      </c>
      <c r="G97" s="1" t="str">
        <f ca="1">IFERROR(__xludf.DUMMYFUNCTION("""COMPUTED_VALUE"""),"गायत्री परिवार")</f>
        <v>गायत्री परिवार</v>
      </c>
      <c r="H97" s="1"/>
      <c r="I97" s="1"/>
      <c r="J97" s="1" t="str">
        <f ca="1">IFERROR(__xludf.DUMMYFUNCTION("""COMPUTED_VALUE"""),"प्रमुख संस्थान, प्रकाशन एवं आंदोलन")</f>
        <v>प्रमुख संस्थान, प्रकाशन एवं आंदोलन</v>
      </c>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f ca="1">IFERROR(__xludf.DUMMYFUNCTION("""COMPUTED_VALUE"""),2)</f>
        <v>2</v>
      </c>
      <c r="BX97" s="1">
        <f ca="1">IFERROR(__xludf.DUMMYFUNCTION("""COMPUTED_VALUE"""),0)</f>
        <v>0</v>
      </c>
      <c r="BY97" s="1">
        <f ca="1">IFERROR(__xludf.DUMMYFUNCTION("""COMPUTED_VALUE"""),2)</f>
        <v>2</v>
      </c>
      <c r="BZ97" s="1">
        <f ca="1">IFERROR(__xludf.DUMMYFUNCTION("""COMPUTED_VALUE"""),0)</f>
        <v>0</v>
      </c>
      <c r="CA97" s="1"/>
      <c r="CB97" s="1"/>
      <c r="CC97" s="1"/>
      <c r="CD97" s="1" t="str">
        <f ca="1">IFERROR(__xludf.DUMMYFUNCTION("""COMPUTED_VALUE"""),"#N/A")</f>
        <v>#N/A</v>
      </c>
      <c r="CE97" s="1" t="str">
        <f ca="1">IFERROR(__xludf.DUMMYFUNCTION("""COMPUTED_VALUE"""),"Audiobook :  : sarojchandak664@gmail.com : Recorded")</f>
        <v>Audiobook :  : sarojchandak664@gmail.com : Recorded</v>
      </c>
      <c r="CF97" s="1" t="str">
        <f ca="1">IFERROR(__xludf.DUMMYFUNCTION("""COMPUTED_VALUE"""),"#N/A")</f>
        <v>#N/A</v>
      </c>
      <c r="CG97" s="1" t="str">
        <f ca="1">IFERROR(__xludf.DUMMYFUNCTION("""COMPUTED_VALUE"""),"Adarniya Sau. Saroj Lalchand chandak ji  : Allocated on 26-Jul-24 Contact Number  9665283828")</f>
        <v>Adarniya Sau. Saroj Lalchand chandak ji  : Allocated on 26-Jul-24 Contact Number  9665283828</v>
      </c>
      <c r="CH97" s="1" t="str">
        <f ca="1">IFERROR(__xludf.DUMMYFUNCTION("""COMPUTED_VALUE"""),"sarojchandak664@gmail.com : ")</f>
        <v xml:space="preserve">sarojchandak664@gmail.com : </v>
      </c>
      <c r="CI97" s="5">
        <f ca="1">IFERROR(__xludf.DUMMYFUNCTION("""COMPUTED_VALUE"""),45499.6691549999)</f>
        <v>45499.669154999901</v>
      </c>
    </row>
    <row r="98" spans="1:87" x14ac:dyDescent="0.25">
      <c r="A98" s="5">
        <f ca="1">IFERROR(__xludf.DUMMYFUNCTION("""COMPUTED_VALUE"""),45498.9904895833)</f>
        <v>45498.990489583302</v>
      </c>
      <c r="B98" s="1" t="str">
        <f ca="1">IFERROR(__xludf.DUMMYFUNCTION("""COMPUTED_VALUE"""),"richasharma310575@gmail.com")</f>
        <v>richasharma310575@gmail.com</v>
      </c>
      <c r="C98" s="1" t="str">
        <f ca="1">IFERROR(__xludf.DUMMYFUNCTION("""COMPUTED_VALUE"""),"Richa Sharma")</f>
        <v>Richa Sharma</v>
      </c>
      <c r="D98" s="1" t="str">
        <f ca="1">IFERROR(__xludf.DUMMYFUNCTION("""COMPUTED_VALUE"""),"09479664049")</f>
        <v>09479664049</v>
      </c>
      <c r="E98" s="1" t="str">
        <f ca="1">IFERROR(__xludf.DUMMYFUNCTION("""COMPUTED_VALUE"""),"Yes")</f>
        <v>Yes</v>
      </c>
      <c r="F98" s="1" t="str">
        <f ca="1">IFERROR(__xludf.DUMMYFUNCTION("""COMPUTED_VALUE"""),"हिन्दी")</f>
        <v>हिन्दी</v>
      </c>
      <c r="G98" s="1" t="str">
        <f ca="1">IFERROR(__xludf.DUMMYFUNCTION("""COMPUTED_VALUE"""),"संस्कार, कर्मकाण्ड, पाठ, पूजा, गीत-संगीत")</f>
        <v>संस्कार, कर्मकाण्ड, पाठ, पूजा, गीत-संगीत</v>
      </c>
      <c r="H98" s="1"/>
      <c r="I98" s="1"/>
      <c r="J98" s="1"/>
      <c r="K98" s="1"/>
      <c r="L98" s="1"/>
      <c r="M98" s="1"/>
      <c r="N98" s="1"/>
      <c r="O98" s="1"/>
      <c r="P98" s="1"/>
      <c r="Q98" s="1"/>
      <c r="R98" s="1"/>
      <c r="S98" s="1"/>
      <c r="T98" s="1"/>
      <c r="U98" s="1"/>
      <c r="V98" s="1"/>
      <c r="W98" s="1" t="str">
        <f ca="1">IFERROR(__xludf.DUMMYFUNCTION("""COMPUTED_VALUE"""),"संस्कार")</f>
        <v>संस्कार</v>
      </c>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t="str">
        <f ca="1">IFERROR(__xludf.DUMMYFUNCTION("""COMPUTED_VALUE"""),"अंत्येष्ठि संस्कार विवेचन")</f>
        <v>अंत्येष्ठि संस्कार विवेचन</v>
      </c>
      <c r="BJ98" s="1"/>
      <c r="BK98" s="1"/>
      <c r="BL98" s="1"/>
      <c r="BM98" s="1"/>
      <c r="BN98" s="1"/>
      <c r="BO98" s="1"/>
      <c r="BP98" s="1"/>
      <c r="BQ98" s="1"/>
      <c r="BR98" s="1"/>
      <c r="BS98" s="1"/>
      <c r="BT98" s="1"/>
      <c r="BU98" s="1"/>
      <c r="BV98" s="1"/>
      <c r="BW98" s="1">
        <f ca="1">IFERROR(__xludf.DUMMYFUNCTION("""COMPUTED_VALUE"""),23)</f>
        <v>23</v>
      </c>
      <c r="BX98" s="1">
        <f ca="1">IFERROR(__xludf.DUMMYFUNCTION("""COMPUTED_VALUE"""),28)</f>
        <v>28</v>
      </c>
      <c r="BY98" s="1">
        <f ca="1">IFERROR(__xludf.DUMMYFUNCTION("""COMPUTED_VALUE"""),2)</f>
        <v>2</v>
      </c>
      <c r="BZ98" s="1">
        <f ca="1">IFERROR(__xludf.DUMMYFUNCTION("""COMPUTED_VALUE"""),24)</f>
        <v>24</v>
      </c>
      <c r="CA98" s="1"/>
      <c r="CB98" s="1"/>
      <c r="CC98" s="1" t="str">
        <f ca="1">IFERROR(__xludf.DUMMYFUNCTION("""COMPUTED_VALUE"""),"वृद्धावस्था जीवन का नवनीत है : Rare Book")</f>
        <v>वृद्धावस्था जीवन का नवनीत है : Rare Book</v>
      </c>
      <c r="CD98" s="3" t="str">
        <f ca="1">IFERROR(__xludf.DUMMYFUNCTION("""COMPUTED_VALUE"""),"https://vicharkrantibooks.org/productdetail?book_name=HINP0999_VRUDDHAVASTHA_JIVAN_KA_NAVANIT_HAI_xxyyyy&amp;product_id=1564")</f>
        <v>https://vicharkrantibooks.org/productdetail?book_name=HINP0999_VRUDDHAVASTHA_JIVAN_KA_NAVANIT_HAI_xxyyyy&amp;product_id=1564</v>
      </c>
      <c r="CE98" s="1" t="str">
        <f ca="1">IFERROR(__xludf.DUMMYFUNCTION("""COMPUTED_VALUE"""),"Audiobook : वृद्धावस्था जीवन का नवनीत है : Rare Book : richasharma310575@gmail.com : Recorded")</f>
        <v>Audiobook : वृद्धावस्था जीवन का नवनीत है : Rare Book : richasharma310575@gmail.com : Recorded</v>
      </c>
      <c r="CF98" s="1" t="str">
        <f ca="1">IFERROR(__xludf.DUMMYFUNCTION("""COMPUTED_VALUE"""),"#N/A")</f>
        <v>#N/A</v>
      </c>
      <c r="CG98" s="1" t="str">
        <f ca="1">IFERROR(__xludf.DUMMYFUNCTION("""COMPUTED_VALUE"""),"Adarniya Richa Sharma ji वृद्धावस्था जीवन का नवनीत है : Rare Book : Allocated on 25-Jul-24 Contact Number  09479664049")</f>
        <v>Adarniya Richa Sharma ji वृद्धावस्था जीवन का नवनीत है : Rare Book : Allocated on 25-Jul-24 Contact Number  09479664049</v>
      </c>
      <c r="CH98" s="1" t="str">
        <f ca="1">IFERROR(__xludf.DUMMYFUNCTION("""COMPUTED_VALUE"""),"richasharma310575@gmail.com : वृद्धावस्था जीवन का नवनीत है : Rare Book")</f>
        <v>richasharma310575@gmail.com : वृद्धावस्था जीवन का नवनीत है : Rare Book</v>
      </c>
      <c r="CI98" s="5">
        <f ca="1">IFERROR(__xludf.DUMMYFUNCTION("""COMPUTED_VALUE"""),45498.9904895833)</f>
        <v>45498.990489583302</v>
      </c>
    </row>
    <row r="99" spans="1:87" x14ac:dyDescent="0.25">
      <c r="A99" s="5">
        <f ca="1">IFERROR(__xludf.DUMMYFUNCTION("""COMPUTED_VALUE"""),45498.8546359722)</f>
        <v>45498.854635972202</v>
      </c>
      <c r="B99" s="1" t="str">
        <f ca="1">IFERROR(__xludf.DUMMYFUNCTION("""COMPUTED_VALUE"""),"kalagpatel1959@gmail.com")</f>
        <v>kalagpatel1959@gmail.com</v>
      </c>
      <c r="C99" s="1" t="str">
        <f ca="1">IFERROR(__xludf.DUMMYFUNCTION("""COMPUTED_VALUE"""),"Kala Patel ")</f>
        <v xml:space="preserve">Kala Patel </v>
      </c>
      <c r="D99" s="1">
        <f ca="1">IFERROR(__xludf.DUMMYFUNCTION("""COMPUTED_VALUE"""),9016250929)</f>
        <v>9016250929</v>
      </c>
      <c r="E99" s="1" t="str">
        <f ca="1">IFERROR(__xludf.DUMMYFUNCTION("""COMPUTED_VALUE"""),"Yes")</f>
        <v>Yes</v>
      </c>
      <c r="F99" s="1" t="str">
        <f ca="1">IFERROR(__xludf.DUMMYFUNCTION("""COMPUTED_VALUE"""),"गुजराती")</f>
        <v>गुजराती</v>
      </c>
      <c r="G99" s="1" t="str">
        <f ca="1">IFERROR(__xludf.DUMMYFUNCTION("""COMPUTED_VALUE"""),"जीवन प्रबंध")</f>
        <v>जीवन प्रबंध</v>
      </c>
      <c r="H99" s="1"/>
      <c r="I99" s="1"/>
      <c r="J99" s="1"/>
      <c r="K99" s="1"/>
      <c r="L99" s="1" t="str">
        <f ca="1">IFERROR(__xludf.DUMMYFUNCTION("""COMPUTED_VALUE"""),"मानव जीवन की गरिमा")</f>
        <v>मानव जीवन की गरिमा</v>
      </c>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f ca="1">IFERROR(__xludf.DUMMYFUNCTION("""COMPUTED_VALUE"""),34)</f>
        <v>34</v>
      </c>
      <c r="BX99" s="1">
        <f ca="1">IFERROR(__xludf.DUMMYFUNCTION("""COMPUTED_VALUE"""),34)</f>
        <v>34</v>
      </c>
      <c r="BY99" s="1">
        <f ca="1">IFERROR(__xludf.DUMMYFUNCTION("""COMPUTED_VALUE"""),4)</f>
        <v>4</v>
      </c>
      <c r="BZ99" s="1">
        <f ca="1">IFERROR(__xludf.DUMMYFUNCTION("""COMPUTED_VALUE"""),11)</f>
        <v>11</v>
      </c>
      <c r="CA99" s="1"/>
      <c r="CB99" s="1"/>
      <c r="CC99" s="1" t="str">
        <f ca="1">IFERROR(__xludf.DUMMYFUNCTION("""COMPUTED_VALUE"""),"ભગવાનને ફોસલાવશો નહિ : G_JS_67")</f>
        <v>ભગવાનને ફોસલાવશો નહિ : G_JS_67</v>
      </c>
      <c r="CD99" s="3" t="str">
        <f ca="1">IFERROR(__xludf.DUMMYFUNCTION("""COMPUTED_VALUE"""),"https://vicharkrantibooks.org/productdetail?product_id=3792")</f>
        <v>https://vicharkrantibooks.org/productdetail?product_id=3792</v>
      </c>
      <c r="CE99" s="1" t="str">
        <f ca="1">IFERROR(__xludf.DUMMYFUNCTION("""COMPUTED_VALUE"""),"Audiobook : ભગવાનને ફોસલાવશો નહિ : G_JS_67 : kalagpatel1959@gmail.com : Recorded")</f>
        <v>Audiobook : ભગવાનને ફોસલાવશો નહિ : G_JS_67 : kalagpatel1959@gmail.com : Recorded</v>
      </c>
      <c r="CF99" s="1" t="str">
        <f ca="1">IFERROR(__xludf.DUMMYFUNCTION("""COMPUTED_VALUE"""),"Audiobook : ભગવાનને ફોસલાવશો નહિ : G_JS_67 : kalagpatel1959@gmail.com : Recorded")</f>
        <v>Audiobook : ભગવાનને ફોસલાવશો નહિ : G_JS_67 : kalagpatel1959@gmail.com : Recorded</v>
      </c>
      <c r="CG99" s="1" t="str">
        <f ca="1">IFERROR(__xludf.DUMMYFUNCTION("""COMPUTED_VALUE"""),"Adarniya Kala Patel  ji ભગવાનને ફોસલાવશો નહિ : G_JS_67 : Allocated on 25-Jul-24 Contact Number  9016250929")</f>
        <v>Adarniya Kala Patel  ji ભગવાનને ફોસલાવશો નહિ : G_JS_67 : Allocated on 25-Jul-24 Contact Number  9016250929</v>
      </c>
      <c r="CH99" s="1" t="str">
        <f ca="1">IFERROR(__xludf.DUMMYFUNCTION("""COMPUTED_VALUE"""),"kalagpatel1959@gmail.com : ભગવાનને ફોસલાવશો નહિ : G_JS_67")</f>
        <v>kalagpatel1959@gmail.com : ભગવાનને ફોસલાવશો નહિ : G_JS_67</v>
      </c>
      <c r="CI99" s="5">
        <f ca="1">IFERROR(__xludf.DUMMYFUNCTION("""COMPUTED_VALUE"""),45498.8546359722)</f>
        <v>45498.854635972202</v>
      </c>
    </row>
    <row r="100" spans="1:87" x14ac:dyDescent="0.25">
      <c r="A100" s="5">
        <f ca="1">IFERROR(__xludf.DUMMYFUNCTION("""COMPUTED_VALUE"""),45497.7369013657)</f>
        <v>45497.736901365701</v>
      </c>
      <c r="B100" s="1" t="str">
        <f ca="1">IFERROR(__xludf.DUMMYFUNCTION("""COMPUTED_VALUE"""),"dave.chhaya@gmail.com")</f>
        <v>dave.chhaya@gmail.com</v>
      </c>
      <c r="C100" s="1" t="str">
        <f ca="1">IFERROR(__xludf.DUMMYFUNCTION("""COMPUTED_VALUE"""),"Chhaya Deepak Dave ")</f>
        <v xml:space="preserve">Chhaya Deepak Dave </v>
      </c>
      <c r="D100" s="1">
        <f ca="1">IFERROR(__xludf.DUMMYFUNCTION("""COMPUTED_VALUE"""),9879596556)</f>
        <v>9879596556</v>
      </c>
      <c r="E100" s="1" t="str">
        <f ca="1">IFERROR(__xludf.DUMMYFUNCTION("""COMPUTED_VALUE"""),"Yes")</f>
        <v>Yes</v>
      </c>
      <c r="F100" s="1" t="str">
        <f ca="1">IFERROR(__xludf.DUMMYFUNCTION("""COMPUTED_VALUE"""),"गुजराती")</f>
        <v>गुजराती</v>
      </c>
      <c r="G100" s="1" t="str">
        <f ca="1">IFERROR(__xludf.DUMMYFUNCTION("""COMPUTED_VALUE"""),"संस्कार, कर्मकाण्ड, पाठ, पूजा, गीत-संगीत")</f>
        <v>संस्कार, कर्मकाण्ड, पाठ, पूजा, गीत-संगीत</v>
      </c>
      <c r="H100" s="1"/>
      <c r="I100" s="1"/>
      <c r="J100" s="1"/>
      <c r="K100" s="1"/>
      <c r="L100" s="1"/>
      <c r="M100" s="1"/>
      <c r="N100" s="1"/>
      <c r="O100" s="1"/>
      <c r="P100" s="1"/>
      <c r="Q100" s="1"/>
      <c r="R100" s="1"/>
      <c r="S100" s="1"/>
      <c r="T100" s="1"/>
      <c r="U100" s="1"/>
      <c r="V100" s="1"/>
      <c r="W100" s="1" t="str">
        <f ca="1">IFERROR(__xludf.DUMMYFUNCTION("""COMPUTED_VALUE"""),"पर्व-त्यौहार, कर्मकाण्ड")</f>
        <v>पर्व-त्यौहार, कर्मकाण्ड</v>
      </c>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t="str">
        <f ca="1">IFERROR(__xludf.DUMMYFUNCTION("""COMPUTED_VALUE"""),"कर्मकांड में छिपा व्यक्तित्व निर्माण का शिक्षण")</f>
        <v>कर्मकांड में छिपा व्यक्तित्व निर्माण का शिक्षण</v>
      </c>
      <c r="BH100" s="1"/>
      <c r="BI100" s="1"/>
      <c r="BJ100" s="1"/>
      <c r="BK100" s="1"/>
      <c r="BL100" s="1"/>
      <c r="BM100" s="1"/>
      <c r="BN100" s="1"/>
      <c r="BO100" s="1"/>
      <c r="BP100" s="1"/>
      <c r="BQ100" s="1"/>
      <c r="BR100" s="1"/>
      <c r="BS100" s="1"/>
      <c r="BT100" s="1"/>
      <c r="BU100" s="1"/>
      <c r="BV100" s="1"/>
      <c r="BW100" s="1">
        <f ca="1">IFERROR(__xludf.DUMMYFUNCTION("""COMPUTED_VALUE"""),46)</f>
        <v>46</v>
      </c>
      <c r="BX100" s="1">
        <f ca="1">IFERROR(__xludf.DUMMYFUNCTION("""COMPUTED_VALUE"""),39)</f>
        <v>39</v>
      </c>
      <c r="BY100" s="1">
        <f ca="1">IFERROR(__xludf.DUMMYFUNCTION("""COMPUTED_VALUE"""),6)</f>
        <v>6</v>
      </c>
      <c r="BZ100" s="1">
        <f ca="1">IFERROR(__xludf.DUMMYFUNCTION("""COMPUTED_VALUE"""),16)</f>
        <v>16</v>
      </c>
      <c r="CA100" s="1"/>
      <c r="CB100" s="1"/>
      <c r="CC100" s="1" t="str">
        <f ca="1">IFERROR(__xludf.DUMMYFUNCTION("""COMPUTED_VALUE"""),"ભગવાનનું કામ ખોટનો સોદો નથી : G_JS_96")</f>
        <v>ભગવાનનું કામ ખોટનો સોદો નથી : G_JS_96</v>
      </c>
      <c r="CD100" s="3" t="str">
        <f ca="1">IFERROR(__xludf.DUMMYFUNCTION("""COMPUTED_VALUE"""),"https://vicharkrantibooks.org/productdetail?product_id=3821")</f>
        <v>https://vicharkrantibooks.org/productdetail?product_id=3821</v>
      </c>
      <c r="CE100" s="1" t="str">
        <f ca="1">IFERROR(__xludf.DUMMYFUNCTION("""COMPUTED_VALUE"""),"Audiobook : ભગવાનનું કામ ખોટનો સોદો નથી : G_JS_96 : dave.chhaya@gmail.com : Recorded")</f>
        <v>Audiobook : ભગવાનનું કામ ખોટનો સોદો નથી : G_JS_96 : dave.chhaya@gmail.com : Recorded</v>
      </c>
      <c r="CF100" s="1" t="str">
        <f ca="1">IFERROR(__xludf.DUMMYFUNCTION("""COMPUTED_VALUE"""),"Audiobook : ભગવાનનું કામ ખોટનો સોદો નથી : G_JS_96 : dave.chhaya@gmail.com : Recorded")</f>
        <v>Audiobook : ભગવાનનું કામ ખોટનો સોદો નથી : G_JS_96 : dave.chhaya@gmail.com : Recorded</v>
      </c>
      <c r="CG100" s="1" t="str">
        <f ca="1">IFERROR(__xludf.DUMMYFUNCTION("""COMPUTED_VALUE"""),"Adarniya Chhaya Deepak Dave  ji ભગવાનનું કામ ખોટનો સોદો નથી : G_JS_96 : Allocated on 24-Jul-24 Contact Number  9879596556")</f>
        <v>Adarniya Chhaya Deepak Dave  ji ભગવાનનું કામ ખોટનો સોદો નથી : G_JS_96 : Allocated on 24-Jul-24 Contact Number  9879596556</v>
      </c>
      <c r="CH100" s="1" t="str">
        <f ca="1">IFERROR(__xludf.DUMMYFUNCTION("""COMPUTED_VALUE"""),"dave.chhaya@gmail.com : ભગવાનનું કામ ખોટનો સોદો નથી : G_JS_96")</f>
        <v>dave.chhaya@gmail.com : ભગવાનનું કામ ખોટનો સોદો નથી : G_JS_96</v>
      </c>
      <c r="CI100" s="5">
        <f ca="1">IFERROR(__xludf.DUMMYFUNCTION("""COMPUTED_VALUE"""),45497.7369013657)</f>
        <v>45497.736901365701</v>
      </c>
    </row>
    <row r="101" spans="1:87" x14ac:dyDescent="0.25">
      <c r="A101" s="5">
        <f ca="1">IFERROR(__xludf.DUMMYFUNCTION("""COMPUTED_VALUE"""),45497.6257422222)</f>
        <v>45497.625742222197</v>
      </c>
      <c r="B101" s="1" t="str">
        <f ca="1">IFERROR(__xludf.DUMMYFUNCTION("""COMPUTED_VALUE"""),"guptarakhi072@gmail.com")</f>
        <v>guptarakhi072@gmail.com</v>
      </c>
      <c r="C101" s="1" t="str">
        <f ca="1">IFERROR(__xludf.DUMMYFUNCTION("""COMPUTED_VALUE"""),"Rakhi Gupta ")</f>
        <v xml:space="preserve">Rakhi Gupta </v>
      </c>
      <c r="D101" s="1">
        <f ca="1">IFERROR(__xludf.DUMMYFUNCTION("""COMPUTED_VALUE"""),8128540757)</f>
        <v>8128540757</v>
      </c>
      <c r="E101" s="1" t="str">
        <f ca="1">IFERROR(__xludf.DUMMYFUNCTION("""COMPUTED_VALUE"""),"Yes")</f>
        <v>Yes</v>
      </c>
      <c r="F101" s="1" t="str">
        <f ca="1">IFERROR(__xludf.DUMMYFUNCTION("""COMPUTED_VALUE"""),"हिन्दी")</f>
        <v>हिन्दी</v>
      </c>
      <c r="G101" s="1" t="str">
        <f ca="1">IFERROR(__xludf.DUMMYFUNCTION("""COMPUTED_VALUE"""),"समग्र स्वास्थ्य")</f>
        <v>समग्र स्वास्थ्य</v>
      </c>
      <c r="H101" s="1"/>
      <c r="I101" s="1"/>
      <c r="J101" s="1"/>
      <c r="K101" s="1"/>
      <c r="L101" s="1"/>
      <c r="M101" s="1"/>
      <c r="N101" s="1"/>
      <c r="O101" s="1"/>
      <c r="P101" s="1"/>
      <c r="Q101" s="1"/>
      <c r="R101" s="1"/>
      <c r="S101" s="1"/>
      <c r="T101" s="1"/>
      <c r="U101" s="1" t="str">
        <f ca="1">IFERROR(__xludf.DUMMYFUNCTION("""COMPUTED_VALUE"""),"स्वास्थ्य संवर्धन")</f>
        <v>स्वास्थ्य संवर्धन</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f ca="1">IFERROR(__xludf.DUMMYFUNCTION("""COMPUTED_VALUE"""),21)</f>
        <v>21</v>
      </c>
      <c r="BX101" s="1">
        <f ca="1">IFERROR(__xludf.DUMMYFUNCTION("""COMPUTED_VALUE"""),20)</f>
        <v>20</v>
      </c>
      <c r="BY101" s="1">
        <f ca="1">IFERROR(__xludf.DUMMYFUNCTION("""COMPUTED_VALUE"""),2)</f>
        <v>2</v>
      </c>
      <c r="BZ101" s="1">
        <f ca="1">IFERROR(__xludf.DUMMYFUNCTION("""COMPUTED_VALUE"""),14)</f>
        <v>14</v>
      </c>
      <c r="CA101" s="1"/>
      <c r="CB101" s="1"/>
      <c r="CC101" s="1" t="str">
        <f ca="1">IFERROR(__xludf.DUMMYFUNCTION("""COMPUTED_VALUE"""),"मानसिक संतुलन : Rare Book")</f>
        <v>मानसिक संतुलन : Rare Book</v>
      </c>
      <c r="CD101" s="3" t="str">
        <f ca="1">IFERROR(__xludf.DUMMYFUNCTION("""COMPUTED_VALUE"""),"https://vicharkrantibooks.org/productdetail?product_id=1059")</f>
        <v>https://vicharkrantibooks.org/productdetail?product_id=1059</v>
      </c>
      <c r="CE101" s="1" t="str">
        <f ca="1">IFERROR(__xludf.DUMMYFUNCTION("""COMPUTED_VALUE"""),"Audiobook : मानसिक संतुलन : Rare Book : guptarakhi072@gmail.com : Recorded")</f>
        <v>Audiobook : मानसिक संतुलन : Rare Book : guptarakhi072@gmail.com : Recorded</v>
      </c>
      <c r="CF101" s="1" t="str">
        <f ca="1">IFERROR(__xludf.DUMMYFUNCTION("""COMPUTED_VALUE"""),"Audiobook : मानसिक संतुलन : Rare Book : guptarakhi072@gmail.com : Recorded")</f>
        <v>Audiobook : मानसिक संतुलन : Rare Book : guptarakhi072@gmail.com : Recorded</v>
      </c>
      <c r="CG101" s="1" t="str">
        <f ca="1">IFERROR(__xludf.DUMMYFUNCTION("""COMPUTED_VALUE"""),"Adarniya Rakhi Gupta  ji मानसिक संतुलन : Rare Book : Allocated on 24-Jul-24 Contact Number  8128540757")</f>
        <v>Adarniya Rakhi Gupta  ji मानसिक संतुलन : Rare Book : Allocated on 24-Jul-24 Contact Number  8128540757</v>
      </c>
      <c r="CH101" s="1" t="str">
        <f ca="1">IFERROR(__xludf.DUMMYFUNCTION("""COMPUTED_VALUE"""),"guptarakhi072@gmail.com : मानसिक संतुलन : Rare Book")</f>
        <v>guptarakhi072@gmail.com : मानसिक संतुलन : Rare Book</v>
      </c>
      <c r="CI101" s="5">
        <f ca="1">IFERROR(__xludf.DUMMYFUNCTION("""COMPUTED_VALUE"""),45497.6257422222)</f>
        <v>45497.625742222197</v>
      </c>
    </row>
    <row r="102" spans="1:87" x14ac:dyDescent="0.25">
      <c r="A102" s="5">
        <f ca="1">IFERROR(__xludf.DUMMYFUNCTION("""COMPUTED_VALUE"""),45496.8139140856)</f>
        <v>45496.8139140856</v>
      </c>
      <c r="B102" s="1" t="str">
        <f ca="1">IFERROR(__xludf.DUMMYFUNCTION("""COMPUTED_VALUE"""),"kalagpatel1959@gmail.com")</f>
        <v>kalagpatel1959@gmail.com</v>
      </c>
      <c r="C102" s="1" t="str">
        <f ca="1">IFERROR(__xludf.DUMMYFUNCTION("""COMPUTED_VALUE"""),"Kala Patel ")</f>
        <v xml:space="preserve">Kala Patel </v>
      </c>
      <c r="D102" s="1">
        <f ca="1">IFERROR(__xludf.DUMMYFUNCTION("""COMPUTED_VALUE"""),9016250929)</f>
        <v>9016250929</v>
      </c>
      <c r="E102" s="1" t="str">
        <f ca="1">IFERROR(__xludf.DUMMYFUNCTION("""COMPUTED_VALUE"""),"Yes")</f>
        <v>Yes</v>
      </c>
      <c r="F102" s="1" t="str">
        <f ca="1">IFERROR(__xludf.DUMMYFUNCTION("""COMPUTED_VALUE"""),"गुजराती")</f>
        <v>गुजराती</v>
      </c>
      <c r="G102" s="1" t="str">
        <f ca="1">IFERROR(__xludf.DUMMYFUNCTION("""COMPUTED_VALUE"""),"गायत्री परिवार")</f>
        <v>गायत्री परिवार</v>
      </c>
      <c r="H102" s="1"/>
      <c r="I102" s="1"/>
      <c r="J102" s="1" t="str">
        <f ca="1">IFERROR(__xludf.DUMMYFUNCTION("""COMPUTED_VALUE"""),"सृजन शिल्पियों की योजनाबद्ध कार्य पद्धति")</f>
        <v>सृजन शिल्पियों की योजनाबद्ध कार्य पद्धति</v>
      </c>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f ca="1">IFERROR(__xludf.DUMMYFUNCTION("""COMPUTED_VALUE"""),34)</f>
        <v>34</v>
      </c>
      <c r="BX102" s="1">
        <f ca="1">IFERROR(__xludf.DUMMYFUNCTION("""COMPUTED_VALUE"""),34)</f>
        <v>34</v>
      </c>
      <c r="BY102" s="1">
        <f ca="1">IFERROR(__xludf.DUMMYFUNCTION("""COMPUTED_VALUE"""),4)</f>
        <v>4</v>
      </c>
      <c r="BZ102" s="1">
        <f ca="1">IFERROR(__xludf.DUMMYFUNCTION("""COMPUTED_VALUE"""),11)</f>
        <v>11</v>
      </c>
      <c r="CA102" s="1"/>
      <c r="CB102" s="1"/>
      <c r="CC102" s="1" t="str">
        <f ca="1">IFERROR(__xludf.DUMMYFUNCTION("""COMPUTED_VALUE"""),"ભગવાનની કૃપા કઈ શરતે મળે ? : G_JS_82")</f>
        <v>ભગવાનની કૃપા કઈ શરતે મળે ? : G_JS_82</v>
      </c>
      <c r="CD102" s="3" t="str">
        <f ca="1">IFERROR(__xludf.DUMMYFUNCTION("""COMPUTED_VALUE"""),"https://vicharkrantibooks.org/productdetail?product_id=3807")</f>
        <v>https://vicharkrantibooks.org/productdetail?product_id=3807</v>
      </c>
      <c r="CE102" s="1" t="str">
        <f ca="1">IFERROR(__xludf.DUMMYFUNCTION("""COMPUTED_VALUE"""),"Audiobook : ભગવાનની કૃપા કઈ શરતે મળે ? : G_JS_82 : kalagpatel1959@gmail.com : Recorded")</f>
        <v>Audiobook : ભગવાનની કૃપા કઈ શરતે મળે ? : G_JS_82 : kalagpatel1959@gmail.com : Recorded</v>
      </c>
      <c r="CF102" s="1" t="str">
        <f ca="1">IFERROR(__xludf.DUMMYFUNCTION("""COMPUTED_VALUE"""),"Audiobook : ભગવાનની કૃપા કઈ શરતે મળે ? : G_JS_82 : kalagpatel1959@gmail.com : Recorded")</f>
        <v>Audiobook : ભગવાનની કૃપા કઈ શરતે મળે ? : G_JS_82 : kalagpatel1959@gmail.com : Recorded</v>
      </c>
      <c r="CG102" s="1" t="str">
        <f ca="1">IFERROR(__xludf.DUMMYFUNCTION("""COMPUTED_VALUE"""),"Adarniya Kala Patel  ji ભગવાનની કૃપા કઈ શરતે મળે ? : G_JS_82 : Allocated on 23-Jul-24 Contact Number  9016250929")</f>
        <v>Adarniya Kala Patel  ji ભગવાનની કૃપા કઈ શરતે મળે ? : G_JS_82 : Allocated on 23-Jul-24 Contact Number  9016250929</v>
      </c>
      <c r="CH102" s="1" t="str">
        <f ca="1">IFERROR(__xludf.DUMMYFUNCTION("""COMPUTED_VALUE"""),"kalagpatel1959@gmail.com : ભગવાનની કૃપા કઈ શરતે મળે ? : G_JS_82")</f>
        <v>kalagpatel1959@gmail.com : ભગવાનની કૃપા કઈ શરતે મળે ? : G_JS_82</v>
      </c>
      <c r="CI102" s="5">
        <f ca="1">IFERROR(__xludf.DUMMYFUNCTION("""COMPUTED_VALUE"""),45496.8139140856)</f>
        <v>45496.8139140856</v>
      </c>
    </row>
    <row r="103" spans="1:87" x14ac:dyDescent="0.25">
      <c r="A103" s="5">
        <f ca="1">IFERROR(__xludf.DUMMYFUNCTION("""COMPUTED_VALUE"""),45496.6669262268)</f>
        <v>45496.666926226797</v>
      </c>
      <c r="B103" s="1" t="str">
        <f ca="1">IFERROR(__xludf.DUMMYFUNCTION("""COMPUTED_VALUE"""),"rbbansalriya@gmail.com")</f>
        <v>rbbansalriya@gmail.com</v>
      </c>
      <c r="C103" s="1" t="str">
        <f ca="1">IFERROR(__xludf.DUMMYFUNCTION("""COMPUTED_VALUE"""),"Riya bansal ")</f>
        <v xml:space="preserve">Riya bansal </v>
      </c>
      <c r="D103" s="1">
        <f ca="1">IFERROR(__xludf.DUMMYFUNCTION("""COMPUTED_VALUE"""),9176361023)</f>
        <v>9176361023</v>
      </c>
      <c r="E103" s="1" t="str">
        <f ca="1">IFERROR(__xludf.DUMMYFUNCTION("""COMPUTED_VALUE"""),"Yes")</f>
        <v>Yes</v>
      </c>
      <c r="F103" s="1" t="str">
        <f ca="1">IFERROR(__xludf.DUMMYFUNCTION("""COMPUTED_VALUE"""),"हिन्दी")</f>
        <v>हिन्दी</v>
      </c>
      <c r="G103" s="1" t="str">
        <f ca="1">IFERROR(__xludf.DUMMYFUNCTION("""COMPUTED_VALUE"""),"अध्यात्म, धर्म एवं दर्शन")</f>
        <v>अध्यात्म, धर्म एवं दर्शन</v>
      </c>
      <c r="H103" s="1" t="str">
        <f ca="1">IFERROR(__xludf.DUMMYFUNCTION("""COMPUTED_VALUE"""),"उपासना")</f>
        <v>उपासना</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f ca="1">IFERROR(__xludf.DUMMYFUNCTION("""COMPUTED_VALUE"""),54)</f>
        <v>54</v>
      </c>
      <c r="BX103" s="1">
        <f ca="1">IFERROR(__xludf.DUMMYFUNCTION("""COMPUTED_VALUE"""),55)</f>
        <v>55</v>
      </c>
      <c r="BY103" s="1">
        <f ca="1">IFERROR(__xludf.DUMMYFUNCTION("""COMPUTED_VALUE"""),9)</f>
        <v>9</v>
      </c>
      <c r="BZ103" s="1">
        <f ca="1">IFERROR(__xludf.DUMMYFUNCTION("""COMPUTED_VALUE"""),43)</f>
        <v>43</v>
      </c>
      <c r="CA103" s="1"/>
      <c r="CB103" s="1"/>
      <c r="CC103" s="1" t="str">
        <f ca="1">IFERROR(__xludf.DUMMYFUNCTION("""COMPUTED_VALUE"""),"धर्म चर्चा ही नहीं धर्म परायणता भी आवश्यक : Rare Book")</f>
        <v>धर्म चर्चा ही नहीं धर्म परायणता भी आवश्यक : Rare Book</v>
      </c>
      <c r="CD103" s="3" t="str">
        <f ca="1">IFERROR(__xludf.DUMMYFUNCTION("""COMPUTED_VALUE"""),"https://vicharkrantibooks.org/productdetail?book_name=HINP1084_DHARMCHARCHA_HI_NAHIN_DHARM_PARAYANATA_BHI_AVASHYAK_xx1981&amp;product_id=1649")</f>
        <v>https://vicharkrantibooks.org/productdetail?book_name=HINP1084_DHARMCHARCHA_HI_NAHIN_DHARM_PARAYANATA_BHI_AVASHYAK_xx1981&amp;product_id=1649</v>
      </c>
      <c r="CE103" s="1" t="str">
        <f ca="1">IFERROR(__xludf.DUMMYFUNCTION("""COMPUTED_VALUE"""),"Audiobook : धर्म चर्चा ही नहीं धर्म परायणता भी आवश्यक : Rare Book : rbbansalriya@gmail.com : Recorded")</f>
        <v>Audiobook : धर्म चर्चा ही नहीं धर्म परायणता भी आवश्यक : Rare Book : rbbansalriya@gmail.com : Recorded</v>
      </c>
      <c r="CF103" s="1" t="str">
        <f ca="1">IFERROR(__xludf.DUMMYFUNCTION("""COMPUTED_VALUE"""),"Audiobook : धर्म चर्चा ही नहीं धर्म परायणता भी आवश्यक : Rare Book : rbbansalriya@gmail.com : Recorded")</f>
        <v>Audiobook : धर्म चर्चा ही नहीं धर्म परायणता भी आवश्यक : Rare Book : rbbansalriya@gmail.com : Recorded</v>
      </c>
      <c r="CG103" s="1" t="str">
        <f ca="1">IFERROR(__xludf.DUMMYFUNCTION("""COMPUTED_VALUE"""),"Adarniya Riya bansal  ji धर्म चर्चा ही नहीं धर्म परायणता भी आवश्यक : Rare Book : Allocated on 23-Jul-24 Contact Number  9176361023")</f>
        <v>Adarniya Riya bansal  ji धर्म चर्चा ही नहीं धर्म परायणता भी आवश्यक : Rare Book : Allocated on 23-Jul-24 Contact Number  9176361023</v>
      </c>
      <c r="CH103" s="1" t="str">
        <f ca="1">IFERROR(__xludf.DUMMYFUNCTION("""COMPUTED_VALUE"""),"rbbansalriya@gmail.com : धर्म चर्चा ही नहीं धर्म परायणता भी आवश्यक : Rare Book")</f>
        <v>rbbansalriya@gmail.com : धर्म चर्चा ही नहीं धर्म परायणता भी आवश्यक : Rare Book</v>
      </c>
      <c r="CI103" s="5">
        <f ca="1">IFERROR(__xludf.DUMMYFUNCTION("""COMPUTED_VALUE"""),45496.6669262268)</f>
        <v>45496.666926226797</v>
      </c>
    </row>
    <row r="104" spans="1:87" x14ac:dyDescent="0.25">
      <c r="A104" s="5">
        <f ca="1">IFERROR(__xludf.DUMMYFUNCTION("""COMPUTED_VALUE"""),45495.748972199)</f>
        <v>45495.748972198999</v>
      </c>
      <c r="B104" s="1" t="str">
        <f ca="1">IFERROR(__xludf.DUMMYFUNCTION("""COMPUTED_VALUE"""),"druma4107@gmail.com")</f>
        <v>druma4107@gmail.com</v>
      </c>
      <c r="C104" s="1" t="str">
        <f ca="1">IFERROR(__xludf.DUMMYFUNCTION("""COMPUTED_VALUE"""),"Dr Uma Agrawal ")</f>
        <v xml:space="preserve">Dr Uma Agrawal </v>
      </c>
      <c r="D104" s="1">
        <f ca="1">IFERROR(__xludf.DUMMYFUNCTION("""COMPUTED_VALUE"""),9410861182)</f>
        <v>9410861182</v>
      </c>
      <c r="E104" s="1" t="str">
        <f ca="1">IFERROR(__xludf.DUMMYFUNCTION("""COMPUTED_VALUE"""),"Yes")</f>
        <v>Yes</v>
      </c>
      <c r="F104" s="1" t="str">
        <f ca="1">IFERROR(__xludf.DUMMYFUNCTION("""COMPUTED_VALUE"""),"हिन्दी")</f>
        <v>हिन्दी</v>
      </c>
      <c r="G104" s="1" t="str">
        <f ca="1">IFERROR(__xludf.DUMMYFUNCTION("""COMPUTED_VALUE"""),"जीवन प्रबंध")</f>
        <v>जीवन प्रबंध</v>
      </c>
      <c r="H104" s="1"/>
      <c r="I104" s="1"/>
      <c r="J104" s="1"/>
      <c r="K104" s="1"/>
      <c r="L104" s="1" t="str">
        <f ca="1">IFERROR(__xludf.DUMMYFUNCTION("""COMPUTED_VALUE"""),"सफल, संतुष्ट एवं सुखी जीवन")</f>
        <v>सफल, संतुष्ट एवं सुखी जीवन</v>
      </c>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f ca="1">IFERROR(__xludf.DUMMYFUNCTION("""COMPUTED_VALUE"""),104)</f>
        <v>104</v>
      </c>
      <c r="BX104" s="1">
        <f ca="1">IFERROR(__xludf.DUMMYFUNCTION("""COMPUTED_VALUE"""),106)</f>
        <v>106</v>
      </c>
      <c r="BY104" s="1">
        <f ca="1">IFERROR(__xludf.DUMMYFUNCTION("""COMPUTED_VALUE"""),9)</f>
        <v>9</v>
      </c>
      <c r="BZ104" s="1">
        <f ca="1">IFERROR(__xludf.DUMMYFUNCTION("""COMPUTED_VALUE"""),43)</f>
        <v>43</v>
      </c>
      <c r="CA104" s="1"/>
      <c r="CB104" s="1"/>
      <c r="CC104" s="1" t="str">
        <f ca="1">IFERROR(__xludf.DUMMYFUNCTION("""COMPUTED_VALUE"""),"मानवी एकता में ही कल्याण : Rare Book")</f>
        <v>मानवी एकता में ही कल्याण : Rare Book</v>
      </c>
      <c r="CD104" s="3" t="str">
        <f ca="1">IFERROR(__xludf.DUMMYFUNCTION("""COMPUTED_VALUE"""),"https://vicharkrantibooks.org/productdetail?book_name=HINP1085_MANAVI_EKATA_MAIN_HI_KALYAN_xx1979&amp;product_id=1650")</f>
        <v>https://vicharkrantibooks.org/productdetail?book_name=HINP1085_MANAVI_EKATA_MAIN_HI_KALYAN_xx1979&amp;product_id=1650</v>
      </c>
      <c r="CE104" s="1" t="str">
        <f ca="1">IFERROR(__xludf.DUMMYFUNCTION("""COMPUTED_VALUE"""),"Audiobook : मानवी एकता में ही कल्याण : Rare Book : druma4107@gmail.com : Recorded")</f>
        <v>Audiobook : मानवी एकता में ही कल्याण : Rare Book : druma4107@gmail.com : Recorded</v>
      </c>
      <c r="CF104" s="1" t="str">
        <f ca="1">IFERROR(__xludf.DUMMYFUNCTION("""COMPUTED_VALUE"""),"Audiobook : मानवी एकता में ही कल्याण : Rare Book : druma4107@gmail.com : Recorded")</f>
        <v>Audiobook : मानवी एकता में ही कल्याण : Rare Book : druma4107@gmail.com : Recorded</v>
      </c>
      <c r="CG104" s="1" t="str">
        <f ca="1">IFERROR(__xludf.DUMMYFUNCTION("""COMPUTED_VALUE"""),"Adarniya Dr Uma Agrawal  ji मानवी एकता में ही कल्याण : Rare Book : Allocated on 22-Jul-24 Contact Number  9410861182")</f>
        <v>Adarniya Dr Uma Agrawal  ji मानवी एकता में ही कल्याण : Rare Book : Allocated on 22-Jul-24 Contact Number  9410861182</v>
      </c>
      <c r="CH104" s="1" t="str">
        <f ca="1">IFERROR(__xludf.DUMMYFUNCTION("""COMPUTED_VALUE"""),"druma4107@gmail.com : मानवी एकता में ही कल्याण : Rare Book")</f>
        <v>druma4107@gmail.com : मानवी एकता में ही कल्याण : Rare Book</v>
      </c>
      <c r="CI104" s="5">
        <f ca="1">IFERROR(__xludf.DUMMYFUNCTION("""COMPUTED_VALUE"""),45495.748972199)</f>
        <v>45495.748972198999</v>
      </c>
    </row>
    <row r="105" spans="1:87" x14ac:dyDescent="0.25">
      <c r="A105" s="5">
        <f ca="1">IFERROR(__xludf.DUMMYFUNCTION("""COMPUTED_VALUE"""),45495.6735002662)</f>
        <v>45495.673500266203</v>
      </c>
      <c r="B105" s="1" t="str">
        <f ca="1">IFERROR(__xludf.DUMMYFUNCTION("""COMPUTED_VALUE"""),"nksaxena.yoga@gmail.com")</f>
        <v>nksaxena.yoga@gmail.com</v>
      </c>
      <c r="C105" s="1" t="str">
        <f ca="1">IFERROR(__xludf.DUMMYFUNCTION("""COMPUTED_VALUE"""),"Narendra Kumar Saxena")</f>
        <v>Narendra Kumar Saxena</v>
      </c>
      <c r="D105" s="1">
        <f ca="1">IFERROR(__xludf.DUMMYFUNCTION("""COMPUTED_VALUE"""),8826499188)</f>
        <v>8826499188</v>
      </c>
      <c r="E105" s="1" t="str">
        <f ca="1">IFERROR(__xludf.DUMMYFUNCTION("""COMPUTED_VALUE"""),"Yes")</f>
        <v>Yes</v>
      </c>
      <c r="F105" s="1" t="str">
        <f ca="1">IFERROR(__xludf.DUMMYFUNCTION("""COMPUTED_VALUE"""),"हिन्दी")</f>
        <v>हिन्दी</v>
      </c>
      <c r="G105" s="1" t="str">
        <f ca="1">IFERROR(__xludf.DUMMYFUNCTION("""COMPUTED_VALUE"""),"समग्र स्वास्थ्य")</f>
        <v>समग्र स्वास्थ्य</v>
      </c>
      <c r="H105" s="1"/>
      <c r="I105" s="1"/>
      <c r="J105" s="1"/>
      <c r="K105" s="1"/>
      <c r="L105" s="1"/>
      <c r="M105" s="1"/>
      <c r="N105" s="1"/>
      <c r="O105" s="1"/>
      <c r="P105" s="1"/>
      <c r="Q105" s="1"/>
      <c r="R105" s="1"/>
      <c r="S105" s="1"/>
      <c r="T105" s="1"/>
      <c r="U105" s="1" t="str">
        <f ca="1">IFERROR(__xludf.DUMMYFUNCTION("""COMPUTED_VALUE"""),"मानसिक स्वास्थ्य")</f>
        <v>मानसिक स्वास्थ्य</v>
      </c>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f ca="1">IFERROR(__xludf.DUMMYFUNCTION("""COMPUTED_VALUE"""),29)</f>
        <v>29</v>
      </c>
      <c r="BX105" s="1">
        <f ca="1">IFERROR(__xludf.DUMMYFUNCTION("""COMPUTED_VALUE"""),30)</f>
        <v>30</v>
      </c>
      <c r="BY105" s="1">
        <f ca="1">IFERROR(__xludf.DUMMYFUNCTION("""COMPUTED_VALUE"""),3)</f>
        <v>3</v>
      </c>
      <c r="BZ105" s="1">
        <f ca="1">IFERROR(__xludf.DUMMYFUNCTION("""COMPUTED_VALUE"""),25)</f>
        <v>25</v>
      </c>
      <c r="CA105" s="1"/>
      <c r="CB105" s="1"/>
      <c r="CC105" s="1" t="str">
        <f ca="1">IFERROR(__xludf.DUMMYFUNCTION("""COMPUTED_VALUE"""),"मानसिक शान्ति एवं सतोष का मूल-श्रोत : Rare Book")</f>
        <v>मानसिक शान्ति एवं सतोष का मूल-श्रोत : Rare Book</v>
      </c>
      <c r="CD105" s="3" t="str">
        <f ca="1">IFERROR(__xludf.DUMMYFUNCTION("""COMPUTED_VALUE"""),"https://vicharkrantibooks.org/productdetail?book_name=HINP0496_MANASIK_SHANTI_EVAM_SANTOSH_KA_MUL_SHROT_xx1982&amp;product_id=1061")</f>
        <v>https://vicharkrantibooks.org/productdetail?book_name=HINP0496_MANASIK_SHANTI_EVAM_SANTOSH_KA_MUL_SHROT_xx1982&amp;product_id=1061</v>
      </c>
      <c r="CE105" s="1" t="str">
        <f ca="1">IFERROR(__xludf.DUMMYFUNCTION("""COMPUTED_VALUE"""),"Audiobook : मानसिक शान्ति एवं सतोष का मूल-श्रोत : Rare Book : nksaxena.yoga@gmail.com : Recorded")</f>
        <v>Audiobook : मानसिक शान्ति एवं सतोष का मूल-श्रोत : Rare Book : nksaxena.yoga@gmail.com : Recorded</v>
      </c>
      <c r="CF105" s="1" t="str">
        <f ca="1">IFERROR(__xludf.DUMMYFUNCTION("""COMPUTED_VALUE"""),"#N/A")</f>
        <v>#N/A</v>
      </c>
      <c r="CG105" s="1" t="str">
        <f ca="1">IFERROR(__xludf.DUMMYFUNCTION("""COMPUTED_VALUE"""),"Adarniya Narendra Kumar Saxena ji मानसिक शान्ति एवं सतोष का मूल-श्रोत : Rare Book : Allocated on 22-Jul-24 Contact Number  8826499188")</f>
        <v>Adarniya Narendra Kumar Saxena ji मानसिक शान्ति एवं सतोष का मूल-श्रोत : Rare Book : Allocated on 22-Jul-24 Contact Number  8826499188</v>
      </c>
      <c r="CH105" s="1" t="str">
        <f ca="1">IFERROR(__xludf.DUMMYFUNCTION("""COMPUTED_VALUE"""),"nksaxena.yoga@gmail.com : मानसिक शान्ति एवं सतोष का मूल-श्रोत : Rare Book")</f>
        <v>nksaxena.yoga@gmail.com : मानसिक शान्ति एवं सतोष का मूल-श्रोत : Rare Book</v>
      </c>
      <c r="CI105" s="5">
        <f ca="1">IFERROR(__xludf.DUMMYFUNCTION("""COMPUTED_VALUE"""),45495.6735002662)</f>
        <v>45495.673500266203</v>
      </c>
    </row>
    <row r="106" spans="1:87" x14ac:dyDescent="0.25">
      <c r="A106" s="5">
        <f ca="1">IFERROR(__xludf.DUMMYFUNCTION("""COMPUTED_VALUE"""),45494.9278651504)</f>
        <v>45494.927865150399</v>
      </c>
      <c r="B106" s="1" t="str">
        <f ca="1">IFERROR(__xludf.DUMMYFUNCTION("""COMPUTED_VALUE"""),"kusumlatarai24@gmail.com")</f>
        <v>kusumlatarai24@gmail.com</v>
      </c>
      <c r="C106" s="1" t="str">
        <f ca="1">IFERROR(__xludf.DUMMYFUNCTION("""COMPUTED_VALUE"""),"Kusum Lata Rai ")</f>
        <v xml:space="preserve">Kusum Lata Rai </v>
      </c>
      <c r="D106" s="1">
        <f ca="1">IFERROR(__xludf.DUMMYFUNCTION("""COMPUTED_VALUE"""),9336508442)</f>
        <v>9336508442</v>
      </c>
      <c r="E106" s="1" t="str">
        <f ca="1">IFERROR(__xludf.DUMMYFUNCTION("""COMPUTED_VALUE"""),"Yes")</f>
        <v>Yes</v>
      </c>
      <c r="F106" s="1" t="str">
        <f ca="1">IFERROR(__xludf.DUMMYFUNCTION("""COMPUTED_VALUE"""),"हिन्दी")</f>
        <v>हिन्दी</v>
      </c>
      <c r="G106" s="1" t="str">
        <f ca="1">IFERROR(__xludf.DUMMYFUNCTION("""COMPUTED_VALUE"""),"भारतीय संस्कृति")</f>
        <v>भारतीय संस्कृति</v>
      </c>
      <c r="H106" s="1"/>
      <c r="I106" s="1"/>
      <c r="J106" s="1"/>
      <c r="K106" s="1"/>
      <c r="L106" s="1"/>
      <c r="M106" s="1"/>
      <c r="N106" s="1"/>
      <c r="O106" s="1" t="str">
        <f ca="1">IFERROR(__xludf.DUMMYFUNCTION("""COMPUTED_VALUE"""),"भारतीय संस्कृति")</f>
        <v>भारतीय संस्कृति</v>
      </c>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f ca="1">IFERROR(__xludf.DUMMYFUNCTION("""COMPUTED_VALUE"""),5)</f>
        <v>5</v>
      </c>
      <c r="BX106" s="1">
        <f ca="1">IFERROR(__xludf.DUMMYFUNCTION("""COMPUTED_VALUE"""),1)</f>
        <v>1</v>
      </c>
      <c r="BY106" s="1">
        <f ca="1">IFERROR(__xludf.DUMMYFUNCTION("""COMPUTED_VALUE"""),4)</f>
        <v>4</v>
      </c>
      <c r="BZ106" s="1">
        <f ca="1">IFERROR(__xludf.DUMMYFUNCTION("""COMPUTED_VALUE"""),1)</f>
        <v>1</v>
      </c>
      <c r="CA106" s="1"/>
      <c r="CB106" s="1"/>
      <c r="CC106" s="1" t="str">
        <f ca="1">IFERROR(__xludf.DUMMYFUNCTION("""COMPUTED_VALUE"""),"पंचमुखी गायत्री के पाँच दिव्य वरदान : Rare Book")</f>
        <v>पंचमुखी गायत्री के पाँच दिव्य वरदान : Rare Book</v>
      </c>
      <c r="CD106" s="3" t="str">
        <f ca="1">IFERROR(__xludf.DUMMYFUNCTION("""COMPUTED_VALUE"""),"https://vicharkrantibooks.org/productdetail?book_name=HINP0616_PANCHAMUKHI_GAYATRI_KE_PANCH_DIVY_VARADAN_xx1982&amp;product_id=1181")</f>
        <v>https://vicharkrantibooks.org/productdetail?book_name=HINP0616_PANCHAMUKHI_GAYATRI_KE_PANCH_DIVY_VARADAN_xx1982&amp;product_id=1181</v>
      </c>
      <c r="CE106" s="1" t="str">
        <f ca="1">IFERROR(__xludf.DUMMYFUNCTION("""COMPUTED_VALUE"""),"Audiobook : पंचमुखी गायत्री के पाँच दिव्य वरदान : Rare Book : kusumlatarai24@gmail.com : Recorded")</f>
        <v>Audiobook : पंचमुखी गायत्री के पाँच दिव्य वरदान : Rare Book : kusumlatarai24@gmail.com : Recorded</v>
      </c>
      <c r="CF106" s="1" t="str">
        <f ca="1">IFERROR(__xludf.DUMMYFUNCTION("""COMPUTED_VALUE"""),"#N/A")</f>
        <v>#N/A</v>
      </c>
      <c r="CG106" s="1" t="str">
        <f ca="1">IFERROR(__xludf.DUMMYFUNCTION("""COMPUTED_VALUE"""),"Adarniya Kusum Lata Rai  ji पंचमुखी गायत्री के पाँच दिव्य वरदान : Rare Book : Allocated on 21-Jul-24 Contact Number  9336508442")</f>
        <v>Adarniya Kusum Lata Rai  ji पंचमुखी गायत्री के पाँच दिव्य वरदान : Rare Book : Allocated on 21-Jul-24 Contact Number  9336508442</v>
      </c>
      <c r="CH106" s="1" t="str">
        <f ca="1">IFERROR(__xludf.DUMMYFUNCTION("""COMPUTED_VALUE"""),"kusumlatarai24@gmail.com : पंचमुखी गायत्री के पाँच दिव्य वरदान : Rare Book")</f>
        <v>kusumlatarai24@gmail.com : पंचमुखी गायत्री के पाँच दिव्य वरदान : Rare Book</v>
      </c>
      <c r="CI106" s="5">
        <f ca="1">IFERROR(__xludf.DUMMYFUNCTION("""COMPUTED_VALUE"""),45494.9278651504)</f>
        <v>45494.927865150399</v>
      </c>
    </row>
    <row r="107" spans="1:87" x14ac:dyDescent="0.25">
      <c r="A107" s="5">
        <f ca="1">IFERROR(__xludf.DUMMYFUNCTION("""COMPUTED_VALUE"""),45494.7524449768)</f>
        <v>45494.752444976803</v>
      </c>
      <c r="B107" s="1" t="str">
        <f ca="1">IFERROR(__xludf.DUMMYFUNCTION("""COMPUTED_VALUE"""),"druma4107@gmail.com")</f>
        <v>druma4107@gmail.com</v>
      </c>
      <c r="C107" s="1" t="str">
        <f ca="1">IFERROR(__xludf.DUMMYFUNCTION("""COMPUTED_VALUE"""),"Dr Uma Agrawal ")</f>
        <v xml:space="preserve">Dr Uma Agrawal </v>
      </c>
      <c r="D107" s="1">
        <f ca="1">IFERROR(__xludf.DUMMYFUNCTION("""COMPUTED_VALUE"""),9410861182)</f>
        <v>9410861182</v>
      </c>
      <c r="E107" s="1" t="str">
        <f ca="1">IFERROR(__xludf.DUMMYFUNCTION("""COMPUTED_VALUE"""),"Yes")</f>
        <v>Yes</v>
      </c>
      <c r="F107" s="1" t="str">
        <f ca="1">IFERROR(__xludf.DUMMYFUNCTION("""COMPUTED_VALUE"""),"हिन्दी")</f>
        <v>हिन्दी</v>
      </c>
      <c r="G107" s="1" t="str">
        <f ca="1">IFERROR(__xludf.DUMMYFUNCTION("""COMPUTED_VALUE"""),"जीवन प्रबंध")</f>
        <v>जीवन प्रबंध</v>
      </c>
      <c r="H107" s="1"/>
      <c r="I107" s="1"/>
      <c r="J107" s="1"/>
      <c r="K107" s="1"/>
      <c r="L107" s="1" t="str">
        <f ca="1">IFERROR(__xludf.DUMMYFUNCTION("""COMPUTED_VALUE"""),"मन की शक्ति एवं मनोविज्ञान")</f>
        <v>मन की शक्ति एवं मनोविज्ञान</v>
      </c>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f ca="1">IFERROR(__xludf.DUMMYFUNCTION("""COMPUTED_VALUE"""),104)</f>
        <v>104</v>
      </c>
      <c r="BX107" s="1">
        <f ca="1">IFERROR(__xludf.DUMMYFUNCTION("""COMPUTED_VALUE"""),106)</f>
        <v>106</v>
      </c>
      <c r="BY107" s="1">
        <f ca="1">IFERROR(__xludf.DUMMYFUNCTION("""COMPUTED_VALUE"""),9)</f>
        <v>9</v>
      </c>
      <c r="BZ107" s="1">
        <f ca="1">IFERROR(__xludf.DUMMYFUNCTION("""COMPUTED_VALUE"""),43)</f>
        <v>43</v>
      </c>
      <c r="CA107" s="1"/>
      <c r="CB107" s="1"/>
      <c r="CC107" s="1" t="str">
        <f ca="1">IFERROR(__xludf.DUMMYFUNCTION("""COMPUTED_VALUE"""),"मानव में देवत्व का उदय समय की माँग : Rare Book")</f>
        <v>मानव में देवत्व का उदय समय की माँग : Rare Book</v>
      </c>
      <c r="CD107" s="3" t="str">
        <f ca="1">IFERROR(__xludf.DUMMYFUNCTION("""COMPUTED_VALUE"""),"https://vicharkrantibooks.org/productdetail?book_name=HINP0501_MANAV_MEIN_DEVATV_KA_UDAY_SAMAY_KI_MANG_xx1981&amp;product_id=1066")</f>
        <v>https://vicharkrantibooks.org/productdetail?book_name=HINP0501_MANAV_MEIN_DEVATV_KA_UDAY_SAMAY_KI_MANG_xx1981&amp;product_id=1066</v>
      </c>
      <c r="CE107" s="1" t="str">
        <f ca="1">IFERROR(__xludf.DUMMYFUNCTION("""COMPUTED_VALUE"""),"Audiobook : मानव में देवत्व का उदय समय की माँग : Rare Book : druma4107@gmail.com : Recorded")</f>
        <v>Audiobook : मानव में देवत्व का उदय समय की माँग : Rare Book : druma4107@gmail.com : Recorded</v>
      </c>
      <c r="CF107" s="1" t="str">
        <f ca="1">IFERROR(__xludf.DUMMYFUNCTION("""COMPUTED_VALUE"""),"Audiobook : मानव में देवत्व का उदय समय की माँग : Rare Book : druma4107@gmail.com : Recorded")</f>
        <v>Audiobook : मानव में देवत्व का उदय समय की माँग : Rare Book : druma4107@gmail.com : Recorded</v>
      </c>
      <c r="CG107" s="1" t="str">
        <f ca="1">IFERROR(__xludf.DUMMYFUNCTION("""COMPUTED_VALUE"""),"Adarniya Dr Uma Agrawal  ji मानव में देवत्व का उदय समय की माँग : Rare Book : Allocated on 21-Jul-24 Contact Number  9410861182")</f>
        <v>Adarniya Dr Uma Agrawal  ji मानव में देवत्व का उदय समय की माँग : Rare Book : Allocated on 21-Jul-24 Contact Number  9410861182</v>
      </c>
      <c r="CH107" s="1" t="str">
        <f ca="1">IFERROR(__xludf.DUMMYFUNCTION("""COMPUTED_VALUE"""),"druma4107@gmail.com : मानव में देवत्व का उदय समय की माँग : Rare Book")</f>
        <v>druma4107@gmail.com : मानव में देवत्व का उदय समय की माँग : Rare Book</v>
      </c>
      <c r="CI107" s="5">
        <f ca="1">IFERROR(__xludf.DUMMYFUNCTION("""COMPUTED_VALUE"""),45494.7524449768)</f>
        <v>45494.752444976803</v>
      </c>
    </row>
    <row r="108" spans="1:87" x14ac:dyDescent="0.25">
      <c r="A108" s="5">
        <f ca="1">IFERROR(__xludf.DUMMYFUNCTION("""COMPUTED_VALUE"""),45494.7266731134)</f>
        <v>45494.7266731134</v>
      </c>
      <c r="B108" s="1" t="str">
        <f ca="1">IFERROR(__xludf.DUMMYFUNCTION("""COMPUTED_VALUE"""),"dave.chhaya@gmail.com")</f>
        <v>dave.chhaya@gmail.com</v>
      </c>
      <c r="C108" s="1" t="str">
        <f ca="1">IFERROR(__xludf.DUMMYFUNCTION("""COMPUTED_VALUE"""),"Chhaya Deepak Dave ")</f>
        <v xml:space="preserve">Chhaya Deepak Dave </v>
      </c>
      <c r="D108" s="1">
        <f ca="1">IFERROR(__xludf.DUMMYFUNCTION("""COMPUTED_VALUE"""),9879596556)</f>
        <v>9879596556</v>
      </c>
      <c r="E108" s="1" t="str">
        <f ca="1">IFERROR(__xludf.DUMMYFUNCTION("""COMPUTED_VALUE"""),"Yes")</f>
        <v>Yes</v>
      </c>
      <c r="F108" s="1" t="str">
        <f ca="1">IFERROR(__xludf.DUMMYFUNCTION("""COMPUTED_VALUE"""),"English")</f>
        <v>English</v>
      </c>
      <c r="G108" s="1" t="str">
        <f ca="1">IFERROR(__xludf.DUMMYFUNCTION("""COMPUTED_VALUE"""),"English")</f>
        <v>English</v>
      </c>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f ca="1">IFERROR(__xludf.DUMMYFUNCTION("""COMPUTED_VALUE"""),46)</f>
        <v>46</v>
      </c>
      <c r="BX108" s="1">
        <f ca="1">IFERROR(__xludf.DUMMYFUNCTION("""COMPUTED_VALUE"""),39)</f>
        <v>39</v>
      </c>
      <c r="BY108" s="1">
        <f ca="1">IFERROR(__xludf.DUMMYFUNCTION("""COMPUTED_VALUE"""),6)</f>
        <v>6</v>
      </c>
      <c r="BZ108" s="1">
        <f ca="1">IFERROR(__xludf.DUMMYFUNCTION("""COMPUTED_VALUE"""),16)</f>
        <v>16</v>
      </c>
      <c r="CA108" s="1"/>
      <c r="CB108" s="1"/>
      <c r="CC108" s="1" t="str">
        <f ca="1">IFERROR(__xludf.DUMMYFUNCTION("""COMPUTED_VALUE"""),"તમાકુ એક દુર્વ્યસન : G_PP_56")</f>
        <v>તમાકુ એક દુર્વ્યસન : G_PP_56</v>
      </c>
      <c r="CD108" s="3" t="str">
        <f ca="1">IFERROR(__xludf.DUMMYFUNCTION("""COMPUTED_VALUE"""),"https://vicharkrantibooks.org/productdetail?product_id=3960")</f>
        <v>https://vicharkrantibooks.org/productdetail?product_id=3960</v>
      </c>
      <c r="CE108" s="1" t="str">
        <f ca="1">IFERROR(__xludf.DUMMYFUNCTION("""COMPUTED_VALUE"""),"Audiobook : તમાકુ એક દુર્વ્યસન : G_PP_56 : dave.chhaya@gmail.com : Recorded")</f>
        <v>Audiobook : તમાકુ એક દુર્વ્યસન : G_PP_56 : dave.chhaya@gmail.com : Recorded</v>
      </c>
      <c r="CF108" s="1" t="str">
        <f ca="1">IFERROR(__xludf.DUMMYFUNCTION("""COMPUTED_VALUE"""),"Audiobook : તમાકુ એક દુર્વ્યસન : G_PP_56 : dave.chhaya@gmail.com : Recorded")</f>
        <v>Audiobook : તમાકુ એક દુર્વ્યસન : G_PP_56 : dave.chhaya@gmail.com : Recorded</v>
      </c>
      <c r="CG108" s="1" t="str">
        <f ca="1">IFERROR(__xludf.DUMMYFUNCTION("""COMPUTED_VALUE"""),"Adarniya Chhaya Deepak Dave  ji તમાકુ એક દુર્વ્યસન : G_PP_56 : Allocated on 21-Jul-24 Contact Number  9879596556")</f>
        <v>Adarniya Chhaya Deepak Dave  ji તમાકુ એક દુર્વ્યસન : G_PP_56 : Allocated on 21-Jul-24 Contact Number  9879596556</v>
      </c>
      <c r="CH108" s="1" t="str">
        <f ca="1">IFERROR(__xludf.DUMMYFUNCTION("""COMPUTED_VALUE"""),"dave.chhaya@gmail.com : તમાકુ એક દુર્વ્યસન : G_PP_56")</f>
        <v>dave.chhaya@gmail.com : તમાકુ એક દુર્વ્યસન : G_PP_56</v>
      </c>
      <c r="CI108" s="5">
        <f ca="1">IFERROR(__xludf.DUMMYFUNCTION("""COMPUTED_VALUE"""),45494.7266731134)</f>
        <v>45494.7266731134</v>
      </c>
    </row>
    <row r="109" spans="1:87" x14ac:dyDescent="0.25">
      <c r="A109" s="5">
        <f ca="1">IFERROR(__xludf.DUMMYFUNCTION("""COMPUTED_VALUE"""),45494.0495549074)</f>
        <v>45494.049554907397</v>
      </c>
      <c r="B109" s="1" t="str">
        <f ca="1">IFERROR(__xludf.DUMMYFUNCTION("""COMPUTED_VALUE"""),"sanjayneha1@yahoo.com")</f>
        <v>sanjayneha1@yahoo.com</v>
      </c>
      <c r="C109" s="1" t="str">
        <f ca="1">IFERROR(__xludf.DUMMYFUNCTION("""COMPUTED_VALUE"""),"Neha Manocha")</f>
        <v>Neha Manocha</v>
      </c>
      <c r="D109" s="1">
        <f ca="1">IFERROR(__xludf.DUMMYFUNCTION("""COMPUTED_VALUE"""),16174130446)</f>
        <v>16174130446</v>
      </c>
      <c r="E109" s="1" t="str">
        <f ca="1">IFERROR(__xludf.DUMMYFUNCTION("""COMPUTED_VALUE"""),"Yes")</f>
        <v>Yes</v>
      </c>
      <c r="F109" s="1" t="str">
        <f ca="1">IFERROR(__xludf.DUMMYFUNCTION("""COMPUTED_VALUE"""),"हिन्दी or English")</f>
        <v>हिन्दी or English</v>
      </c>
      <c r="G109" s="1" t="str">
        <f ca="1">IFERROR(__xludf.DUMMYFUNCTION("""COMPUTED_VALUE"""),"जीवन प्रबंध")</f>
        <v>जीवन प्रबंध</v>
      </c>
      <c r="H109" s="1"/>
      <c r="I109" s="1"/>
      <c r="J109" s="1"/>
      <c r="K109" s="1"/>
      <c r="L109" s="1" t="str">
        <f ca="1">IFERROR(__xludf.DUMMYFUNCTION("""COMPUTED_VALUE"""),"मन की शक्ति एवं मनोविज्ञान")</f>
        <v>मन की शक्ति एवं मनोविज्ञान</v>
      </c>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f ca="1">IFERROR(__xludf.DUMMYFUNCTION("""COMPUTED_VALUE"""),33)</f>
        <v>33</v>
      </c>
      <c r="BX109" s="1">
        <f ca="1">IFERROR(__xludf.DUMMYFUNCTION("""COMPUTED_VALUE"""),40)</f>
        <v>40</v>
      </c>
      <c r="BY109" s="1">
        <f ca="1">IFERROR(__xludf.DUMMYFUNCTION("""COMPUTED_VALUE"""),3)</f>
        <v>3</v>
      </c>
      <c r="BZ109" s="1">
        <f ca="1">IFERROR(__xludf.DUMMYFUNCTION("""COMPUTED_VALUE"""),22)</f>
        <v>22</v>
      </c>
      <c r="CA109" s="1"/>
      <c r="CB109" s="1"/>
      <c r="CC109" s="1" t="str">
        <f ca="1">IFERROR(__xludf.DUMMYFUNCTION("""COMPUTED_VALUE"""),"मानव में देवत्व का अवतरण : Rare Book")</f>
        <v>मानव में देवत्व का अवतरण : Rare Book</v>
      </c>
      <c r="CD109" s="3" t="str">
        <f ca="1">IFERROR(__xludf.DUMMYFUNCTION("""COMPUTED_VALUE"""),"https://vicharkrantibooks.org/productdetail?book_name=HINP0500_MANAV_MEIN_DEVATV_KA_AVATARAN_xxyyyy&amp;product_id=1065")</f>
        <v>https://vicharkrantibooks.org/productdetail?book_name=HINP0500_MANAV_MEIN_DEVATV_KA_AVATARAN_xxyyyy&amp;product_id=1065</v>
      </c>
      <c r="CE109" s="1" t="str">
        <f ca="1">IFERROR(__xludf.DUMMYFUNCTION("""COMPUTED_VALUE"""),"Audiobook : मानव में देवत्व का अवतरण : Rare Book : sanjayneha1@yahoo.com : Recorded")</f>
        <v>Audiobook : मानव में देवत्व का अवतरण : Rare Book : sanjayneha1@yahoo.com : Recorded</v>
      </c>
      <c r="CF109" s="1" t="str">
        <f ca="1">IFERROR(__xludf.DUMMYFUNCTION("""COMPUTED_VALUE"""),"Audiobook : मानव में देवत्व का अवतरण : Rare Book : sanjayneha1@yahoo.com : Recorded")</f>
        <v>Audiobook : मानव में देवत्व का अवतरण : Rare Book : sanjayneha1@yahoo.com : Recorded</v>
      </c>
      <c r="CG109" s="1" t="str">
        <f ca="1">IFERROR(__xludf.DUMMYFUNCTION("""COMPUTED_VALUE"""),"Adarniya Neha Manocha ji मानव में देवत्व का अवतरण : Rare Book : Allocated on 21-Jul-24 Contact Number  16174130446")</f>
        <v>Adarniya Neha Manocha ji मानव में देवत्व का अवतरण : Rare Book : Allocated on 21-Jul-24 Contact Number  16174130446</v>
      </c>
      <c r="CH109" s="1" t="str">
        <f ca="1">IFERROR(__xludf.DUMMYFUNCTION("""COMPUTED_VALUE"""),"sanjayneha1@yahoo.com : मानव में देवत्व का अवतरण : Rare Book")</f>
        <v>sanjayneha1@yahoo.com : मानव में देवत्व का अवतरण : Rare Book</v>
      </c>
      <c r="CI109" s="5">
        <f ca="1">IFERROR(__xludf.DUMMYFUNCTION("""COMPUTED_VALUE"""),45494.0495549074)</f>
        <v>45494.049554907397</v>
      </c>
    </row>
    <row r="110" spans="1:87" x14ac:dyDescent="0.25">
      <c r="A110" s="5">
        <f ca="1">IFERROR(__xludf.DUMMYFUNCTION("""COMPUTED_VALUE"""),45491.9111637615)</f>
        <v>45491.911163761499</v>
      </c>
      <c r="B110" s="1" t="str">
        <f ca="1">IFERROR(__xludf.DUMMYFUNCTION("""COMPUTED_VALUE"""),"dave.chhaya@gmail.com")</f>
        <v>dave.chhaya@gmail.com</v>
      </c>
      <c r="C110" s="1" t="str">
        <f ca="1">IFERROR(__xludf.DUMMYFUNCTION("""COMPUTED_VALUE"""),"Chhaya Deepak Dave ")</f>
        <v xml:space="preserve">Chhaya Deepak Dave </v>
      </c>
      <c r="D110" s="1">
        <f ca="1">IFERROR(__xludf.DUMMYFUNCTION("""COMPUTED_VALUE"""),9879596556)</f>
        <v>9879596556</v>
      </c>
      <c r="E110" s="1" t="str">
        <f ca="1">IFERROR(__xludf.DUMMYFUNCTION("""COMPUTED_VALUE"""),"Yes")</f>
        <v>Yes</v>
      </c>
      <c r="F110" s="1" t="str">
        <f ca="1">IFERROR(__xludf.DUMMYFUNCTION("""COMPUTED_VALUE"""),"गुजराती")</f>
        <v>गुजराती</v>
      </c>
      <c r="G110" s="1" t="str">
        <f ca="1">IFERROR(__xludf.DUMMYFUNCTION("""COMPUTED_VALUE"""),"संस्कार, कर्मकाण्ड, पाठ, पूजा, गीत-संगीत")</f>
        <v>संस्कार, कर्मकाण्ड, पाठ, पूजा, गीत-संगीत</v>
      </c>
      <c r="H110" s="1"/>
      <c r="I110" s="1"/>
      <c r="J110" s="1"/>
      <c r="K110" s="1"/>
      <c r="L110" s="1"/>
      <c r="M110" s="1"/>
      <c r="N110" s="1"/>
      <c r="O110" s="1"/>
      <c r="P110" s="1"/>
      <c r="Q110" s="1"/>
      <c r="R110" s="1"/>
      <c r="S110" s="1"/>
      <c r="T110" s="1"/>
      <c r="U110" s="1"/>
      <c r="V110" s="1"/>
      <c r="W110" s="1" t="str">
        <f ca="1">IFERROR(__xludf.DUMMYFUNCTION("""COMPUTED_VALUE"""),"पर्व-त्यौहार, कर्मकाण्ड")</f>
        <v>पर्व-त्यौहार, कर्मकाण्ड</v>
      </c>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t="str">
        <f ca="1">IFERROR(__xludf.DUMMYFUNCTION("""COMPUTED_VALUE"""),"युग परिवर्तन में समर्थ दीपयज्ञ")</f>
        <v>युग परिवर्तन में समर्थ दीपयज्ञ</v>
      </c>
      <c r="BH110" s="1"/>
      <c r="BI110" s="1"/>
      <c r="BJ110" s="1"/>
      <c r="BK110" s="1"/>
      <c r="BL110" s="1"/>
      <c r="BM110" s="1"/>
      <c r="BN110" s="1"/>
      <c r="BO110" s="1"/>
      <c r="BP110" s="1"/>
      <c r="BQ110" s="1"/>
      <c r="BR110" s="1"/>
      <c r="BS110" s="1"/>
      <c r="BT110" s="1"/>
      <c r="BU110" s="1"/>
      <c r="BV110" s="1"/>
      <c r="BW110" s="1">
        <f ca="1">IFERROR(__xludf.DUMMYFUNCTION("""COMPUTED_VALUE"""),46)</f>
        <v>46</v>
      </c>
      <c r="BX110" s="1">
        <f ca="1">IFERROR(__xludf.DUMMYFUNCTION("""COMPUTED_VALUE"""),39)</f>
        <v>39</v>
      </c>
      <c r="BY110" s="1">
        <f ca="1">IFERROR(__xludf.DUMMYFUNCTION("""COMPUTED_VALUE"""),6)</f>
        <v>6</v>
      </c>
      <c r="BZ110" s="1">
        <f ca="1">IFERROR(__xludf.DUMMYFUNCTION("""COMPUTED_VALUE"""),16)</f>
        <v>16</v>
      </c>
      <c r="CA110" s="1"/>
      <c r="CB110" s="1"/>
      <c r="CC110" s="1" t="str">
        <f ca="1">IFERROR(__xludf.DUMMYFUNCTION("""COMPUTED_VALUE"""),"દેવો આપણને શું આપે શકે છે ? : G_JS_83")</f>
        <v>દેવો આપણને શું આપે શકે છે ? : G_JS_83</v>
      </c>
      <c r="CD110" s="3" t="str">
        <f ca="1">IFERROR(__xludf.DUMMYFUNCTION("""COMPUTED_VALUE"""),"https://vicharkrantibooks.org/productdetail?product_id=3808")</f>
        <v>https://vicharkrantibooks.org/productdetail?product_id=3808</v>
      </c>
      <c r="CE110" s="1" t="str">
        <f ca="1">IFERROR(__xludf.DUMMYFUNCTION("""COMPUTED_VALUE"""),"Audiobook : દેવો આપણને શું આપે શકે છે ? : G_JS_83 : dave.chhaya@gmail.com : Recorded")</f>
        <v>Audiobook : દેવો આપણને શું આપે શકે છે ? : G_JS_83 : dave.chhaya@gmail.com : Recorded</v>
      </c>
      <c r="CF110" s="1" t="str">
        <f ca="1">IFERROR(__xludf.DUMMYFUNCTION("""COMPUTED_VALUE"""),"Audiobook : દેવો આપણને શું આપે શકે છે ? : G_JS_83 : dave.chhaya@gmail.com : Recorded")</f>
        <v>Audiobook : દેવો આપણને શું આપે શકે છે ? : G_JS_83 : dave.chhaya@gmail.com : Recorded</v>
      </c>
      <c r="CG110" s="1" t="str">
        <f ca="1">IFERROR(__xludf.DUMMYFUNCTION("""COMPUTED_VALUE"""),"Adarniya Chhaya Deepak Dave  ji દેવો આપણને શું આપે શકે છે ? : G_JS_83 : Allocated on 18-Jul-24 Contact Number  9879596556")</f>
        <v>Adarniya Chhaya Deepak Dave  ji દેવો આપણને શું આપે શકે છે ? : G_JS_83 : Allocated on 18-Jul-24 Contact Number  9879596556</v>
      </c>
      <c r="CH110" s="1" t="str">
        <f ca="1">IFERROR(__xludf.DUMMYFUNCTION("""COMPUTED_VALUE"""),"dave.chhaya@gmail.com : દેવો આપણને શું આપે શકે છે ? : G_JS_83")</f>
        <v>dave.chhaya@gmail.com : દેવો આપણને શું આપે શકે છે ? : G_JS_83</v>
      </c>
      <c r="CI110" s="5">
        <f ca="1">IFERROR(__xludf.DUMMYFUNCTION("""COMPUTED_VALUE"""),45491.9111637615)</f>
        <v>45491.911163761499</v>
      </c>
    </row>
    <row r="111" spans="1:87" x14ac:dyDescent="0.25">
      <c r="A111" s="5">
        <f ca="1">IFERROR(__xludf.DUMMYFUNCTION("""COMPUTED_VALUE"""),45491.6419330439)</f>
        <v>45491.641933043902</v>
      </c>
      <c r="B111" s="1" t="str">
        <f ca="1">IFERROR(__xludf.DUMMYFUNCTION("""COMPUTED_VALUE"""),"rajniverma24.vns@gmail.com")</f>
        <v>rajniverma24.vns@gmail.com</v>
      </c>
      <c r="C111" s="1" t="str">
        <f ca="1">IFERROR(__xludf.DUMMYFUNCTION("""COMPUTED_VALUE"""),"Rajni varma")</f>
        <v>Rajni varma</v>
      </c>
      <c r="D111" s="1">
        <f ca="1">IFERROR(__xludf.DUMMYFUNCTION("""COMPUTED_VALUE"""),9335661433)</f>
        <v>9335661433</v>
      </c>
      <c r="E111" s="1" t="str">
        <f ca="1">IFERROR(__xludf.DUMMYFUNCTION("""COMPUTED_VALUE"""),"No")</f>
        <v>No</v>
      </c>
      <c r="F111" s="1" t="str">
        <f ca="1">IFERROR(__xludf.DUMMYFUNCTION("""COMPUTED_VALUE"""),"हिन्दी")</f>
        <v>हिन्दी</v>
      </c>
      <c r="G111" s="1" t="str">
        <f ca="1">IFERROR(__xludf.DUMMYFUNCTION("""COMPUTED_VALUE"""),"भारतीय संस्कृति")</f>
        <v>भारतीय संस्कृति</v>
      </c>
      <c r="H111" s="1"/>
      <c r="I111" s="1"/>
      <c r="J111" s="1"/>
      <c r="K111" s="1"/>
      <c r="L111" s="1"/>
      <c r="M111" s="1"/>
      <c r="N111" s="1"/>
      <c r="O111" s="1" t="str">
        <f ca="1">IFERROR(__xludf.DUMMYFUNCTION("""COMPUTED_VALUE"""),"भारतीय संस्कृति")</f>
        <v>भारतीय संस्कृति</v>
      </c>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f ca="1">IFERROR(__xludf.DUMMYFUNCTION("""COMPUTED_VALUE"""),9)</f>
        <v>9</v>
      </c>
      <c r="BX111" s="1">
        <f ca="1">IFERROR(__xludf.DUMMYFUNCTION("""COMPUTED_VALUE"""),6)</f>
        <v>6</v>
      </c>
      <c r="BY111" s="1">
        <f ca="1">IFERROR(__xludf.DUMMYFUNCTION("""COMPUTED_VALUE"""),3)</f>
        <v>3</v>
      </c>
      <c r="BZ111" s="1">
        <f ca="1">IFERROR(__xludf.DUMMYFUNCTION("""COMPUTED_VALUE"""),1)</f>
        <v>1</v>
      </c>
      <c r="CA111" s="1"/>
      <c r="CB111" s="1"/>
      <c r="CC111" s="1" t="str">
        <f ca="1">IFERROR(__xludf.DUMMYFUNCTION("""COMPUTED_VALUE"""),"नारियों की गायत्री साधना : Rare Book")</f>
        <v>नारियों की गायत्री साधना : Rare Book</v>
      </c>
      <c r="CD111" s="3" t="str">
        <f ca="1">IFERROR(__xludf.DUMMYFUNCTION("""COMPUTED_VALUE"""),"https://vicharkrantibooks.org/productdetail?book_name=HINP0590_NARIYON_KI_GAYATRI_SADHANA_xxyyyy&amp;product_id=1155")</f>
        <v>https://vicharkrantibooks.org/productdetail?book_name=HINP0590_NARIYON_KI_GAYATRI_SADHANA_xxyyyy&amp;product_id=1155</v>
      </c>
      <c r="CE111" s="1" t="str">
        <f ca="1">IFERROR(__xludf.DUMMYFUNCTION("""COMPUTED_VALUE"""),"Audiobook : नारियों की गायत्री साधना : Rare Book : rajniverma24.vns@gmail.com : Recorded")</f>
        <v>Audiobook : नारियों की गायत्री साधना : Rare Book : rajniverma24.vns@gmail.com : Recorded</v>
      </c>
      <c r="CF111" s="1" t="str">
        <f ca="1">IFERROR(__xludf.DUMMYFUNCTION("""COMPUTED_VALUE"""),"Audiobook : नारियों की गायत्री साधना : Rare Book : rajniverma24.vns@gmail.com : Recorded")</f>
        <v>Audiobook : नारियों की गायत्री साधना : Rare Book : rajniverma24.vns@gmail.com : Recorded</v>
      </c>
      <c r="CG111" s="1" t="str">
        <f ca="1">IFERROR(__xludf.DUMMYFUNCTION("""COMPUTED_VALUE"""),"Adarniya Rajni varma ji नारियों की गायत्री साधना : Rare Book : Allocated on 18-Jul-24 Contact Number  9335661433")</f>
        <v>Adarniya Rajni varma ji नारियों की गायत्री साधना : Rare Book : Allocated on 18-Jul-24 Contact Number  9335661433</v>
      </c>
      <c r="CH111" s="1" t="str">
        <f ca="1">IFERROR(__xludf.DUMMYFUNCTION("""COMPUTED_VALUE"""),"rajniverma24.vns@gmail.com : नारियों की गायत्री साधना : Rare Book")</f>
        <v>rajniverma24.vns@gmail.com : नारियों की गायत्री साधना : Rare Book</v>
      </c>
      <c r="CI111" s="5">
        <f ca="1">IFERROR(__xludf.DUMMYFUNCTION("""COMPUTED_VALUE"""),45491.6419330439)</f>
        <v>45491.641933043902</v>
      </c>
    </row>
    <row r="112" spans="1:87" x14ac:dyDescent="0.25">
      <c r="A112" s="5">
        <f ca="1">IFERROR(__xludf.DUMMYFUNCTION("""COMPUTED_VALUE"""),45491.5043135879)</f>
        <v>45491.504313587902</v>
      </c>
      <c r="B112" s="1" t="str">
        <f ca="1">IFERROR(__xludf.DUMMYFUNCTION("""COMPUTED_VALUE"""),"vandana15rastogi@gmail.com")</f>
        <v>vandana15rastogi@gmail.com</v>
      </c>
      <c r="C112" s="1" t="str">
        <f ca="1">IFERROR(__xludf.DUMMYFUNCTION("""COMPUTED_VALUE"""),"Vandana Rastogi ")</f>
        <v xml:space="preserve">Vandana Rastogi </v>
      </c>
      <c r="D112" s="1">
        <f ca="1">IFERROR(__xludf.DUMMYFUNCTION("""COMPUTED_VALUE"""),9359528684)</f>
        <v>9359528684</v>
      </c>
      <c r="E112" s="1" t="str">
        <f ca="1">IFERROR(__xludf.DUMMYFUNCTION("""COMPUTED_VALUE"""),"Yes")</f>
        <v>Yes</v>
      </c>
      <c r="F112" s="1" t="str">
        <f ca="1">IFERROR(__xludf.DUMMYFUNCTION("""COMPUTED_VALUE"""),"हिन्दी")</f>
        <v>हिन्दी</v>
      </c>
      <c r="G112" s="1"/>
      <c r="H112" s="1" t="str">
        <f ca="1">IFERROR(__xludf.DUMMYFUNCTION("""COMPUTED_VALUE"""),"अध्यात्म, धर्म एवं आस्तिकता")</f>
        <v>अध्यात्म, धर्म एवं आस्तिकता</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f ca="1">IFERROR(__xludf.DUMMYFUNCTION("""COMPUTED_VALUE"""),33)</f>
        <v>33</v>
      </c>
      <c r="BX112" s="1">
        <f ca="1">IFERROR(__xludf.DUMMYFUNCTION("""COMPUTED_VALUE"""),19)</f>
        <v>19</v>
      </c>
      <c r="BY112" s="1">
        <f ca="1">IFERROR(__xludf.DUMMYFUNCTION("""COMPUTED_VALUE"""),17)</f>
        <v>17</v>
      </c>
      <c r="BZ112" s="1">
        <f ca="1">IFERROR(__xludf.DUMMYFUNCTION("""COMPUTED_VALUE"""),14)</f>
        <v>14</v>
      </c>
      <c r="CA112" s="1"/>
      <c r="CB112" s="1"/>
      <c r="CC112" s="1" t="str">
        <f ca="1">IFERROR(__xludf.DUMMYFUNCTION("""COMPUTED_VALUE"""),"देव संस्कृति की गरिमा और उसके विस्तार की असीम सम्भावनायें! : Rare Book")</f>
        <v>देव संस्कृति की गरिमा और उसके विस्तार की असीम सम्भावनायें! : Rare Book</v>
      </c>
      <c r="CD112" s="3" t="str">
        <f ca="1">IFERROR(__xludf.DUMMYFUNCTION("""COMPUTED_VALUE"""),"https://vicharkrantibooks.org/productdetail?book_name=HINP0215_DEV_SANSKRUTI_KI_GARIMA_AUR_USAKE_VISTAR_KI_ASIM_SAMBHAVANAEN_xx1982&amp;product_id=780")</f>
        <v>https://vicharkrantibooks.org/productdetail?book_name=HINP0215_DEV_SANSKRUTI_KI_GARIMA_AUR_USAKE_VISTAR_KI_ASIM_SAMBHAVANAEN_xx1982&amp;product_id=780</v>
      </c>
      <c r="CE112" s="1" t="str">
        <f ca="1">IFERROR(__xludf.DUMMYFUNCTION("""COMPUTED_VALUE"""),"Audiobook : देव संस्कृति की गरिमा और उसके विस्तार की असीम सम्भावनायें! : Rare Book : vandana15rastogi@gmail.com : Recorded")</f>
        <v>Audiobook : देव संस्कृति की गरिमा और उसके विस्तार की असीम सम्भावनायें! : Rare Book : vandana15rastogi@gmail.com : Recorded</v>
      </c>
      <c r="CF112" s="1" t="str">
        <f ca="1">IFERROR(__xludf.DUMMYFUNCTION("""COMPUTED_VALUE"""),"Audiobook : देव संस्कृति की गरिमा और उसके विस्तार की असीम सम्भावनायें! : Rare Book : vandana15rastogi@gmail.com : Recorded")</f>
        <v>Audiobook : देव संस्कृति की गरिमा और उसके विस्तार की असीम सम्भावनायें! : Rare Book : vandana15rastogi@gmail.com : Recorded</v>
      </c>
      <c r="CG112" s="1" t="str">
        <f ca="1">IFERROR(__xludf.DUMMYFUNCTION("""COMPUTED_VALUE"""),"Adarniya Vandana Rastogi  ji देव संस्कृति की गरिमा और उसके विस्तार की असीम सम्भावनायें! : Rare Book : Allocated on 18-Jul-24 Contact Number  9359528684")</f>
        <v>Adarniya Vandana Rastogi  ji देव संस्कृति की गरिमा और उसके विस्तार की असीम सम्भावनायें! : Rare Book : Allocated on 18-Jul-24 Contact Number  9359528684</v>
      </c>
      <c r="CH112" s="1" t="str">
        <f ca="1">IFERROR(__xludf.DUMMYFUNCTION("""COMPUTED_VALUE"""),"vandana15rastogi@gmail.com : देव संस्कृति की गरिमा और उसके विस्तार की असीम सम्भावनायें! : Rare Book")</f>
        <v>vandana15rastogi@gmail.com : देव संस्कृति की गरिमा और उसके विस्तार की असीम सम्भावनायें! : Rare Book</v>
      </c>
      <c r="CI112" s="5">
        <f ca="1">IFERROR(__xludf.DUMMYFUNCTION("""COMPUTED_VALUE"""),45491.5043135879)</f>
        <v>45491.504313587902</v>
      </c>
    </row>
    <row r="113" spans="1:87" x14ac:dyDescent="0.25">
      <c r="A113" s="5">
        <f ca="1">IFERROR(__xludf.DUMMYFUNCTION("""COMPUTED_VALUE"""),45490.8096525463)</f>
        <v>45490.809652546297</v>
      </c>
      <c r="B113" s="1" t="str">
        <f ca="1">IFERROR(__xludf.DUMMYFUNCTION("""COMPUTED_VALUE"""),"premlatadebi4669@gmail.com")</f>
        <v>premlatadebi4669@gmail.com</v>
      </c>
      <c r="C113" s="1" t="str">
        <f ca="1">IFERROR(__xludf.DUMMYFUNCTION("""COMPUTED_VALUE"""),"Premlata barnwal ")</f>
        <v xml:space="preserve">Premlata barnwal </v>
      </c>
      <c r="D113" s="1">
        <f ca="1">IFERROR(__xludf.DUMMYFUNCTION("""COMPUTED_VALUE"""),9372282030)</f>
        <v>9372282030</v>
      </c>
      <c r="E113" s="1" t="str">
        <f ca="1">IFERROR(__xludf.DUMMYFUNCTION("""COMPUTED_VALUE"""),"Yes")</f>
        <v>Yes</v>
      </c>
      <c r="F113" s="1" t="str">
        <f ca="1">IFERROR(__xludf.DUMMYFUNCTION("""COMPUTED_VALUE"""),"हिन्दी")</f>
        <v>हिन्दी</v>
      </c>
      <c r="G113" s="1" t="str">
        <f ca="1">IFERROR(__xludf.DUMMYFUNCTION("""COMPUTED_VALUE"""),"परिवार निर्माण")</f>
        <v>परिवार निर्माण</v>
      </c>
      <c r="H113" s="1"/>
      <c r="I113" s="1"/>
      <c r="J113" s="1"/>
      <c r="K113" s="1"/>
      <c r="L113" s="1"/>
      <c r="M113" s="1" t="str">
        <f ca="1">IFERROR(__xludf.DUMMYFUNCTION("""COMPUTED_VALUE"""),"परिवार")</f>
        <v>परिवार</v>
      </c>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f ca="1">IFERROR(__xludf.DUMMYFUNCTION("""COMPUTED_VALUE"""),2)</f>
        <v>2</v>
      </c>
      <c r="BX113" s="1">
        <f ca="1">IFERROR(__xludf.DUMMYFUNCTION("""COMPUTED_VALUE"""),0)</f>
        <v>0</v>
      </c>
      <c r="BY113" s="1">
        <f ca="1">IFERROR(__xludf.DUMMYFUNCTION("""COMPUTED_VALUE"""),2)</f>
        <v>2</v>
      </c>
      <c r="BZ113" s="1">
        <f ca="1">IFERROR(__xludf.DUMMYFUNCTION("""COMPUTED_VALUE"""),0)</f>
        <v>0</v>
      </c>
      <c r="CA113" s="1"/>
      <c r="CB113" s="1"/>
      <c r="CC113" s="1" t="str">
        <f ca="1">IFERROR(__xludf.DUMMYFUNCTION("""COMPUTED_VALUE"""),"संतान की संख्या बढाना अत्यंत घातक : Rare Book")</f>
        <v>संतान की संख्या बढाना अत्यंत घातक : Rare Book</v>
      </c>
      <c r="CD113" s="3" t="str">
        <f ca="1">IFERROR(__xludf.DUMMYFUNCTION("""COMPUTED_VALUE"""),"https://vicharkrantibooks.org/productdetail?book_name=HINP0792_SANTAN_KI_SANKHYA_BADHANA_ATYANT_GHATAK_xxyyyy&amp;product_id=1357")</f>
        <v>https://vicharkrantibooks.org/productdetail?book_name=HINP0792_SANTAN_KI_SANKHYA_BADHANA_ATYANT_GHATAK_xxyyyy&amp;product_id=1357</v>
      </c>
      <c r="CE113" s="1" t="str">
        <f ca="1">IFERROR(__xludf.DUMMYFUNCTION("""COMPUTED_VALUE"""),"Audiobook : संतान की संख्या बढाना अत्यंत घातक : Rare Book : premlatadebi4669@gmail.com : Recorded")</f>
        <v>Audiobook : संतान की संख्या बढाना अत्यंत घातक : Rare Book : premlatadebi4669@gmail.com : Recorded</v>
      </c>
      <c r="CF113" s="1" t="str">
        <f ca="1">IFERROR(__xludf.DUMMYFUNCTION("""COMPUTED_VALUE"""),"#N/A")</f>
        <v>#N/A</v>
      </c>
      <c r="CG113" s="1" t="str">
        <f ca="1">IFERROR(__xludf.DUMMYFUNCTION("""COMPUTED_VALUE"""),"Adarniya Premlata barnwal  ji संतान की संख्या बढाना अत्यंत घातक : Rare Book : Allocated on 17-Jul-24 Contact Number  9372282030")</f>
        <v>Adarniya Premlata barnwal  ji संतान की संख्या बढाना अत्यंत घातक : Rare Book : Allocated on 17-Jul-24 Contact Number  9372282030</v>
      </c>
      <c r="CH113" s="1" t="str">
        <f ca="1">IFERROR(__xludf.DUMMYFUNCTION("""COMPUTED_VALUE"""),"premlatadebi4669@gmail.com : संतान की संख्या बढाना अत्यंत घातक : Rare Book")</f>
        <v>premlatadebi4669@gmail.com : संतान की संख्या बढाना अत्यंत घातक : Rare Book</v>
      </c>
      <c r="CI113" s="5">
        <f ca="1">IFERROR(__xludf.DUMMYFUNCTION("""COMPUTED_VALUE"""),45490.8096525463)</f>
        <v>45490.809652546297</v>
      </c>
    </row>
    <row r="114" spans="1:87" x14ac:dyDescent="0.25">
      <c r="A114" s="5">
        <f ca="1">IFERROR(__xludf.DUMMYFUNCTION("""COMPUTED_VALUE"""),45490.7735729745)</f>
        <v>45490.773572974504</v>
      </c>
      <c r="B114" s="1" t="str">
        <f ca="1">IFERROR(__xludf.DUMMYFUNCTION("""COMPUTED_VALUE"""),"jamunashukla17@gmail.com")</f>
        <v>jamunashukla17@gmail.com</v>
      </c>
      <c r="C114" s="1" t="str">
        <f ca="1">IFERROR(__xludf.DUMMYFUNCTION("""COMPUTED_VALUE"""),"J S Shukla ")</f>
        <v xml:space="preserve">J S Shukla </v>
      </c>
      <c r="D114" s="1">
        <f ca="1">IFERROR(__xludf.DUMMYFUNCTION("""COMPUTED_VALUE"""),8390353167)</f>
        <v>8390353167</v>
      </c>
      <c r="E114" s="1" t="str">
        <f ca="1">IFERROR(__xludf.DUMMYFUNCTION("""COMPUTED_VALUE"""),"Yes")</f>
        <v>Yes</v>
      </c>
      <c r="F114" s="1" t="str">
        <f ca="1">IFERROR(__xludf.DUMMYFUNCTION("""COMPUTED_VALUE"""),"हिन्दी")</f>
        <v>हिन्दी</v>
      </c>
      <c r="G114" s="1" t="str">
        <f ca="1">IFERROR(__xludf.DUMMYFUNCTION("""COMPUTED_VALUE"""),"अध्यात्म, धर्म एवं दर्शन")</f>
        <v>अध्यात्म, धर्म एवं दर्शन</v>
      </c>
      <c r="H114" s="1" t="str">
        <f ca="1">IFERROR(__xludf.DUMMYFUNCTION("""COMPUTED_VALUE"""),"अध्यात्म, धर्म एवं आस्तिकता")</f>
        <v>अध्यात्म, धर्म एवं आस्तिकता</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f ca="1">IFERROR(__xludf.DUMMYFUNCTION("""COMPUTED_VALUE"""),53)</f>
        <v>53</v>
      </c>
      <c r="BX114" s="1">
        <f ca="1">IFERROR(__xludf.DUMMYFUNCTION("""COMPUTED_VALUE"""),53)</f>
        <v>53</v>
      </c>
      <c r="BY114" s="1">
        <f ca="1">IFERROR(__xludf.DUMMYFUNCTION("""COMPUTED_VALUE"""),9)</f>
        <v>9</v>
      </c>
      <c r="BZ114" s="1">
        <f ca="1">IFERROR(__xludf.DUMMYFUNCTION("""COMPUTED_VALUE"""),25)</f>
        <v>25</v>
      </c>
      <c r="CA114" s="1"/>
      <c r="CB114" s="1"/>
      <c r="CC114" s="1" t="str">
        <f ca="1">IFERROR(__xludf.DUMMYFUNCTION("""COMPUTED_VALUE"""),"धर्म केंद्र आस्तिकता और सत्प्रवृत्तियाँ जगाएँ : Rare Book")</f>
        <v>धर्म केंद्र आस्तिकता और सत्प्रवृत्तियाँ जगाएँ : Rare Book</v>
      </c>
      <c r="CD114" s="3" t="str">
        <f ca="1">IFERROR(__xludf.DUMMYFUNCTION("""COMPUTED_VALUE"""),"https://vicharkrantibooks.org/productdetail?book_name=HINP1101_DHARM_KENDR_ASTIKATA_AUR_SATPRAVRUTTIYAN_JAGAEN_xxyyyy&amp;product_id=1666")</f>
        <v>https://vicharkrantibooks.org/productdetail?book_name=HINP1101_DHARM_KENDR_ASTIKATA_AUR_SATPRAVRUTTIYAN_JAGAEN_xxyyyy&amp;product_id=1666</v>
      </c>
      <c r="CE114" s="1" t="str">
        <f ca="1">IFERROR(__xludf.DUMMYFUNCTION("""COMPUTED_VALUE"""),"Audiobook : धर्म केंद्र आस्तिकता और सत्प्रवृत्तियाँ जगाएँ : Rare Book : jamunashukla17@gmail.com : Recorded")</f>
        <v>Audiobook : धर्म केंद्र आस्तिकता और सत्प्रवृत्तियाँ जगाएँ : Rare Book : jamunashukla17@gmail.com : Recorded</v>
      </c>
      <c r="CF114" s="1" t="str">
        <f ca="1">IFERROR(__xludf.DUMMYFUNCTION("""COMPUTED_VALUE"""),"Audiobook : धर्म केंद्र आस्तिकता और सत्प्रवृत्तियाँ जगाएँ : Rare Book : jamunashukla17@gmail.com : Recorded")</f>
        <v>Audiobook : धर्म केंद्र आस्तिकता और सत्प्रवृत्तियाँ जगाएँ : Rare Book : jamunashukla17@gmail.com : Recorded</v>
      </c>
      <c r="CG114" s="1" t="str">
        <f ca="1">IFERROR(__xludf.DUMMYFUNCTION("""COMPUTED_VALUE"""),"Adarniya J S Shukla  ji धर्म केंद्र आस्तिकता और सत्प्रवृत्तियाँ जगाएँ : Rare Book : Allocated on 17-Jul-24 Contact Number  8390353167")</f>
        <v>Adarniya J S Shukla  ji धर्म केंद्र आस्तिकता और सत्प्रवृत्तियाँ जगाएँ : Rare Book : Allocated on 17-Jul-24 Contact Number  8390353167</v>
      </c>
      <c r="CH114" s="1" t="str">
        <f ca="1">IFERROR(__xludf.DUMMYFUNCTION("""COMPUTED_VALUE"""),"jamunashukla17@gmail.com : धर्म केंद्र आस्तिकता और सत्प्रवृत्तियाँ जगाएँ : Rare Book")</f>
        <v>jamunashukla17@gmail.com : धर्म केंद्र आस्तिकता और सत्प्रवृत्तियाँ जगाएँ : Rare Book</v>
      </c>
      <c r="CI114" s="5">
        <f ca="1">IFERROR(__xludf.DUMMYFUNCTION("""COMPUTED_VALUE"""),45490.7735729745)</f>
        <v>45490.773572974504</v>
      </c>
    </row>
    <row r="115" spans="1:87" x14ac:dyDescent="0.25">
      <c r="A115" s="5">
        <f ca="1">IFERROR(__xludf.DUMMYFUNCTION("""COMPUTED_VALUE"""),45487.9131344212)</f>
        <v>45487.9131344212</v>
      </c>
      <c r="B115" s="1" t="str">
        <f ca="1">IFERROR(__xludf.DUMMYFUNCTION("""COMPUTED_VALUE"""),"drbrpraj@gmail.com")</f>
        <v>drbrpraj@gmail.com</v>
      </c>
      <c r="C115" s="1" t="str">
        <f ca="1">IFERROR(__xludf.DUMMYFUNCTION("""COMPUTED_VALUE"""),"Dr. Baidyanath Ram Prajapati")</f>
        <v>Dr. Baidyanath Ram Prajapati</v>
      </c>
      <c r="D115" s="1" t="str">
        <f ca="1">IFERROR(__xludf.DUMMYFUNCTION("""COMPUTED_VALUE"""),"09811724821")</f>
        <v>09811724821</v>
      </c>
      <c r="E115" s="1" t="str">
        <f ca="1">IFERROR(__xludf.DUMMYFUNCTION("""COMPUTED_VALUE"""),"Yes")</f>
        <v>Yes</v>
      </c>
      <c r="F115" s="1" t="str">
        <f ca="1">IFERROR(__xludf.DUMMYFUNCTION("""COMPUTED_VALUE"""),"हिन्दी")</f>
        <v>हिन्दी</v>
      </c>
      <c r="G115" s="1" t="str">
        <f ca="1">IFERROR(__xludf.DUMMYFUNCTION("""COMPUTED_VALUE"""),"अध्यात्म, धर्म एवं दर्शन")</f>
        <v>अध्यात्म, धर्म एवं दर्शन</v>
      </c>
      <c r="H115" s="1" t="str">
        <f ca="1">IFERROR(__xludf.DUMMYFUNCTION("""COMPUTED_VALUE"""),"अध्यात्म, धर्म एवं आस्तिकता")</f>
        <v>अध्यात्म, धर्म एवं आस्तिकता</v>
      </c>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f ca="1">IFERROR(__xludf.DUMMYFUNCTION("""COMPUTED_VALUE"""),8)</f>
        <v>8</v>
      </c>
      <c r="BX115" s="1">
        <f ca="1">IFERROR(__xludf.DUMMYFUNCTION("""COMPUTED_VALUE"""),5)</f>
        <v>5</v>
      </c>
      <c r="BY115" s="1">
        <f ca="1">IFERROR(__xludf.DUMMYFUNCTION("""COMPUTED_VALUE"""),3)</f>
        <v>3</v>
      </c>
      <c r="BZ115" s="1">
        <f ca="1">IFERROR(__xludf.DUMMYFUNCTION("""COMPUTED_VALUE"""),1)</f>
        <v>1</v>
      </c>
      <c r="CA115" s="1"/>
      <c r="CB115" s="1"/>
      <c r="CC115" s="1" t="str">
        <f ca="1">IFERROR(__xludf.DUMMYFUNCTION("""COMPUTED_VALUE"""),"धर्म के वास्तविक स्वरुप को समझा जाए : Rare Book")</f>
        <v>धर्म के वास्तविक स्वरुप को समझा जाए : Rare Book</v>
      </c>
      <c r="CD115" s="3" t="str">
        <f ca="1">IFERROR(__xludf.DUMMYFUNCTION("""COMPUTED_VALUE"""),"https://vicharkrantibooks.org/productdetail?book_name=HINP0237_DHARM_KE_VASTAVIK_SWARUP_KO_SAMAJHA_JAE_xx1982&amp;product_id=802")</f>
        <v>https://vicharkrantibooks.org/productdetail?book_name=HINP0237_DHARM_KE_VASTAVIK_SWARUP_KO_SAMAJHA_JAE_xx1982&amp;product_id=802</v>
      </c>
      <c r="CE115" s="1" t="str">
        <f ca="1">IFERROR(__xludf.DUMMYFUNCTION("""COMPUTED_VALUE"""),"Audiobook : धर्म के वास्तविक स्वरुप को समझा जाए : Rare Book : drbrpraj@gmail.com : Recorded")</f>
        <v>Audiobook : धर्म के वास्तविक स्वरुप को समझा जाए : Rare Book : drbrpraj@gmail.com : Recorded</v>
      </c>
      <c r="CF115" s="1" t="str">
        <f ca="1">IFERROR(__xludf.DUMMYFUNCTION("""COMPUTED_VALUE"""),"#N/A")</f>
        <v>#N/A</v>
      </c>
      <c r="CG115" s="1" t="str">
        <f ca="1">IFERROR(__xludf.DUMMYFUNCTION("""COMPUTED_VALUE"""),"Adarniya Dr. Baidyanath Ram Prajapati ji धर्म के वास्तविक स्वरुप को समझा जाए : Rare Book : Allocated on 14-Jul-24 Contact Number  09811724821")</f>
        <v>Adarniya Dr. Baidyanath Ram Prajapati ji धर्म के वास्तविक स्वरुप को समझा जाए : Rare Book : Allocated on 14-Jul-24 Contact Number  09811724821</v>
      </c>
      <c r="CH115" s="1" t="str">
        <f ca="1">IFERROR(__xludf.DUMMYFUNCTION("""COMPUTED_VALUE"""),"drbrpraj@gmail.com : धर्म के वास्तविक स्वरुप को समझा जाए : Rare Book")</f>
        <v>drbrpraj@gmail.com : धर्म के वास्तविक स्वरुप को समझा जाए : Rare Book</v>
      </c>
      <c r="CI115" s="5">
        <f ca="1">IFERROR(__xludf.DUMMYFUNCTION("""COMPUTED_VALUE"""),45487.9131344212)</f>
        <v>45487.9131344212</v>
      </c>
    </row>
    <row r="116" spans="1:87" x14ac:dyDescent="0.25">
      <c r="A116" s="5">
        <f ca="1">IFERROR(__xludf.DUMMYFUNCTION("""COMPUTED_VALUE"""),45487.866240706)</f>
        <v>45487.866240705996</v>
      </c>
      <c r="B116" s="1" t="str">
        <f ca="1">IFERROR(__xludf.DUMMYFUNCTION("""COMPUTED_VALUE"""),"dave.chhaya@gmail.com")</f>
        <v>dave.chhaya@gmail.com</v>
      </c>
      <c r="C116" s="1" t="str">
        <f ca="1">IFERROR(__xludf.DUMMYFUNCTION("""COMPUTED_VALUE"""),"Chhaya Deepak Dave ")</f>
        <v xml:space="preserve">Chhaya Deepak Dave </v>
      </c>
      <c r="D116" s="1">
        <f ca="1">IFERROR(__xludf.DUMMYFUNCTION("""COMPUTED_VALUE"""),9879596556)</f>
        <v>9879596556</v>
      </c>
      <c r="E116" s="1" t="str">
        <f ca="1">IFERROR(__xludf.DUMMYFUNCTION("""COMPUTED_VALUE"""),"Yes")</f>
        <v>Yes</v>
      </c>
      <c r="F116" s="1" t="str">
        <f ca="1">IFERROR(__xludf.DUMMYFUNCTION("""COMPUTED_VALUE"""),"गुजराती")</f>
        <v>गुजराती</v>
      </c>
      <c r="G116" s="1" t="str">
        <f ca="1">IFERROR(__xludf.DUMMYFUNCTION("""COMPUTED_VALUE"""),"संस्कार, कर्मकाण्ड, पाठ, पूजा, गीत-संगीत")</f>
        <v>संस्कार, कर्मकाण्ड, पाठ, पूजा, गीत-संगीत</v>
      </c>
      <c r="H116" s="1"/>
      <c r="I116" s="1"/>
      <c r="J116" s="1"/>
      <c r="K116" s="1"/>
      <c r="L116" s="1"/>
      <c r="M116" s="1"/>
      <c r="N116" s="1"/>
      <c r="O116" s="1"/>
      <c r="P116" s="1"/>
      <c r="Q116" s="1"/>
      <c r="R116" s="1"/>
      <c r="S116" s="1"/>
      <c r="T116" s="1"/>
      <c r="U116" s="1"/>
      <c r="V116" s="1"/>
      <c r="W116" s="1" t="str">
        <f ca="1">IFERROR(__xludf.DUMMYFUNCTION("""COMPUTED_VALUE"""),"पर्व-त्यौहार, कर्मकाण्ड")</f>
        <v>पर्व-त्यौहार, कर्मकाण्ड</v>
      </c>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t="str">
        <f ca="1">IFERROR(__xludf.DUMMYFUNCTION("""COMPUTED_VALUE"""),"युग परिवर्तन में समर्थ दीपयज्ञ")</f>
        <v>युग परिवर्तन में समर्थ दीपयज्ञ</v>
      </c>
      <c r="BH116" s="1"/>
      <c r="BI116" s="1"/>
      <c r="BJ116" s="1"/>
      <c r="BK116" s="1"/>
      <c r="BL116" s="1"/>
      <c r="BM116" s="1"/>
      <c r="BN116" s="1"/>
      <c r="BO116" s="1"/>
      <c r="BP116" s="1"/>
      <c r="BQ116" s="1"/>
      <c r="BR116" s="1"/>
      <c r="BS116" s="1"/>
      <c r="BT116" s="1"/>
      <c r="BU116" s="1"/>
      <c r="BV116" s="1"/>
      <c r="BW116" s="1">
        <f ca="1">IFERROR(__xludf.DUMMYFUNCTION("""COMPUTED_VALUE"""),46)</f>
        <v>46</v>
      </c>
      <c r="BX116" s="1">
        <f ca="1">IFERROR(__xludf.DUMMYFUNCTION("""COMPUTED_VALUE"""),39)</f>
        <v>39</v>
      </c>
      <c r="BY116" s="1">
        <f ca="1">IFERROR(__xludf.DUMMYFUNCTION("""COMPUTED_VALUE"""),6)</f>
        <v>6</v>
      </c>
      <c r="BZ116" s="1">
        <f ca="1">IFERROR(__xludf.DUMMYFUNCTION("""COMPUTED_VALUE"""),16)</f>
        <v>16</v>
      </c>
      <c r="CA116" s="1"/>
      <c r="CB116" s="1"/>
      <c r="CC116" s="1" t="str">
        <f ca="1">IFERROR(__xludf.DUMMYFUNCTION("""COMPUTED_VALUE"""),"ભગવાન અને ભજનનો મર્મ : G_JS_66")</f>
        <v>ભગવાન અને ભજનનો મર્મ : G_JS_66</v>
      </c>
      <c r="CD116" s="3" t="str">
        <f ca="1">IFERROR(__xludf.DUMMYFUNCTION("""COMPUTED_VALUE"""),"https://vicharkrantibooks.org/productdetail?product_id=3906")</f>
        <v>https://vicharkrantibooks.org/productdetail?product_id=3906</v>
      </c>
      <c r="CE116" s="1" t="str">
        <f ca="1">IFERROR(__xludf.DUMMYFUNCTION("""COMPUTED_VALUE"""),"Audiobook : ભગવાન અને ભજનનો મર્મ : G_JS_66 : dave.chhaya@gmail.com : Recorded")</f>
        <v>Audiobook : ભગવાન અને ભજનનો મર્મ : G_JS_66 : dave.chhaya@gmail.com : Recorded</v>
      </c>
      <c r="CF116" s="1" t="str">
        <f ca="1">IFERROR(__xludf.DUMMYFUNCTION("""COMPUTED_VALUE"""),"#N/A")</f>
        <v>#N/A</v>
      </c>
      <c r="CG116" s="1" t="str">
        <f ca="1">IFERROR(__xludf.DUMMYFUNCTION("""COMPUTED_VALUE"""),"Adarniya Chhaya Deepak Dave  ji ભગવાન અને ભજનનો મર્મ : G_JS_66 : Allocated on 14-Jul-24 Contact Number  9879596556")</f>
        <v>Adarniya Chhaya Deepak Dave  ji ભગવાન અને ભજનનો મર્મ : G_JS_66 : Allocated on 14-Jul-24 Contact Number  9879596556</v>
      </c>
      <c r="CH116" s="1" t="str">
        <f ca="1">IFERROR(__xludf.DUMMYFUNCTION("""COMPUTED_VALUE"""),"dave.chhaya@gmail.com : ભગવાન અને ભજનનો મર્મ : G_JS_66")</f>
        <v>dave.chhaya@gmail.com : ભગવાન અને ભજનનો મર્મ : G_JS_66</v>
      </c>
      <c r="CI116" s="5">
        <f ca="1">IFERROR(__xludf.DUMMYFUNCTION("""COMPUTED_VALUE"""),45487.866240706)</f>
        <v>45487.866240705996</v>
      </c>
    </row>
    <row r="117" spans="1:87" x14ac:dyDescent="0.25">
      <c r="A117" s="5">
        <f ca="1">IFERROR(__xludf.DUMMYFUNCTION("""COMPUTED_VALUE"""),45486.7529929861)</f>
        <v>45486.752992986098</v>
      </c>
      <c r="B117" s="1" t="str">
        <f ca="1">IFERROR(__xludf.DUMMYFUNCTION("""COMPUTED_VALUE"""),"druma4107@gmail.com")</f>
        <v>druma4107@gmail.com</v>
      </c>
      <c r="C117" s="1" t="str">
        <f ca="1">IFERROR(__xludf.DUMMYFUNCTION("""COMPUTED_VALUE"""),"Dr Uma Agrawal")</f>
        <v>Dr Uma Agrawal</v>
      </c>
      <c r="D117" s="1">
        <f ca="1">IFERROR(__xludf.DUMMYFUNCTION("""COMPUTED_VALUE"""),9410861182)</f>
        <v>9410861182</v>
      </c>
      <c r="E117" s="1" t="str">
        <f ca="1">IFERROR(__xludf.DUMMYFUNCTION("""COMPUTED_VALUE"""),"Yes")</f>
        <v>Yes</v>
      </c>
      <c r="F117" s="1" t="str">
        <f ca="1">IFERROR(__xludf.DUMMYFUNCTION("""COMPUTED_VALUE"""),"हिन्दी")</f>
        <v>हिन्दी</v>
      </c>
      <c r="G117" s="1" t="str">
        <f ca="1">IFERROR(__xludf.DUMMYFUNCTION("""COMPUTED_VALUE"""),"अध्यात्म, धर्म एवं दर्शन")</f>
        <v>अध्यात्म, धर्म एवं दर्शन</v>
      </c>
      <c r="H117" s="1" t="str">
        <f ca="1">IFERROR(__xludf.DUMMYFUNCTION("""COMPUTED_VALUE"""),"उपासना")</f>
        <v>उपासना</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f ca="1">IFERROR(__xludf.DUMMYFUNCTION("""COMPUTED_VALUE"""),104)</f>
        <v>104</v>
      </c>
      <c r="BX117" s="1">
        <f ca="1">IFERROR(__xludf.DUMMYFUNCTION("""COMPUTED_VALUE"""),106)</f>
        <v>106</v>
      </c>
      <c r="BY117" s="1">
        <f ca="1">IFERROR(__xludf.DUMMYFUNCTION("""COMPUTED_VALUE"""),9)</f>
        <v>9</v>
      </c>
      <c r="BZ117" s="1">
        <f ca="1">IFERROR(__xludf.DUMMYFUNCTION("""COMPUTED_VALUE"""),43)</f>
        <v>43</v>
      </c>
      <c r="CA117" s="1"/>
      <c r="CB117" s="1"/>
      <c r="CC117" s="1" t="str">
        <f ca="1">IFERROR(__xludf.DUMMYFUNCTION("""COMPUTED_VALUE"""),"विकृतियाँ हटाने से नहीं मिटाने से मिटती हैं : Rare Book")</f>
        <v>विकृतियाँ हटाने से नहीं मिटाने से मिटती हैं : Rare Book</v>
      </c>
      <c r="CD117" s="3" t="str">
        <f ca="1">IFERROR(__xludf.DUMMYFUNCTION("""COMPUTED_VALUE"""),"https://vicharkrantibooks.org/productdetail?book_name=HINP0975_VIKRUTIYAN_HATANE_SE_NAHI_MITANE_SE_MITATI_HAI_xx1981&amp;product_id=1540")</f>
        <v>https://vicharkrantibooks.org/productdetail?book_name=HINP0975_VIKRUTIYAN_HATANE_SE_NAHI_MITANE_SE_MITATI_HAI_xx1981&amp;product_id=1540</v>
      </c>
      <c r="CE117" s="1" t="str">
        <f ca="1">IFERROR(__xludf.DUMMYFUNCTION("""COMPUTED_VALUE"""),"Audiobook : विकृतियाँ हटाने से नहीं मिटाने से मिटती हैं : Rare Book : druma4107@gmail.com : Recorded")</f>
        <v>Audiobook : विकृतियाँ हटाने से नहीं मिटाने से मिटती हैं : Rare Book : druma4107@gmail.com : Recorded</v>
      </c>
      <c r="CF117" s="1" t="str">
        <f ca="1">IFERROR(__xludf.DUMMYFUNCTION("""COMPUTED_VALUE"""),"Audiobook : विकृतियाँ हटाने से नहीं मिटाने से मिटती हैं : Rare Book : druma4107@gmail.com : Recorded")</f>
        <v>Audiobook : विकृतियाँ हटाने से नहीं मिटाने से मिटती हैं : Rare Book : druma4107@gmail.com : Recorded</v>
      </c>
      <c r="CG117" s="1" t="str">
        <f ca="1">IFERROR(__xludf.DUMMYFUNCTION("""COMPUTED_VALUE"""),"Adarniya Dr Uma Agrawal ji विकृतियाँ हटाने से नहीं मिटाने से मिटती हैं : Rare Book : Allocated on 13-Jul-24 Contact Number  9410861182")</f>
        <v>Adarniya Dr Uma Agrawal ji विकृतियाँ हटाने से नहीं मिटाने से मिटती हैं : Rare Book : Allocated on 13-Jul-24 Contact Number  9410861182</v>
      </c>
      <c r="CH117" s="1" t="str">
        <f ca="1">IFERROR(__xludf.DUMMYFUNCTION("""COMPUTED_VALUE"""),"druma4107@gmail.com : विकृतियाँ हटाने से नहीं मिटाने से मिटती हैं : Rare Book")</f>
        <v>druma4107@gmail.com : विकृतियाँ हटाने से नहीं मिटाने से मिटती हैं : Rare Book</v>
      </c>
      <c r="CI117" s="5">
        <f ca="1">IFERROR(__xludf.DUMMYFUNCTION("""COMPUTED_VALUE"""),45486.7529929861)</f>
        <v>45486.752992986098</v>
      </c>
    </row>
    <row r="118" spans="1:87" x14ac:dyDescent="0.25">
      <c r="A118" s="5">
        <f ca="1">IFERROR(__xludf.DUMMYFUNCTION("""COMPUTED_VALUE"""),45486.695375625)</f>
        <v>45486.695375625</v>
      </c>
      <c r="B118" s="1" t="str">
        <f ca="1">IFERROR(__xludf.DUMMYFUNCTION("""COMPUTED_VALUE"""),"premlatadevi4669@gmail.com")</f>
        <v>premlatadevi4669@gmail.com</v>
      </c>
      <c r="C118" s="1" t="str">
        <f ca="1">IFERROR(__xludf.DUMMYFUNCTION("""COMPUTED_VALUE"""),"Premlata barnwal ")</f>
        <v xml:space="preserve">Premlata barnwal </v>
      </c>
      <c r="D118" s="1">
        <f ca="1">IFERROR(__xludf.DUMMYFUNCTION("""COMPUTED_VALUE"""),9372282030)</f>
        <v>9372282030</v>
      </c>
      <c r="E118" s="1" t="str">
        <f ca="1">IFERROR(__xludf.DUMMYFUNCTION("""COMPUTED_VALUE"""),"Yes")</f>
        <v>Yes</v>
      </c>
      <c r="F118" s="1" t="str">
        <f ca="1">IFERROR(__xludf.DUMMYFUNCTION("""COMPUTED_VALUE"""),"हिन्दी")</f>
        <v>हिन्दी</v>
      </c>
      <c r="G118" s="1" t="str">
        <f ca="1">IFERROR(__xludf.DUMMYFUNCTION("""COMPUTED_VALUE"""),"परिवार निर्माण")</f>
        <v>परिवार निर्माण</v>
      </c>
      <c r="H118" s="1"/>
      <c r="I118" s="1"/>
      <c r="J118" s="1"/>
      <c r="K118" s="1"/>
      <c r="L118" s="1"/>
      <c r="M118" s="1" t="str">
        <f ca="1">IFERROR(__xludf.DUMMYFUNCTION("""COMPUTED_VALUE"""),"दाम्पत्य जीवन")</f>
        <v>दाम्पत्य जीवन</v>
      </c>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f ca="1">IFERROR(__xludf.DUMMYFUNCTION("""COMPUTED_VALUE"""),13)</f>
        <v>13</v>
      </c>
      <c r="BX118" s="1">
        <f ca="1">IFERROR(__xludf.DUMMYFUNCTION("""COMPUTED_VALUE"""),10)</f>
        <v>10</v>
      </c>
      <c r="BY118" s="1">
        <f ca="1">IFERROR(__xludf.DUMMYFUNCTION("""COMPUTED_VALUE"""),7)</f>
        <v>7</v>
      </c>
      <c r="BZ118" s="1">
        <f ca="1">IFERROR(__xludf.DUMMYFUNCTION("""COMPUTED_VALUE"""),2)</f>
        <v>2</v>
      </c>
      <c r="CA118" s="1"/>
      <c r="CB118" s="1"/>
      <c r="CC118" s="1" t="str">
        <f ca="1">IFERROR(__xludf.DUMMYFUNCTION("""COMPUTED_VALUE"""),"परिवार की प्रगति भावना और व्यवहार के समन्वय पर निर्भर : Rare Book")</f>
        <v>परिवार की प्रगति भावना और व्यवहार के समन्वय पर निर्भर : Rare Book</v>
      </c>
      <c r="CD118" s="3" t="str">
        <f ca="1">IFERROR(__xludf.DUMMYFUNCTION("""COMPUTED_VALUE"""),"https://vicharkrantibooks.org/productdetail?product_id=417")</f>
        <v>https://vicharkrantibooks.org/productdetail?product_id=417</v>
      </c>
      <c r="CE118" s="1" t="str">
        <f ca="1">IFERROR(__xludf.DUMMYFUNCTION("""COMPUTED_VALUE"""),"Audiobook : परिवार की प्रगति भावना और व्यवहार के समन्वय पर निर्भर : Rare Book : premlatadevi4669@gmail.com : Recorded")</f>
        <v>Audiobook : परिवार की प्रगति भावना और व्यवहार के समन्वय पर निर्भर : Rare Book : premlatadevi4669@gmail.com : Recorded</v>
      </c>
      <c r="CF118" s="1" t="str">
        <f ca="1">IFERROR(__xludf.DUMMYFUNCTION("""COMPUTED_VALUE"""),"#N/A")</f>
        <v>#N/A</v>
      </c>
      <c r="CG118" s="1" t="str">
        <f ca="1">IFERROR(__xludf.DUMMYFUNCTION("""COMPUTED_VALUE"""),"Adarniya Premlata barnwal  ji परिवार की प्रगति भावना और व्यवहार के समन्वय पर निर्भर : Rare Book : Allocated on 13-Jul-24 Contact Number  9372282030")</f>
        <v>Adarniya Premlata barnwal  ji परिवार की प्रगति भावना और व्यवहार के समन्वय पर निर्भर : Rare Book : Allocated on 13-Jul-24 Contact Number  9372282030</v>
      </c>
      <c r="CH118" s="1" t="str">
        <f ca="1">IFERROR(__xludf.DUMMYFUNCTION("""COMPUTED_VALUE"""),"premlatadevi4669@gmail.com : परिवार की प्रगति भावना और व्यवहार के समन्वय पर निर्भर : Rare Book")</f>
        <v>premlatadevi4669@gmail.com : परिवार की प्रगति भावना और व्यवहार के समन्वय पर निर्भर : Rare Book</v>
      </c>
      <c r="CI118" s="5">
        <f ca="1">IFERROR(__xludf.DUMMYFUNCTION("""COMPUTED_VALUE"""),45486.695375625)</f>
        <v>45486.695375625</v>
      </c>
    </row>
    <row r="119" spans="1:87" x14ac:dyDescent="0.25">
      <c r="A119" s="5">
        <f ca="1">IFERROR(__xludf.DUMMYFUNCTION("""COMPUTED_VALUE"""),45486.5780279513)</f>
        <v>45486.578027951298</v>
      </c>
      <c r="B119" s="1" t="str">
        <f ca="1">IFERROR(__xludf.DUMMYFUNCTION("""COMPUTED_VALUE"""),"shweta.r.gupta79@gmail.com")</f>
        <v>shweta.r.gupta79@gmail.com</v>
      </c>
      <c r="C119" s="1" t="str">
        <f ca="1">IFERROR(__xludf.DUMMYFUNCTION("""COMPUTED_VALUE"""),"Shweta Gupta ")</f>
        <v xml:space="preserve">Shweta Gupta </v>
      </c>
      <c r="D119" s="1">
        <f ca="1">IFERROR(__xludf.DUMMYFUNCTION("""COMPUTED_VALUE"""),8369516724)</f>
        <v>8369516724</v>
      </c>
      <c r="E119" s="1" t="str">
        <f ca="1">IFERROR(__xludf.DUMMYFUNCTION("""COMPUTED_VALUE"""),"Yes")</f>
        <v>Yes</v>
      </c>
      <c r="F119" s="1" t="str">
        <f ca="1">IFERROR(__xludf.DUMMYFUNCTION("""COMPUTED_VALUE"""),"हिन्दी")</f>
        <v>हिन्दी</v>
      </c>
      <c r="G119" s="1" t="str">
        <f ca="1">IFERROR(__xludf.DUMMYFUNCTION("""COMPUTED_VALUE"""),"समग्र स्वास्थ्य")</f>
        <v>समग्र स्वास्थ्य</v>
      </c>
      <c r="H119" s="1"/>
      <c r="I119" s="1"/>
      <c r="J119" s="1"/>
      <c r="K119" s="1"/>
      <c r="L119" s="1"/>
      <c r="M119" s="1"/>
      <c r="N119" s="1"/>
      <c r="O119" s="1"/>
      <c r="P119" s="1"/>
      <c r="Q119" s="1"/>
      <c r="R119" s="1"/>
      <c r="S119" s="1"/>
      <c r="T119" s="1"/>
      <c r="U119" s="1" t="str">
        <f ca="1">IFERROR(__xludf.DUMMYFUNCTION("""COMPUTED_VALUE"""),"स्वास्थ्य संवर्धन")</f>
        <v>स्वास्थ्य संवर्धन</v>
      </c>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f ca="1">IFERROR(__xludf.DUMMYFUNCTION("""COMPUTED_VALUE"""),31)</f>
        <v>31</v>
      </c>
      <c r="BX119" s="1">
        <f ca="1">IFERROR(__xludf.DUMMYFUNCTION("""COMPUTED_VALUE"""),45)</f>
        <v>45</v>
      </c>
      <c r="BY119" s="1">
        <f ca="1">IFERROR(__xludf.DUMMYFUNCTION("""COMPUTED_VALUE"""),3)</f>
        <v>3</v>
      </c>
      <c r="BZ119" s="1">
        <f ca="1">IFERROR(__xludf.DUMMYFUNCTION("""COMPUTED_VALUE"""),40)</f>
        <v>40</v>
      </c>
      <c r="CA119" s="1"/>
      <c r="CB119" s="1"/>
      <c r="CC119" s="1" t="str">
        <f ca="1">IFERROR(__xludf.DUMMYFUNCTION("""COMPUTED_VALUE"""),"मानसिक रोगों की जननी शराब : Rare Book")</f>
        <v>मानसिक रोगों की जननी शराब : Rare Book</v>
      </c>
      <c r="CD119" s="3" t="str">
        <f ca="1">IFERROR(__xludf.DUMMYFUNCTION("""COMPUTED_VALUE"""),"https://vicharkrantibooks.org/productdetail?book_name=HINP0493_MANASIK_ROGON_KI_JANANI_SHARAB_xxyyyy&amp;product_id=1058")</f>
        <v>https://vicharkrantibooks.org/productdetail?book_name=HINP0493_MANASIK_ROGON_KI_JANANI_SHARAB_xxyyyy&amp;product_id=1058</v>
      </c>
      <c r="CE119" s="1" t="str">
        <f ca="1">IFERROR(__xludf.DUMMYFUNCTION("""COMPUTED_VALUE"""),"Audiobook : मानसिक रोगों की जननी शराब : Rare Book : shweta.r.gupta79@gmail.com : Recorded")</f>
        <v>Audiobook : मानसिक रोगों की जननी शराब : Rare Book : shweta.r.gupta79@gmail.com : Recorded</v>
      </c>
      <c r="CF119" s="1" t="str">
        <f ca="1">IFERROR(__xludf.DUMMYFUNCTION("""COMPUTED_VALUE"""),"Audiobook : मानसिक रोगों की जननी शराब : Rare Book : shweta.r.gupta79@gmail.com : Recorded")</f>
        <v>Audiobook : मानसिक रोगों की जननी शराब : Rare Book : shweta.r.gupta79@gmail.com : Recorded</v>
      </c>
      <c r="CG119" s="1" t="str">
        <f ca="1">IFERROR(__xludf.DUMMYFUNCTION("""COMPUTED_VALUE"""),"Adarniya Shweta Gupta  ji मानसिक रोगों की जननी शराब : Rare Book : Allocated on 13-Jul-24 Contact Number  8369516724")</f>
        <v>Adarniya Shweta Gupta  ji मानसिक रोगों की जननी शराब : Rare Book : Allocated on 13-Jul-24 Contact Number  8369516724</v>
      </c>
      <c r="CH119" s="1" t="str">
        <f ca="1">IFERROR(__xludf.DUMMYFUNCTION("""COMPUTED_VALUE"""),"shweta.r.gupta79@gmail.com : मानसिक रोगों की जननी शराब : Rare Book")</f>
        <v>shweta.r.gupta79@gmail.com : मानसिक रोगों की जननी शराब : Rare Book</v>
      </c>
      <c r="CI119" s="5">
        <f ca="1">IFERROR(__xludf.DUMMYFUNCTION("""COMPUTED_VALUE"""),45486.5780279513)</f>
        <v>45486.578027951298</v>
      </c>
    </row>
    <row r="120" spans="1:87" x14ac:dyDescent="0.25">
      <c r="A120" s="5">
        <f ca="1">IFERROR(__xludf.DUMMYFUNCTION("""COMPUTED_VALUE"""),45485.9517376388)</f>
        <v>45485.951737638803</v>
      </c>
      <c r="B120" s="1" t="str">
        <f ca="1">IFERROR(__xludf.DUMMYFUNCTION("""COMPUTED_VALUE"""),"anu161965@gmail.com")</f>
        <v>anu161965@gmail.com</v>
      </c>
      <c r="C120" s="1" t="str">
        <f ca="1">IFERROR(__xludf.DUMMYFUNCTION("""COMPUTED_VALUE"""),"Anureeta awadh")</f>
        <v>Anureeta awadh</v>
      </c>
      <c r="D120" s="1">
        <f ca="1">IFERROR(__xludf.DUMMYFUNCTION("""COMPUTED_VALUE"""),8860314422)</f>
        <v>8860314422</v>
      </c>
      <c r="E120" s="1" t="str">
        <f ca="1">IFERROR(__xludf.DUMMYFUNCTION("""COMPUTED_VALUE"""),"Yes")</f>
        <v>Yes</v>
      </c>
      <c r="F120" s="1" t="str">
        <f ca="1">IFERROR(__xludf.DUMMYFUNCTION("""COMPUTED_VALUE"""),"हिन्दी")</f>
        <v>हिन्दी</v>
      </c>
      <c r="G120" s="1" t="str">
        <f ca="1">IFERROR(__xludf.DUMMYFUNCTION("""COMPUTED_VALUE"""),"वैज्ञानिक अध्यात्मवाद का प्रतिपादन")</f>
        <v>वैज्ञानिक अध्यात्मवाद का प्रतिपादन</v>
      </c>
      <c r="H120" s="1"/>
      <c r="I120" s="1"/>
      <c r="J120" s="1"/>
      <c r="K120" s="1"/>
      <c r="L120" s="1"/>
      <c r="M120" s="1"/>
      <c r="N120" s="1"/>
      <c r="O120" s="1"/>
      <c r="P120" s="1"/>
      <c r="Q120" s="1"/>
      <c r="R120" s="1"/>
      <c r="S120" s="1" t="str">
        <f ca="1">IFERROR(__xludf.DUMMYFUNCTION("""COMPUTED_VALUE"""),"वैज्ञानिक अध्यात्मवाद का प्रतिपादन")</f>
        <v>वैज्ञानिक अध्यात्मवाद का प्रतिपादन</v>
      </c>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f ca="1">IFERROR(__xludf.DUMMYFUNCTION("""COMPUTED_VALUE"""),24)</f>
        <v>24</v>
      </c>
      <c r="BX120" s="1">
        <f ca="1">IFERROR(__xludf.DUMMYFUNCTION("""COMPUTED_VALUE"""),18)</f>
        <v>18</v>
      </c>
      <c r="BY120" s="1">
        <f ca="1">IFERROR(__xludf.DUMMYFUNCTION("""COMPUTED_VALUE"""),7)</f>
        <v>7</v>
      </c>
      <c r="BZ120" s="1">
        <f ca="1">IFERROR(__xludf.DUMMYFUNCTION("""COMPUTED_VALUE"""),5)</f>
        <v>5</v>
      </c>
      <c r="CA120" s="1"/>
      <c r="CB120" s="1"/>
      <c r="CC120" s="1" t="str">
        <f ca="1">IFERROR(__xludf.DUMMYFUNCTION("""COMPUTED_VALUE"""),"महाकाल की भविष्यवाणी : Rare Book")</f>
        <v>महाकाल की भविष्यवाणी : Rare Book</v>
      </c>
      <c r="CD120" s="3" t="str">
        <f ca="1">IFERROR(__xludf.DUMMYFUNCTION("""COMPUTED_VALUE"""),"https://vicharkrantibooks.org/productdetail?book_name=HINP1117_MAHAKAL_KI_BHAVISHYAVANI_xxyyyy&amp;product_id=1682")</f>
        <v>https://vicharkrantibooks.org/productdetail?book_name=HINP1117_MAHAKAL_KI_BHAVISHYAVANI_xxyyyy&amp;product_id=1682</v>
      </c>
      <c r="CE120" s="1" t="str">
        <f ca="1">IFERROR(__xludf.DUMMYFUNCTION("""COMPUTED_VALUE"""),"Audiobook : महाकाल की भविष्यवाणी : Rare Book : anu161965@gmail.com : Recorded")</f>
        <v>Audiobook : महाकाल की भविष्यवाणी : Rare Book : anu161965@gmail.com : Recorded</v>
      </c>
      <c r="CF120" s="1" t="str">
        <f ca="1">IFERROR(__xludf.DUMMYFUNCTION("""COMPUTED_VALUE"""),"Audiobook : महाकाल की भविष्यवाणी : Rare Book : anu161965@gmail.com : Recorded")</f>
        <v>Audiobook : महाकाल की भविष्यवाणी : Rare Book : anu161965@gmail.com : Recorded</v>
      </c>
      <c r="CG120" s="1" t="str">
        <f ca="1">IFERROR(__xludf.DUMMYFUNCTION("""COMPUTED_VALUE"""),"Adarniya Anureeta awadh ji महाकाल की भविष्यवाणी : Rare Book : Allocated on 12-Jul-24 Contact Number  8860314422")</f>
        <v>Adarniya Anureeta awadh ji महाकाल की भविष्यवाणी : Rare Book : Allocated on 12-Jul-24 Contact Number  8860314422</v>
      </c>
      <c r="CH120" s="1" t="str">
        <f ca="1">IFERROR(__xludf.DUMMYFUNCTION("""COMPUTED_VALUE"""),"anu161965@gmail.com : महाकाल की भविष्यवाणी : Rare Book")</f>
        <v>anu161965@gmail.com : महाकाल की भविष्यवाणी : Rare Book</v>
      </c>
      <c r="CI120" s="5">
        <f ca="1">IFERROR(__xludf.DUMMYFUNCTION("""COMPUTED_VALUE"""),45485.9517376388)</f>
        <v>45485.951737638803</v>
      </c>
    </row>
    <row r="121" spans="1:87" x14ac:dyDescent="0.25">
      <c r="A121" s="5">
        <f ca="1">IFERROR(__xludf.DUMMYFUNCTION("""COMPUTED_VALUE"""),45485.9047077893)</f>
        <v>45485.904707789297</v>
      </c>
      <c r="B121" s="1" t="str">
        <f ca="1">IFERROR(__xludf.DUMMYFUNCTION("""COMPUTED_VALUE"""),"dave.chhaya@gmail.com")</f>
        <v>dave.chhaya@gmail.com</v>
      </c>
      <c r="C121" s="1" t="str">
        <f ca="1">IFERROR(__xludf.DUMMYFUNCTION("""COMPUTED_VALUE"""),"Chhaya Deepak Dave ")</f>
        <v xml:space="preserve">Chhaya Deepak Dave </v>
      </c>
      <c r="D121" s="1">
        <f ca="1">IFERROR(__xludf.DUMMYFUNCTION("""COMPUTED_VALUE"""),9879596556)</f>
        <v>9879596556</v>
      </c>
      <c r="E121" s="1" t="str">
        <f ca="1">IFERROR(__xludf.DUMMYFUNCTION("""COMPUTED_VALUE"""),"Yes")</f>
        <v>Yes</v>
      </c>
      <c r="F121" s="1" t="str">
        <f ca="1">IFERROR(__xludf.DUMMYFUNCTION("""COMPUTED_VALUE"""),"गुजराती")</f>
        <v>गुजराती</v>
      </c>
      <c r="G121" s="1" t="str">
        <f ca="1">IFERROR(__xludf.DUMMYFUNCTION("""COMPUTED_VALUE"""),"संस्कार, कर्मकाण्ड, पाठ, पूजा, गीत-संगीत")</f>
        <v>संस्कार, कर्मकाण्ड, पाठ, पूजा, गीत-संगीत</v>
      </c>
      <c r="H121" s="1"/>
      <c r="I121" s="1"/>
      <c r="J121" s="1"/>
      <c r="K121" s="1"/>
      <c r="L121" s="1"/>
      <c r="M121" s="1"/>
      <c r="N121" s="1"/>
      <c r="O121" s="1"/>
      <c r="P121" s="1"/>
      <c r="Q121" s="1"/>
      <c r="R121" s="1"/>
      <c r="S121" s="1"/>
      <c r="T121" s="1"/>
      <c r="U121" s="1"/>
      <c r="V121" s="1"/>
      <c r="W121" s="1" t="str">
        <f ca="1">IFERROR(__xludf.DUMMYFUNCTION("""COMPUTED_VALUE"""),"पाठ, पूजा, चालीसा, प्रार्थना,")</f>
        <v>पाठ, पूजा, चालीसा, प्रार्थना,</v>
      </c>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t="str">
        <f ca="1">IFERROR(__xludf.DUMMYFUNCTION("""COMPUTED_VALUE"""),"प्रतिक पूजा का वैज्ञानिक आधार")</f>
        <v>प्रतिक पूजा का वैज्ञानिक आधार</v>
      </c>
      <c r="BI121" s="1"/>
      <c r="BJ121" s="1"/>
      <c r="BK121" s="1"/>
      <c r="BL121" s="1"/>
      <c r="BM121" s="1"/>
      <c r="BN121" s="1"/>
      <c r="BO121" s="1"/>
      <c r="BP121" s="1"/>
      <c r="BQ121" s="1"/>
      <c r="BR121" s="1"/>
      <c r="BS121" s="1"/>
      <c r="BT121" s="1"/>
      <c r="BU121" s="1"/>
      <c r="BV121" s="1"/>
      <c r="BW121" s="1">
        <f ca="1">IFERROR(__xludf.DUMMYFUNCTION("""COMPUTED_VALUE"""),46)</f>
        <v>46</v>
      </c>
      <c r="BX121" s="1">
        <f ca="1">IFERROR(__xludf.DUMMYFUNCTION("""COMPUTED_VALUE"""),39)</f>
        <v>39</v>
      </c>
      <c r="BY121" s="1">
        <f ca="1">IFERROR(__xludf.DUMMYFUNCTION("""COMPUTED_VALUE"""),6)</f>
        <v>6</v>
      </c>
      <c r="BZ121" s="1">
        <f ca="1">IFERROR(__xludf.DUMMYFUNCTION("""COMPUTED_VALUE"""),16)</f>
        <v>16</v>
      </c>
      <c r="CA121" s="1"/>
      <c r="CB121" s="1"/>
      <c r="CC121" s="1" t="str">
        <f ca="1">IFERROR(__xludf.DUMMYFUNCTION("""COMPUTED_VALUE"""),"પ્રતિકપૂજાનો વૈજ્ઞાનિક આધાર : G_JS_51")</f>
        <v>પ્રતિકપૂજાનો વૈજ્ઞાનિક આધાર : G_JS_51</v>
      </c>
      <c r="CD121" s="3" t="str">
        <f ca="1">IFERROR(__xludf.DUMMYFUNCTION("""COMPUTED_VALUE"""),"https://vicharkrantibooks.org/productdetail?product_id=3776")</f>
        <v>https://vicharkrantibooks.org/productdetail?product_id=3776</v>
      </c>
      <c r="CE121" s="1" t="str">
        <f ca="1">IFERROR(__xludf.DUMMYFUNCTION("""COMPUTED_VALUE"""),"Audiobook : પ્રતિકપૂજાનો વૈજ્ઞાનિક આધાર : G_JS_51 : dave.chhaya@gmail.com : Recorded")</f>
        <v>Audiobook : પ્રતિકપૂજાનો વૈજ્ઞાનિક આધાર : G_JS_51 : dave.chhaya@gmail.com : Recorded</v>
      </c>
      <c r="CF121" s="1" t="str">
        <f ca="1">IFERROR(__xludf.DUMMYFUNCTION("""COMPUTED_VALUE"""),"Audiobook : પ્રતિકપૂજાનો વૈજ્ઞાનિક આધાર : G_JS_51 : dave.chhaya@gmail.com : Recorded")</f>
        <v>Audiobook : પ્રતિકપૂજાનો વૈજ્ઞાનિક આધાર : G_JS_51 : dave.chhaya@gmail.com : Recorded</v>
      </c>
      <c r="CG121" s="1" t="str">
        <f ca="1">IFERROR(__xludf.DUMMYFUNCTION("""COMPUTED_VALUE"""),"Adarniya Chhaya Deepak Dave  ji પ્રતિકપૂજાનો વૈજ્ઞાનિક આધાર : G_JS_51 : Allocated on 12-Jul-24 Contact Number  9879596556")</f>
        <v>Adarniya Chhaya Deepak Dave  ji પ્રતિકપૂજાનો વૈજ્ઞાનિક આધાર : G_JS_51 : Allocated on 12-Jul-24 Contact Number  9879596556</v>
      </c>
      <c r="CH121" s="1" t="str">
        <f ca="1">IFERROR(__xludf.DUMMYFUNCTION("""COMPUTED_VALUE"""),"dave.chhaya@gmail.com : પ્રતિકપૂજાનો વૈજ્ઞાનિક આધાર : G_JS_51")</f>
        <v>dave.chhaya@gmail.com : પ્રતિકપૂજાનો વૈજ્ઞાનિક આધાર : G_JS_51</v>
      </c>
      <c r="CI121" s="5">
        <f ca="1">IFERROR(__xludf.DUMMYFUNCTION("""COMPUTED_VALUE"""),45485.9047077893)</f>
        <v>45485.904707789297</v>
      </c>
    </row>
    <row r="122" spans="1:87" x14ac:dyDescent="0.25">
      <c r="A122" s="5">
        <f ca="1">IFERROR(__xludf.DUMMYFUNCTION("""COMPUTED_VALUE"""),45485.5400504745)</f>
        <v>45485.540050474498</v>
      </c>
      <c r="B122" s="1" t="str">
        <f ca="1">IFERROR(__xludf.DUMMYFUNCTION("""COMPUTED_VALUE"""),"rekhabhagat2511@gmail.com")</f>
        <v>rekhabhagat2511@gmail.com</v>
      </c>
      <c r="C122" s="1" t="str">
        <f ca="1">IFERROR(__xludf.DUMMYFUNCTION("""COMPUTED_VALUE"""),"Rekha Bhagat ")</f>
        <v xml:space="preserve">Rekha Bhagat </v>
      </c>
      <c r="D122" s="1">
        <f ca="1">IFERROR(__xludf.DUMMYFUNCTION("""COMPUTED_VALUE"""),9424811235)</f>
        <v>9424811235</v>
      </c>
      <c r="E122" s="1" t="str">
        <f ca="1">IFERROR(__xludf.DUMMYFUNCTION("""COMPUTED_VALUE"""),"Yes")</f>
        <v>Yes</v>
      </c>
      <c r="F122" s="1" t="str">
        <f ca="1">IFERROR(__xludf.DUMMYFUNCTION("""COMPUTED_VALUE"""),"हिन्दी")</f>
        <v>हिन्दी</v>
      </c>
      <c r="G122" s="1" t="str">
        <f ca="1">IFERROR(__xludf.DUMMYFUNCTION("""COMPUTED_VALUE"""),"पर्यावरण संरक्षण")</f>
        <v>पर्यावरण संरक्षण</v>
      </c>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f ca="1">IFERROR(__xludf.DUMMYFUNCTION("""COMPUTED_VALUE"""),19)</f>
        <v>19</v>
      </c>
      <c r="BX122" s="1">
        <f ca="1">IFERROR(__xludf.DUMMYFUNCTION("""COMPUTED_VALUE"""),11)</f>
        <v>11</v>
      </c>
      <c r="BY122" s="1">
        <f ca="1">IFERROR(__xludf.DUMMYFUNCTION("""COMPUTED_VALUE"""),8)</f>
        <v>8</v>
      </c>
      <c r="BZ122" s="1">
        <f ca="1">IFERROR(__xludf.DUMMYFUNCTION("""COMPUTED_VALUE"""),4)</f>
        <v>4</v>
      </c>
      <c r="CA122" s="1"/>
      <c r="CB122" s="1"/>
      <c r="CC122" s="1" t="str">
        <f ca="1">IFERROR(__xludf.DUMMYFUNCTION("""COMPUTED_VALUE"""),"वृक्षों से ही धरती शस्य-श्यामला : Rare Book")</f>
        <v>वृक्षों से ही धरती शस्य-श्यामला : Rare Book</v>
      </c>
      <c r="CD122" s="3" t="str">
        <f ca="1">IFERROR(__xludf.DUMMYFUNCTION("""COMPUTED_VALUE"""),"https://vicharkrantibooks.org/productdetail?book_name=HINP1007_VRUKSHON_SE_HI_DHARATI_SHASY_SHYAMALA_xxyyyy&amp;product_id=1572")</f>
        <v>https://vicharkrantibooks.org/productdetail?book_name=HINP1007_VRUKSHON_SE_HI_DHARATI_SHASY_SHYAMALA_xxyyyy&amp;product_id=1572</v>
      </c>
      <c r="CE122" s="1" t="str">
        <f ca="1">IFERROR(__xludf.DUMMYFUNCTION("""COMPUTED_VALUE"""),"Audiobook : वृक्षों से ही धरती शस्य-श्यामला : Rare Book : rekhabhagat2511@gmail.com : Recorded")</f>
        <v>Audiobook : वृक्षों से ही धरती शस्य-श्यामला : Rare Book : rekhabhagat2511@gmail.com : Recorded</v>
      </c>
      <c r="CF122" s="1" t="str">
        <f ca="1">IFERROR(__xludf.DUMMYFUNCTION("""COMPUTED_VALUE"""),"Audiobook : वृक्षों से ही धरती शस्य-श्यामला : Rare Book : rekhabhagat2511@gmail.com : Recorded")</f>
        <v>Audiobook : वृक्षों से ही धरती शस्य-श्यामला : Rare Book : rekhabhagat2511@gmail.com : Recorded</v>
      </c>
      <c r="CG122" s="1" t="str">
        <f ca="1">IFERROR(__xludf.DUMMYFUNCTION("""COMPUTED_VALUE"""),"Adarniya Rekha Bhagat  ji वृक्षों से ही धरती शस्य-श्यामला : Rare Book : Allocated on 12-Jul-24 Contact Number  9424811235")</f>
        <v>Adarniya Rekha Bhagat  ji वृक्षों से ही धरती शस्य-श्यामला : Rare Book : Allocated on 12-Jul-24 Contact Number  9424811235</v>
      </c>
      <c r="CH122" s="1" t="str">
        <f ca="1">IFERROR(__xludf.DUMMYFUNCTION("""COMPUTED_VALUE"""),"rekhabhagat2511@gmail.com : वृक्षों से ही धरती शस्य-श्यामला : Rare Book")</f>
        <v>rekhabhagat2511@gmail.com : वृक्षों से ही धरती शस्य-श्यामला : Rare Book</v>
      </c>
      <c r="CI122" s="5">
        <f ca="1">IFERROR(__xludf.DUMMYFUNCTION("""COMPUTED_VALUE"""),45485.5400504745)</f>
        <v>45485.540050474498</v>
      </c>
    </row>
    <row r="123" spans="1:87" x14ac:dyDescent="0.25">
      <c r="A123" s="5">
        <f ca="1">IFERROR(__xludf.DUMMYFUNCTION("""COMPUTED_VALUE"""),45484.5791665856)</f>
        <v>45484.579166585601</v>
      </c>
      <c r="B123" s="1" t="str">
        <f ca="1">IFERROR(__xludf.DUMMYFUNCTION("""COMPUTED_VALUE"""),"anu161965@gmail.com")</f>
        <v>anu161965@gmail.com</v>
      </c>
      <c r="C123" s="1" t="str">
        <f ca="1">IFERROR(__xludf.DUMMYFUNCTION("""COMPUTED_VALUE"""),"Anureeta awadh")</f>
        <v>Anureeta awadh</v>
      </c>
      <c r="D123" s="1">
        <f ca="1">IFERROR(__xludf.DUMMYFUNCTION("""COMPUTED_VALUE"""),8860314422)</f>
        <v>8860314422</v>
      </c>
      <c r="E123" s="1" t="str">
        <f ca="1">IFERROR(__xludf.DUMMYFUNCTION("""COMPUTED_VALUE"""),"Yes")</f>
        <v>Yes</v>
      </c>
      <c r="F123" s="1" t="str">
        <f ca="1">IFERROR(__xludf.DUMMYFUNCTION("""COMPUTED_VALUE"""),"हिन्दी or English")</f>
        <v>हिन्दी or English</v>
      </c>
      <c r="G123" s="1" t="str">
        <f ca="1">IFERROR(__xludf.DUMMYFUNCTION("""COMPUTED_VALUE"""),"वैज्ञानिक अध्यात्मवाद का प्रतिपादन")</f>
        <v>वैज्ञानिक अध्यात्मवाद का प्रतिपादन</v>
      </c>
      <c r="H123" s="1"/>
      <c r="I123" s="1"/>
      <c r="J123" s="1"/>
      <c r="K123" s="1"/>
      <c r="L123" s="1"/>
      <c r="M123" s="1"/>
      <c r="N123" s="1"/>
      <c r="O123" s="1"/>
      <c r="P123" s="1"/>
      <c r="Q123" s="1"/>
      <c r="R123" s="1"/>
      <c r="S123" s="1" t="str">
        <f ca="1">IFERROR(__xludf.DUMMYFUNCTION("""COMPUTED_VALUE"""),"वैज्ञानिक अध्यात्मवाद का प्रतिपादन")</f>
        <v>वैज्ञानिक अध्यात्मवाद का प्रतिपादन</v>
      </c>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f ca="1">IFERROR(__xludf.DUMMYFUNCTION("""COMPUTED_VALUE"""),24)</f>
        <v>24</v>
      </c>
      <c r="BX123" s="1">
        <f ca="1">IFERROR(__xludf.DUMMYFUNCTION("""COMPUTED_VALUE"""),18)</f>
        <v>18</v>
      </c>
      <c r="BY123" s="1">
        <f ca="1">IFERROR(__xludf.DUMMYFUNCTION("""COMPUTED_VALUE"""),7)</f>
        <v>7</v>
      </c>
      <c r="BZ123" s="1">
        <f ca="1">IFERROR(__xludf.DUMMYFUNCTION("""COMPUTED_VALUE"""),5)</f>
        <v>5</v>
      </c>
      <c r="CA123" s="1"/>
      <c r="CB123" s="1"/>
      <c r="CC123" s="1" t="str">
        <f ca="1">IFERROR(__xludf.DUMMYFUNCTION("""COMPUTED_VALUE"""),"अध्यात्म विज्ञान संमत बने विज्ञान अध्यात्म परक : Rare Book")</f>
        <v>अध्यात्म विज्ञान संमत बने विज्ञान अध्यात्म परक : Rare Book</v>
      </c>
      <c r="CD123" s="3" t="str">
        <f ca="1">IFERROR(__xludf.DUMMYFUNCTION("""COMPUTED_VALUE"""),"https://vicharkrantibooks.org/productdetail?book_name=HINF0014_ADHYATM_VIGYAN_SAMMAT_BANE_VIGYAN_ADHYATM_PARAK_xxyyyy&amp;product_id=234")</f>
        <v>https://vicharkrantibooks.org/productdetail?book_name=HINF0014_ADHYATM_VIGYAN_SAMMAT_BANE_VIGYAN_ADHYATM_PARAK_xxyyyy&amp;product_id=234</v>
      </c>
      <c r="CE123" s="1" t="str">
        <f ca="1">IFERROR(__xludf.DUMMYFUNCTION("""COMPUTED_VALUE"""),"Audiobook : अध्यात्म विज्ञान संमत बने विज्ञान अध्यात्म परक : Rare Book : anu161965@gmail.com : Recorded")</f>
        <v>Audiobook : अध्यात्म विज्ञान संमत बने विज्ञान अध्यात्म परक : Rare Book : anu161965@gmail.com : Recorded</v>
      </c>
      <c r="CF123" s="1" t="str">
        <f ca="1">IFERROR(__xludf.DUMMYFUNCTION("""COMPUTED_VALUE"""),"Audiobook : अध्यात्म विज्ञान संमत बने विज्ञान अध्यात्म परक : Rare Book : anu161965@gmail.com : Recorded")</f>
        <v>Audiobook : अध्यात्म विज्ञान संमत बने विज्ञान अध्यात्म परक : Rare Book : anu161965@gmail.com : Recorded</v>
      </c>
      <c r="CG123" s="1" t="str">
        <f ca="1">IFERROR(__xludf.DUMMYFUNCTION("""COMPUTED_VALUE"""),"Adarniya Anureeta awadh ji अध्यात्म विज्ञान संमत बने विज्ञान अध्यात्म परक : Rare Book : Allocated on 11-Jul-24 Contact Number  8860314422")</f>
        <v>Adarniya Anureeta awadh ji अध्यात्म विज्ञान संमत बने विज्ञान अध्यात्म परक : Rare Book : Allocated on 11-Jul-24 Contact Number  8860314422</v>
      </c>
      <c r="CH123" s="1" t="str">
        <f ca="1">IFERROR(__xludf.DUMMYFUNCTION("""COMPUTED_VALUE"""),"anu161965@gmail.com : अध्यात्म विज्ञान संमत बने विज्ञान अध्यात्म परक : Rare Book")</f>
        <v>anu161965@gmail.com : अध्यात्म विज्ञान संमत बने विज्ञान अध्यात्म परक : Rare Book</v>
      </c>
      <c r="CI123" s="5">
        <f ca="1">IFERROR(__xludf.DUMMYFUNCTION("""COMPUTED_VALUE"""),45484.5791665856)</f>
        <v>45484.579166585601</v>
      </c>
    </row>
    <row r="124" spans="1:87" x14ac:dyDescent="0.25">
      <c r="A124" s="5">
        <f ca="1">IFERROR(__xludf.DUMMYFUNCTION("""COMPUTED_VALUE"""),45483.7452132523)</f>
        <v>45483.745213252303</v>
      </c>
      <c r="B124" s="1" t="str">
        <f ca="1">IFERROR(__xludf.DUMMYFUNCTION("""COMPUTED_VALUE"""),"dave.chhaya@gmail.com")</f>
        <v>dave.chhaya@gmail.com</v>
      </c>
      <c r="C124" s="1" t="str">
        <f ca="1">IFERROR(__xludf.DUMMYFUNCTION("""COMPUTED_VALUE"""),"Chhaya Deepak Dave ")</f>
        <v xml:space="preserve">Chhaya Deepak Dave </v>
      </c>
      <c r="D124" s="1">
        <f ca="1">IFERROR(__xludf.DUMMYFUNCTION("""COMPUTED_VALUE"""),9879596556)</f>
        <v>9879596556</v>
      </c>
      <c r="E124" s="1" t="str">
        <f ca="1">IFERROR(__xludf.DUMMYFUNCTION("""COMPUTED_VALUE"""),"Yes")</f>
        <v>Yes</v>
      </c>
      <c r="F124" s="1" t="str">
        <f ca="1">IFERROR(__xludf.DUMMYFUNCTION("""COMPUTED_VALUE"""),"गुजराती")</f>
        <v>गुजराती</v>
      </c>
      <c r="G124" s="1" t="str">
        <f ca="1">IFERROR(__xludf.DUMMYFUNCTION("""COMPUTED_VALUE"""),"संस्कार, कर्मकाण्ड, पाठ, पूजा, गीत-संगीत")</f>
        <v>संस्कार, कर्मकाण्ड, पाठ, पूजा, गीत-संगीत</v>
      </c>
      <c r="H124" s="1"/>
      <c r="I124" s="1"/>
      <c r="J124" s="1"/>
      <c r="K124" s="1"/>
      <c r="L124" s="1"/>
      <c r="M124" s="1"/>
      <c r="N124" s="1"/>
      <c r="O124" s="1"/>
      <c r="P124" s="1"/>
      <c r="Q124" s="1"/>
      <c r="R124" s="1"/>
      <c r="S124" s="1"/>
      <c r="T124" s="1"/>
      <c r="U124" s="1"/>
      <c r="V124" s="1"/>
      <c r="W124" s="1" t="str">
        <f ca="1">IFERROR(__xludf.DUMMYFUNCTION("""COMPUTED_VALUE"""),"पर्व-त्यौहार, कर्मकाण्ड")</f>
        <v>पर्व-त्यौहार, कर्मकाण्ड</v>
      </c>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t="str">
        <f ca="1">IFERROR(__xludf.DUMMYFUNCTION("""COMPUTED_VALUE"""),"युग परिवर्तन में समर्थ दीपयज्ञ")</f>
        <v>युग परिवर्तन में समर्थ दीपयज्ञ</v>
      </c>
      <c r="BH124" s="1"/>
      <c r="BI124" s="1"/>
      <c r="BJ124" s="1"/>
      <c r="BK124" s="1"/>
      <c r="BL124" s="1"/>
      <c r="BM124" s="1"/>
      <c r="BN124" s="1"/>
      <c r="BO124" s="1"/>
      <c r="BP124" s="1"/>
      <c r="BQ124" s="1"/>
      <c r="BR124" s="1"/>
      <c r="BS124" s="1"/>
      <c r="BT124" s="1"/>
      <c r="BU124" s="1"/>
      <c r="BV124" s="1"/>
      <c r="BW124" s="1">
        <f ca="1">IFERROR(__xludf.DUMMYFUNCTION("""COMPUTED_VALUE"""),46)</f>
        <v>46</v>
      </c>
      <c r="BX124" s="1">
        <f ca="1">IFERROR(__xludf.DUMMYFUNCTION("""COMPUTED_VALUE"""),39)</f>
        <v>39</v>
      </c>
      <c r="BY124" s="1">
        <f ca="1">IFERROR(__xludf.DUMMYFUNCTION("""COMPUTED_VALUE"""),6)</f>
        <v>6</v>
      </c>
      <c r="BZ124" s="1">
        <f ca="1">IFERROR(__xludf.DUMMYFUNCTION("""COMPUTED_VALUE"""),16)</f>
        <v>16</v>
      </c>
      <c r="CA124" s="1"/>
      <c r="CB124" s="1"/>
      <c r="CC124" s="1" t="str">
        <f ca="1">IFERROR(__xludf.DUMMYFUNCTION("""COMPUTED_VALUE"""),"એકવીસમી સદી નારી સદી : G_PP_62")</f>
        <v>એકવીસમી સદી નારી સદી : G_PP_62</v>
      </c>
      <c r="CD124" s="3" t="str">
        <f ca="1">IFERROR(__xludf.DUMMYFUNCTION("""COMPUTED_VALUE"""),"https://vicharkrantibooks.org/productdetail?product_id=3966")</f>
        <v>https://vicharkrantibooks.org/productdetail?product_id=3966</v>
      </c>
      <c r="CE124" s="1" t="str">
        <f ca="1">IFERROR(__xludf.DUMMYFUNCTION("""COMPUTED_VALUE"""),"Audiobook : એકવીસમી સદી નારી સદી : G_PP_62 : dave.chhaya@gmail.com : Recorded")</f>
        <v>Audiobook : એકવીસમી સદી નારી સદી : G_PP_62 : dave.chhaya@gmail.com : Recorded</v>
      </c>
      <c r="CF124" s="1" t="str">
        <f ca="1">IFERROR(__xludf.DUMMYFUNCTION("""COMPUTED_VALUE"""),"Audiobook : એકવીસમી સદી નારી સદી : G_PP_62 : dave.chhaya@gmail.com : Recorded")</f>
        <v>Audiobook : એકવીસમી સદી નારી સદી : G_PP_62 : dave.chhaya@gmail.com : Recorded</v>
      </c>
      <c r="CG124" s="1" t="str">
        <f ca="1">IFERROR(__xludf.DUMMYFUNCTION("""COMPUTED_VALUE"""),"Adarniya Chhaya Deepak Dave  ji એકવીસમી સદી નારી સદી : G_PP_62 : Allocated on 10-Jul-24 Contact Number  9879596556")</f>
        <v>Adarniya Chhaya Deepak Dave  ji એકવીસમી સદી નારી સદી : G_PP_62 : Allocated on 10-Jul-24 Contact Number  9879596556</v>
      </c>
      <c r="CH124" s="1" t="str">
        <f ca="1">IFERROR(__xludf.DUMMYFUNCTION("""COMPUTED_VALUE"""),"dave.chhaya@gmail.com : એકવીસમી સદી નારી સદી : G_PP_62")</f>
        <v>dave.chhaya@gmail.com : એકવીસમી સદી નારી સદી : G_PP_62</v>
      </c>
      <c r="CI124" s="5">
        <f ca="1">IFERROR(__xludf.DUMMYFUNCTION("""COMPUTED_VALUE"""),45483.7452132523)</f>
        <v>45483.745213252303</v>
      </c>
    </row>
    <row r="125" spans="1:87" x14ac:dyDescent="0.25">
      <c r="A125" s="5">
        <f ca="1">IFERROR(__xludf.DUMMYFUNCTION("""COMPUTED_VALUE"""),45482.8061425)</f>
        <v>45482.806142499998</v>
      </c>
      <c r="B125" s="1" t="str">
        <f ca="1">IFERROR(__xludf.DUMMYFUNCTION("""COMPUTED_VALUE"""),"aminilesh68@gmail.com")</f>
        <v>aminilesh68@gmail.com</v>
      </c>
      <c r="C125" s="1" t="str">
        <f ca="1">IFERROR(__xludf.DUMMYFUNCTION("""COMPUTED_VALUE"""),"Ami Desai ")</f>
        <v xml:space="preserve">Ami Desai </v>
      </c>
      <c r="D125" s="1">
        <f ca="1">IFERROR(__xludf.DUMMYFUNCTION("""COMPUTED_VALUE"""),7506041745)</f>
        <v>7506041745</v>
      </c>
      <c r="E125" s="1" t="str">
        <f ca="1">IFERROR(__xludf.DUMMYFUNCTION("""COMPUTED_VALUE"""),"Yes")</f>
        <v>Yes</v>
      </c>
      <c r="F125" s="1" t="str">
        <f ca="1">IFERROR(__xludf.DUMMYFUNCTION("""COMPUTED_VALUE"""),"गुजराती")</f>
        <v>गुजराती</v>
      </c>
      <c r="G125" s="1" t="str">
        <f ca="1">IFERROR(__xludf.DUMMYFUNCTION("""COMPUTED_VALUE"""),"गायत्री परिवार")</f>
        <v>गायत्री परिवार</v>
      </c>
      <c r="H125" s="1"/>
      <c r="I125" s="1"/>
      <c r="J125" s="1" t="str">
        <f ca="1">IFERROR(__xludf.DUMMYFUNCTION("""COMPUTED_VALUE"""),"सृजन शिल्पियों की योजनाबद्ध कार्य पद्धति")</f>
        <v>सृजन शिल्पियों की योजनाबद्ध कार्य पद्धति</v>
      </c>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f ca="1">IFERROR(__xludf.DUMMYFUNCTION("""COMPUTED_VALUE"""),1)</f>
        <v>1</v>
      </c>
      <c r="BX125" s="1">
        <f ca="1">IFERROR(__xludf.DUMMYFUNCTION("""COMPUTED_VALUE"""),0)</f>
        <v>0</v>
      </c>
      <c r="BY125" s="1">
        <f ca="1">IFERROR(__xludf.DUMMYFUNCTION("""COMPUTED_VALUE"""),1)</f>
        <v>1</v>
      </c>
      <c r="BZ125" s="1">
        <f ca="1">IFERROR(__xludf.DUMMYFUNCTION("""COMPUTED_VALUE"""),0)</f>
        <v>0</v>
      </c>
      <c r="CA125" s="1"/>
      <c r="CB125" s="1"/>
      <c r="CC125" s="1" t="str">
        <f ca="1">IFERROR(__xludf.DUMMYFUNCTION("""COMPUTED_VALUE"""),"દેવશક્તિઓનું પૂજન કેવી રીતે કરીએ : G_JS_86")</f>
        <v>દેવશક્તિઓનું પૂજન કેવી રીતે કરીએ : G_JS_86</v>
      </c>
      <c r="CD125" s="3" t="str">
        <f ca="1">IFERROR(__xludf.DUMMYFUNCTION("""COMPUTED_VALUE"""),"https://vicharkrantibooks.org/productdetail?product_id=3811")</f>
        <v>https://vicharkrantibooks.org/productdetail?product_id=3811</v>
      </c>
      <c r="CE125" s="1" t="str">
        <f ca="1">IFERROR(__xludf.DUMMYFUNCTION("""COMPUTED_VALUE"""),"Audiobook : દેવશક્તિઓનું પૂજન કેવી રીતે કરીએ : G_JS_86 : aminilesh68@gmail.com : Recorded")</f>
        <v>Audiobook : દેવશક્તિઓનું પૂજન કેવી રીતે કરીએ : G_JS_86 : aminilesh68@gmail.com : Recorded</v>
      </c>
      <c r="CF125" s="1" t="str">
        <f ca="1">IFERROR(__xludf.DUMMYFUNCTION("""COMPUTED_VALUE"""),"#N/A")</f>
        <v>#N/A</v>
      </c>
      <c r="CG125" s="1" t="str">
        <f ca="1">IFERROR(__xludf.DUMMYFUNCTION("""COMPUTED_VALUE"""),"Adarniya Ami Desai  ji દેવશક્તિઓનું પૂજન કેવી રીતે કરીએ : G_JS_86 : Allocated on 09-Jul-24 Contact Number  7506041745")</f>
        <v>Adarniya Ami Desai  ji દેવશક્તિઓનું પૂજન કેવી રીતે કરીએ : G_JS_86 : Allocated on 09-Jul-24 Contact Number  7506041745</v>
      </c>
      <c r="CH125" s="1" t="str">
        <f ca="1">IFERROR(__xludf.DUMMYFUNCTION("""COMPUTED_VALUE"""),"aminilesh68@gmail.com : દેવશક્તિઓનું પૂજન કેવી રીતે કરીએ : G_JS_86")</f>
        <v>aminilesh68@gmail.com : દેવશક્તિઓનું પૂજન કેવી રીતે કરીએ : G_JS_86</v>
      </c>
      <c r="CI125" s="5">
        <f ca="1">IFERROR(__xludf.DUMMYFUNCTION("""COMPUTED_VALUE"""),45482.8061425)</f>
        <v>45482.806142499998</v>
      </c>
    </row>
    <row r="126" spans="1:87" x14ac:dyDescent="0.25">
      <c r="A126" s="5">
        <f ca="1">IFERROR(__xludf.DUMMYFUNCTION("""COMPUTED_VALUE"""),45481.7977350463)</f>
        <v>45481.797735046297</v>
      </c>
      <c r="B126" s="1" t="str">
        <f ca="1">IFERROR(__xludf.DUMMYFUNCTION("""COMPUTED_VALUE"""),"kalagpatel1959@gmail.com")</f>
        <v>kalagpatel1959@gmail.com</v>
      </c>
      <c r="C126" s="1" t="str">
        <f ca="1">IFERROR(__xludf.DUMMYFUNCTION("""COMPUTED_VALUE"""),"Kala Patel ")</f>
        <v xml:space="preserve">Kala Patel </v>
      </c>
      <c r="D126" s="1">
        <f ca="1">IFERROR(__xludf.DUMMYFUNCTION("""COMPUTED_VALUE"""),9016250929)</f>
        <v>9016250929</v>
      </c>
      <c r="E126" s="1" t="str">
        <f ca="1">IFERROR(__xludf.DUMMYFUNCTION("""COMPUTED_VALUE"""),"Yes")</f>
        <v>Yes</v>
      </c>
      <c r="F126" s="1" t="str">
        <f ca="1">IFERROR(__xludf.DUMMYFUNCTION("""COMPUTED_VALUE"""),"हिन्दी")</f>
        <v>हिन्दी</v>
      </c>
      <c r="G126" s="1" t="str">
        <f ca="1">IFERROR(__xludf.DUMMYFUNCTION("""COMPUTED_VALUE"""),"अध्यात्म, धर्म एवं दर्शन")</f>
        <v>अध्यात्म, धर्म एवं दर्शन</v>
      </c>
      <c r="H126" s="1" t="str">
        <f ca="1">IFERROR(__xludf.DUMMYFUNCTION("""COMPUTED_VALUE"""),"आत्मज्ञान एवं आत्मनिर्माण")</f>
        <v>आत्मज्ञान एवं आत्मनिर्माण</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f ca="1">IFERROR(__xludf.DUMMYFUNCTION("""COMPUTED_VALUE"""),34)</f>
        <v>34</v>
      </c>
      <c r="BX126" s="1">
        <f ca="1">IFERROR(__xludf.DUMMYFUNCTION("""COMPUTED_VALUE"""),34)</f>
        <v>34</v>
      </c>
      <c r="BY126" s="1">
        <f ca="1">IFERROR(__xludf.DUMMYFUNCTION("""COMPUTED_VALUE"""),4)</f>
        <v>4</v>
      </c>
      <c r="BZ126" s="1">
        <f ca="1">IFERROR(__xludf.DUMMYFUNCTION("""COMPUTED_VALUE"""),11)</f>
        <v>11</v>
      </c>
      <c r="CA126" s="1"/>
      <c r="CB126" s="1"/>
      <c r="CC126" s="1" t="str">
        <f ca="1">IFERROR(__xludf.DUMMYFUNCTION("""COMPUTED_VALUE"""),"देवपूजन का मर्म समझें : H_JS_80")</f>
        <v>देवपूजन का मर्म समझें : H_JS_80</v>
      </c>
      <c r="CD126" s="3" t="str">
        <f ca="1">IFERROR(__xludf.DUMMYFUNCTION("""COMPUTED_VALUE"""),"https://vicharkrantibooks.org/productdetail?book_name=HINP0217_DEVAPUJAN_KA_MARM_SAMAJHEN_xx2011&amp;product_id=782")</f>
        <v>https://vicharkrantibooks.org/productdetail?book_name=HINP0217_DEVAPUJAN_KA_MARM_SAMAJHEN_xx2011&amp;product_id=782</v>
      </c>
      <c r="CE126" s="1" t="str">
        <f ca="1">IFERROR(__xludf.DUMMYFUNCTION("""COMPUTED_VALUE"""),"Audiobook : देवपूजन का मर्म समझें : H_JS_80 : kalagpatel1959@gmail.com : Recorded")</f>
        <v>Audiobook : देवपूजन का मर्म समझें : H_JS_80 : kalagpatel1959@gmail.com : Recorded</v>
      </c>
      <c r="CF126" s="1" t="str">
        <f ca="1">IFERROR(__xludf.DUMMYFUNCTION("""COMPUTED_VALUE"""),"Audiobook : देवपूजन का मर्म समझें : H_JS_80 : kalagpatel1959@gmail.com : Recorded")</f>
        <v>Audiobook : देवपूजन का मर्म समझें : H_JS_80 : kalagpatel1959@gmail.com : Recorded</v>
      </c>
      <c r="CG126" s="1" t="str">
        <f ca="1">IFERROR(__xludf.DUMMYFUNCTION("""COMPUTED_VALUE"""),"Adarniya Kala Patel  ji देवपूजन का मर्म समझें : H_JS_80 : Allocated on 08-Jul-24 Contact Number  9016250929")</f>
        <v>Adarniya Kala Patel  ji देवपूजन का मर्म समझें : H_JS_80 : Allocated on 08-Jul-24 Contact Number  9016250929</v>
      </c>
      <c r="CH126" s="1" t="str">
        <f ca="1">IFERROR(__xludf.DUMMYFUNCTION("""COMPUTED_VALUE"""),"kalagpatel1959@gmail.com : देवपूजन का मर्म समझें : H_JS_80")</f>
        <v>kalagpatel1959@gmail.com : देवपूजन का मर्म समझें : H_JS_80</v>
      </c>
      <c r="CI126" s="5">
        <f ca="1">IFERROR(__xludf.DUMMYFUNCTION("""COMPUTED_VALUE"""),45481.7977350463)</f>
        <v>45481.797735046297</v>
      </c>
    </row>
    <row r="127" spans="1:87" x14ac:dyDescent="0.25">
      <c r="A127" s="5">
        <f ca="1">IFERROR(__xludf.DUMMYFUNCTION("""COMPUTED_VALUE"""),45481.7006806944)</f>
        <v>45481.700680694397</v>
      </c>
      <c r="B127" s="1" t="str">
        <f ca="1">IFERROR(__xludf.DUMMYFUNCTION("""COMPUTED_VALUE"""),"dave.chhaya@gmail.com")</f>
        <v>dave.chhaya@gmail.com</v>
      </c>
      <c r="C127" s="1" t="str">
        <f ca="1">IFERROR(__xludf.DUMMYFUNCTION("""COMPUTED_VALUE"""),"Chhaya Deepak Dave ")</f>
        <v xml:space="preserve">Chhaya Deepak Dave </v>
      </c>
      <c r="D127" s="1">
        <f ca="1">IFERROR(__xludf.DUMMYFUNCTION("""COMPUTED_VALUE"""),9879596556)</f>
        <v>9879596556</v>
      </c>
      <c r="E127" s="1" t="str">
        <f ca="1">IFERROR(__xludf.DUMMYFUNCTION("""COMPUTED_VALUE"""),"Yes")</f>
        <v>Yes</v>
      </c>
      <c r="F127" s="1" t="str">
        <f ca="1">IFERROR(__xludf.DUMMYFUNCTION("""COMPUTED_VALUE"""),"गुजराती")</f>
        <v>गुजराती</v>
      </c>
      <c r="G127" s="1" t="str">
        <f ca="1">IFERROR(__xludf.DUMMYFUNCTION("""COMPUTED_VALUE"""),"समग्र स्वास्थ्य")</f>
        <v>समग्र स्वास्थ्य</v>
      </c>
      <c r="H127" s="1"/>
      <c r="I127" s="1"/>
      <c r="J127" s="1"/>
      <c r="K127" s="1"/>
      <c r="L127" s="1"/>
      <c r="M127" s="1"/>
      <c r="N127" s="1"/>
      <c r="O127" s="1"/>
      <c r="P127" s="1"/>
      <c r="Q127" s="1"/>
      <c r="R127" s="1"/>
      <c r="S127" s="1"/>
      <c r="T127" s="1"/>
      <c r="U127" s="1" t="str">
        <f ca="1">IFERROR(__xludf.DUMMYFUNCTION("""COMPUTED_VALUE"""),"मानसिक स्वास्थ्य")</f>
        <v>मानसिक स्वास्थ्य</v>
      </c>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f ca="1">IFERROR(__xludf.DUMMYFUNCTION("""COMPUTED_VALUE"""),46)</f>
        <v>46</v>
      </c>
      <c r="BX127" s="1">
        <f ca="1">IFERROR(__xludf.DUMMYFUNCTION("""COMPUTED_VALUE"""),39)</f>
        <v>39</v>
      </c>
      <c r="BY127" s="1">
        <f ca="1">IFERROR(__xludf.DUMMYFUNCTION("""COMPUTED_VALUE"""),6)</f>
        <v>6</v>
      </c>
      <c r="BZ127" s="1">
        <f ca="1">IFERROR(__xludf.DUMMYFUNCTION("""COMPUTED_VALUE"""),16)</f>
        <v>16</v>
      </c>
      <c r="CA127" s="1"/>
      <c r="CB127" s="1"/>
      <c r="CC127" s="1" t="str">
        <f ca="1">IFERROR(__xludf.DUMMYFUNCTION("""COMPUTED_VALUE"""),"દેવપૂજનનો મર્મ સમજો : G_JS_80")</f>
        <v>દેવપૂજનનો મર્મ સમજો : G_JS_80</v>
      </c>
      <c r="CD127" s="3" t="str">
        <f ca="1">IFERROR(__xludf.DUMMYFUNCTION("""COMPUTED_VALUE"""),"https://vicharkrantibooks.org/productdetail?product_id=3805")</f>
        <v>https://vicharkrantibooks.org/productdetail?product_id=3805</v>
      </c>
      <c r="CE127" s="1" t="str">
        <f ca="1">IFERROR(__xludf.DUMMYFUNCTION("""COMPUTED_VALUE"""),"Audiobook : દેવપૂજનનો મર્મ સમજો : G_JS_80 : dave.chhaya@gmail.com : Recorded")</f>
        <v>Audiobook : દેવપૂજનનો મર્મ સમજો : G_JS_80 : dave.chhaya@gmail.com : Recorded</v>
      </c>
      <c r="CF127" s="1" t="str">
        <f ca="1">IFERROR(__xludf.DUMMYFUNCTION("""COMPUTED_VALUE"""),"Audiobook : દેવપૂજનનો મર્મ સમજો : G_JS_80 : dave.chhaya@gmail.com : Recorded")</f>
        <v>Audiobook : દેવપૂજનનો મર્મ સમજો : G_JS_80 : dave.chhaya@gmail.com : Recorded</v>
      </c>
      <c r="CG127" s="1" t="str">
        <f ca="1">IFERROR(__xludf.DUMMYFUNCTION("""COMPUTED_VALUE"""),"Adarniya Chhaya Deepak Dave  ji દેવપૂજનનો મર્મ સમજો : G_JS_80 : Allocated on 08-Jul-24 Contact Number  9879596556")</f>
        <v>Adarniya Chhaya Deepak Dave  ji દેવપૂજનનો મર્મ સમજો : G_JS_80 : Allocated on 08-Jul-24 Contact Number  9879596556</v>
      </c>
      <c r="CH127" s="1" t="str">
        <f ca="1">IFERROR(__xludf.DUMMYFUNCTION("""COMPUTED_VALUE"""),"dave.chhaya@gmail.com : દેવપૂજનનો મર્મ સમજો : G_JS_80")</f>
        <v>dave.chhaya@gmail.com : દેવપૂજનનો મર્મ સમજો : G_JS_80</v>
      </c>
      <c r="CI127" s="5">
        <f ca="1">IFERROR(__xludf.DUMMYFUNCTION("""COMPUTED_VALUE"""),45481.7006806944)</f>
        <v>45481.700680694397</v>
      </c>
    </row>
    <row r="128" spans="1:87" x14ac:dyDescent="0.25">
      <c r="A128" s="5">
        <f ca="1">IFERROR(__xludf.DUMMYFUNCTION("""COMPUTED_VALUE"""),45481.6335658796)</f>
        <v>45481.633565879602</v>
      </c>
      <c r="B128" s="1" t="str">
        <f ca="1">IFERROR(__xludf.DUMMYFUNCTION("""COMPUTED_VALUE"""),"divyabhatnagar73@gmail.com")</f>
        <v>divyabhatnagar73@gmail.com</v>
      </c>
      <c r="C128" s="1" t="str">
        <f ca="1">IFERROR(__xludf.DUMMYFUNCTION("""COMPUTED_VALUE"""),"Divya Bhatnagar")</f>
        <v>Divya Bhatnagar</v>
      </c>
      <c r="D128" s="1">
        <f ca="1">IFERROR(__xludf.DUMMYFUNCTION("""COMPUTED_VALUE"""),9672806579)</f>
        <v>9672806579</v>
      </c>
      <c r="E128" s="1" t="str">
        <f ca="1">IFERROR(__xludf.DUMMYFUNCTION("""COMPUTED_VALUE"""),"Yes")</f>
        <v>Yes</v>
      </c>
      <c r="F128" s="1" t="str">
        <f ca="1">IFERROR(__xludf.DUMMYFUNCTION("""COMPUTED_VALUE"""),"English")</f>
        <v>English</v>
      </c>
      <c r="G128" s="1" t="str">
        <f ca="1">IFERROR(__xludf.DUMMYFUNCTION("""COMPUTED_VALUE"""),"English")</f>
        <v>English</v>
      </c>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f ca="1">IFERROR(__xludf.DUMMYFUNCTION("""COMPUTED_VALUE"""),12)</f>
        <v>12</v>
      </c>
      <c r="BX128" s="1">
        <f ca="1">IFERROR(__xludf.DUMMYFUNCTION("""COMPUTED_VALUE"""),6)</f>
        <v>6</v>
      </c>
      <c r="BY128" s="1">
        <f ca="1">IFERROR(__xludf.DUMMYFUNCTION("""COMPUTED_VALUE"""),7)</f>
        <v>7</v>
      </c>
      <c r="BZ128" s="1">
        <f ca="1">IFERROR(__xludf.DUMMYFUNCTION("""COMPUTED_VALUE"""),1)</f>
        <v>1</v>
      </c>
      <c r="CA128" s="1"/>
      <c r="CB128" s="1"/>
      <c r="CC128" s="1" t="str">
        <f ca="1">IFERROR(__xludf.DUMMYFUNCTION("""COMPUTED_VALUE"""),"Old And New Herbal Remedies : EP_76")</f>
        <v>Old And New Herbal Remedies : EP_76</v>
      </c>
      <c r="CD128" s="3" t="str">
        <f ca="1">IFERROR(__xludf.DUMMYFUNCTION("""COMPUTED_VALUE"""),"http://literature.awgp.org/book/Old_New_Herbal_Remedies/v1")</f>
        <v>http://literature.awgp.org/book/Old_New_Herbal_Remedies/v1</v>
      </c>
      <c r="CE128" s="1" t="str">
        <f ca="1">IFERROR(__xludf.DUMMYFUNCTION("""COMPUTED_VALUE"""),"Audiobook : Old And New Herbal Remedies : EP_76 : divyabhatnagar73@gmail.com : Recorded")</f>
        <v>Audiobook : Old And New Herbal Remedies : EP_76 : divyabhatnagar73@gmail.com : Recorded</v>
      </c>
      <c r="CF128" s="1" t="str">
        <f ca="1">IFERROR(__xludf.DUMMYFUNCTION("""COMPUTED_VALUE"""),"#N/A")</f>
        <v>#N/A</v>
      </c>
      <c r="CG128" s="1" t="str">
        <f ca="1">IFERROR(__xludf.DUMMYFUNCTION("""COMPUTED_VALUE"""),"Adarniya Divya Bhatnagar ji Old And New Herbal Remedies : EP_76 : Allocated on 08-Jul-24 Contact Number  9672806579")</f>
        <v>Adarniya Divya Bhatnagar ji Old And New Herbal Remedies : EP_76 : Allocated on 08-Jul-24 Contact Number  9672806579</v>
      </c>
      <c r="CH128" s="1" t="str">
        <f ca="1">IFERROR(__xludf.DUMMYFUNCTION("""COMPUTED_VALUE"""),"divyabhatnagar73@gmail.com : Old And New Herbal Remedies : EP_76")</f>
        <v>divyabhatnagar73@gmail.com : Old And New Herbal Remedies : EP_76</v>
      </c>
      <c r="CI128" s="5">
        <f ca="1">IFERROR(__xludf.DUMMYFUNCTION("""COMPUTED_VALUE"""),45481.6335658796)</f>
        <v>45481.633565879602</v>
      </c>
    </row>
    <row r="129" spans="1:87" x14ac:dyDescent="0.25">
      <c r="A129" s="5">
        <f ca="1">IFERROR(__xludf.DUMMYFUNCTION("""COMPUTED_VALUE"""),45481.3626862037)</f>
        <v>45481.362686203698</v>
      </c>
      <c r="B129" s="1" t="str">
        <f ca="1">IFERROR(__xludf.DUMMYFUNCTION("""COMPUTED_VALUE"""),"druma4107@gmail.com")</f>
        <v>druma4107@gmail.com</v>
      </c>
      <c r="C129" s="1" t="str">
        <f ca="1">IFERROR(__xludf.DUMMYFUNCTION("""COMPUTED_VALUE"""),"Dr Uma Agrawal")</f>
        <v>Dr Uma Agrawal</v>
      </c>
      <c r="D129" s="1">
        <f ca="1">IFERROR(__xludf.DUMMYFUNCTION("""COMPUTED_VALUE"""),9410861182)</f>
        <v>9410861182</v>
      </c>
      <c r="E129" s="1" t="str">
        <f ca="1">IFERROR(__xludf.DUMMYFUNCTION("""COMPUTED_VALUE"""),"Yes")</f>
        <v>Yes</v>
      </c>
      <c r="F129" s="1" t="str">
        <f ca="1">IFERROR(__xludf.DUMMYFUNCTION("""COMPUTED_VALUE"""),"हिन्दी")</f>
        <v>हिन्दी</v>
      </c>
      <c r="G129" s="1" t="str">
        <f ca="1">IFERROR(__xludf.DUMMYFUNCTION("""COMPUTED_VALUE"""),"राष्ट्र निर्माण")</f>
        <v>राष्ट्र निर्माण</v>
      </c>
      <c r="H129" s="1"/>
      <c r="I129" s="1"/>
      <c r="J129" s="1"/>
      <c r="K129" s="1"/>
      <c r="L129" s="1"/>
      <c r="M129" s="1"/>
      <c r="N129" s="1"/>
      <c r="O129" s="1"/>
      <c r="P129" s="1"/>
      <c r="Q129" s="1"/>
      <c r="R129" s="1" t="str">
        <f ca="1">IFERROR(__xludf.DUMMYFUNCTION("""COMPUTED_VALUE"""),"सार्थक एवं समग्र शिक्षा")</f>
        <v>सार्थक एवं समग्र शिक्षा</v>
      </c>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f ca="1">IFERROR(__xludf.DUMMYFUNCTION("""COMPUTED_VALUE"""),104)</f>
        <v>104</v>
      </c>
      <c r="BX129" s="1">
        <f ca="1">IFERROR(__xludf.DUMMYFUNCTION("""COMPUTED_VALUE"""),106)</f>
        <v>106</v>
      </c>
      <c r="BY129" s="1">
        <f ca="1">IFERROR(__xludf.DUMMYFUNCTION("""COMPUTED_VALUE"""),9)</f>
        <v>9</v>
      </c>
      <c r="BZ129" s="1">
        <f ca="1">IFERROR(__xludf.DUMMYFUNCTION("""COMPUTED_VALUE"""),43)</f>
        <v>43</v>
      </c>
      <c r="CA129" s="1"/>
      <c r="CB129" s="1"/>
      <c r="CC129" s="1" t="str">
        <f ca="1">IFERROR(__xludf.DUMMYFUNCTION("""COMPUTED_VALUE"""),"जन संख्या विस्फोट की विनाश लीला के पूर्व ही चेतें : Rare Book")</f>
        <v>जन संख्या विस्फोट की विनाश लीला के पूर्व ही चेतें : Rare Book</v>
      </c>
      <c r="CD129" s="3" t="str">
        <f ca="1">IFERROR(__xludf.DUMMYFUNCTION("""COMPUTED_VALUE"""),"https://vicharkrantibooks.org/productdetail?book_name=HINP0375_JAN_SANKHYA_VISPHOT_KI_VINASH_LILA_KE_PURV_HI_CHETEN_xx1982&amp;product_id=940")</f>
        <v>https://vicharkrantibooks.org/productdetail?book_name=HINP0375_JAN_SANKHYA_VISPHOT_KI_VINASH_LILA_KE_PURV_HI_CHETEN_xx1982&amp;product_id=940</v>
      </c>
      <c r="CE129" s="1" t="str">
        <f ca="1">IFERROR(__xludf.DUMMYFUNCTION("""COMPUTED_VALUE"""),"Audiobook : जन संख्या विस्फोट की विनाश लीला के पूर्व ही चेतें : Rare Book : druma4107@gmail.com : Recorded")</f>
        <v>Audiobook : जन संख्या विस्फोट की विनाश लीला के पूर्व ही चेतें : Rare Book : druma4107@gmail.com : Recorded</v>
      </c>
      <c r="CF129" s="1" t="str">
        <f ca="1">IFERROR(__xludf.DUMMYFUNCTION("""COMPUTED_VALUE"""),"Audiobook : जन संख्या विस्फोट की विनाश लीला के पूर्व ही चेतें : Rare Book : druma4107@gmail.com : Recorded")</f>
        <v>Audiobook : जन संख्या विस्फोट की विनाश लीला के पूर्व ही चेतें : Rare Book : druma4107@gmail.com : Recorded</v>
      </c>
      <c r="CG129" s="1" t="str">
        <f ca="1">IFERROR(__xludf.DUMMYFUNCTION("""COMPUTED_VALUE"""),"Adarniya Dr Uma Agrawal ji जन संख्या विस्फोट की विनाश लीला के पूर्व ही चेतें : Rare Book : Allocated on 08-Jul-24 Contact Number  9410861182")</f>
        <v>Adarniya Dr Uma Agrawal ji जन संख्या विस्फोट की विनाश लीला के पूर्व ही चेतें : Rare Book : Allocated on 08-Jul-24 Contact Number  9410861182</v>
      </c>
      <c r="CH129" s="1" t="str">
        <f ca="1">IFERROR(__xludf.DUMMYFUNCTION("""COMPUTED_VALUE"""),"druma4107@gmail.com : जन संख्या विस्फोट की विनाश लीला के पूर्व ही चेतें : Rare Book")</f>
        <v>druma4107@gmail.com : जन संख्या विस्फोट की विनाश लीला के पूर्व ही चेतें : Rare Book</v>
      </c>
      <c r="CI129" s="5">
        <f ca="1">IFERROR(__xludf.DUMMYFUNCTION("""COMPUTED_VALUE"""),45481.3626862037)</f>
        <v>45481.362686203698</v>
      </c>
    </row>
    <row r="130" spans="1:87" x14ac:dyDescent="0.25">
      <c r="A130" s="5">
        <f ca="1">IFERROR(__xludf.DUMMYFUNCTION("""COMPUTED_VALUE"""),45480.8652642592)</f>
        <v>45480.865264259199</v>
      </c>
      <c r="B130" s="1" t="str">
        <f ca="1">IFERROR(__xludf.DUMMYFUNCTION("""COMPUTED_VALUE"""),"spmittalmumbai@gmail.com")</f>
        <v>spmittalmumbai@gmail.com</v>
      </c>
      <c r="C130" s="1" t="str">
        <f ca="1">IFERROR(__xludf.DUMMYFUNCTION("""COMPUTED_VALUE"""),"SPMittal")</f>
        <v>SPMittal</v>
      </c>
      <c r="D130" s="1">
        <f ca="1">IFERROR(__xludf.DUMMYFUNCTION("""COMPUTED_VALUE"""),986000307)</f>
        <v>986000307</v>
      </c>
      <c r="E130" s="1" t="str">
        <f ca="1">IFERROR(__xludf.DUMMYFUNCTION("""COMPUTED_VALUE"""),"Yes")</f>
        <v>Yes</v>
      </c>
      <c r="F130" s="1" t="str">
        <f ca="1">IFERROR(__xludf.DUMMYFUNCTION("""COMPUTED_VALUE"""),"हिन्दी")</f>
        <v>हिन्दी</v>
      </c>
      <c r="G130" s="1" t="str">
        <f ca="1">IFERROR(__xludf.DUMMYFUNCTION("""COMPUTED_VALUE"""),"अध्यात्म, धर्म एवं दर्शन")</f>
        <v>अध्यात्म, धर्म एवं दर्शन</v>
      </c>
      <c r="H130" s="1" t="str">
        <f ca="1">IFERROR(__xludf.DUMMYFUNCTION("""COMPUTED_VALUE"""),"आत्मज्ञान एवं आत्मनिर्माण")</f>
        <v>आत्मज्ञान एवं आत्मनिर्माण</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f ca="1">IFERROR(__xludf.DUMMYFUNCTION("""COMPUTED_VALUE"""),39)</f>
        <v>39</v>
      </c>
      <c r="BX130" s="1">
        <f ca="1">IFERROR(__xludf.DUMMYFUNCTION("""COMPUTED_VALUE"""),32)</f>
        <v>32</v>
      </c>
      <c r="BY130" s="1">
        <f ca="1">IFERROR(__xludf.DUMMYFUNCTION("""COMPUTED_VALUE"""),11)</f>
        <v>11</v>
      </c>
      <c r="BZ130" s="1">
        <f ca="1">IFERROR(__xludf.DUMMYFUNCTION("""COMPUTED_VALUE"""),23)</f>
        <v>23</v>
      </c>
      <c r="CA130" s="1"/>
      <c r="CB130" s="1"/>
      <c r="CC130" s="1" t="str">
        <f ca="1">IFERROR(__xludf.DUMMYFUNCTION("""COMPUTED_VALUE"""),"धर्म का वास्तविक स्वरुप : Rare Book")</f>
        <v>धर्म का वास्तविक स्वरुप : Rare Book</v>
      </c>
      <c r="CD130" s="3" t="str">
        <f ca="1">IFERROR(__xludf.DUMMYFUNCTION("""COMPUTED_VALUE"""),"https://vicharkrantibooks.org/productdetail?book_name=HINP0236_DHARM_KA_VASTAVIK_SWARUP_xxyyyy&amp;product_id=801")</f>
        <v>https://vicharkrantibooks.org/productdetail?book_name=HINP0236_DHARM_KA_VASTAVIK_SWARUP_xxyyyy&amp;product_id=801</v>
      </c>
      <c r="CE130" s="1" t="str">
        <f ca="1">IFERROR(__xludf.DUMMYFUNCTION("""COMPUTED_VALUE"""),"Audiobook : धर्म का वास्तविक स्वरुप : Rare Book : spmittalmumbai@gmail.com : Recorded")</f>
        <v>Audiobook : धर्म का वास्तविक स्वरुप : Rare Book : spmittalmumbai@gmail.com : Recorded</v>
      </c>
      <c r="CF130" s="1" t="str">
        <f ca="1">IFERROR(__xludf.DUMMYFUNCTION("""COMPUTED_VALUE"""),"Audiobook : धर्म का वास्तविक स्वरुप : Rare Book : spmittalmumbai@gmail.com : Recorded")</f>
        <v>Audiobook : धर्म का वास्तविक स्वरुप : Rare Book : spmittalmumbai@gmail.com : Recorded</v>
      </c>
      <c r="CG130" s="1" t="str">
        <f ca="1">IFERROR(__xludf.DUMMYFUNCTION("""COMPUTED_VALUE"""),"Adarniya SPMittal ji धर्म का वास्तविक स्वरुप : Rare Book : Allocated on 07-Jul-24 Contact Number  986000307")</f>
        <v>Adarniya SPMittal ji धर्म का वास्तविक स्वरुप : Rare Book : Allocated on 07-Jul-24 Contact Number  986000307</v>
      </c>
      <c r="CH130" s="1" t="str">
        <f ca="1">IFERROR(__xludf.DUMMYFUNCTION("""COMPUTED_VALUE"""),"spmittalmumbai@gmail.com : धर्म का वास्तविक स्वरुप : Rare Book")</f>
        <v>spmittalmumbai@gmail.com : धर्म का वास्तविक स्वरुप : Rare Book</v>
      </c>
      <c r="CI130" s="5">
        <f ca="1">IFERROR(__xludf.DUMMYFUNCTION("""COMPUTED_VALUE"""),45480.8652642592)</f>
        <v>45480.865264259199</v>
      </c>
    </row>
    <row r="131" spans="1:87" x14ac:dyDescent="0.25">
      <c r="A131" s="5">
        <f ca="1">IFERROR(__xludf.DUMMYFUNCTION("""COMPUTED_VALUE"""),45478.7484212962)</f>
        <v>45478.748421296201</v>
      </c>
      <c r="B131" s="1" t="str">
        <f ca="1">IFERROR(__xludf.DUMMYFUNCTION("""COMPUTED_VALUE"""),"dave.chhaya@gmail.com")</f>
        <v>dave.chhaya@gmail.com</v>
      </c>
      <c r="C131" s="1" t="str">
        <f ca="1">IFERROR(__xludf.DUMMYFUNCTION("""COMPUTED_VALUE"""),"Chhaya Deepak Dave ")</f>
        <v xml:space="preserve">Chhaya Deepak Dave </v>
      </c>
      <c r="D131" s="1">
        <f ca="1">IFERROR(__xludf.DUMMYFUNCTION("""COMPUTED_VALUE"""),9879596556)</f>
        <v>9879596556</v>
      </c>
      <c r="E131" s="1" t="str">
        <f ca="1">IFERROR(__xludf.DUMMYFUNCTION("""COMPUTED_VALUE"""),"Yes")</f>
        <v>Yes</v>
      </c>
      <c r="F131" s="1" t="str">
        <f ca="1">IFERROR(__xludf.DUMMYFUNCTION("""COMPUTED_VALUE"""),"गुजराती")</f>
        <v>गुजराती</v>
      </c>
      <c r="G131" s="1" t="str">
        <f ca="1">IFERROR(__xludf.DUMMYFUNCTION("""COMPUTED_VALUE"""),"व्यक्ति निर्माण, युवा/विद्यार्थी एवं शिक्षक")</f>
        <v>व्यक्ति निर्माण, युवा/विद्यार्थी एवं शिक्षक</v>
      </c>
      <c r="H131" s="1"/>
      <c r="I131" s="1"/>
      <c r="J131" s="1"/>
      <c r="K131" s="1"/>
      <c r="L131" s="1"/>
      <c r="M131" s="1"/>
      <c r="N131" s="1"/>
      <c r="O131" s="1"/>
      <c r="P131" s="1"/>
      <c r="Q131" s="1"/>
      <c r="R131" s="1"/>
      <c r="S131" s="1"/>
      <c r="T131" s="1" t="str">
        <f ca="1">IFERROR(__xludf.DUMMYFUNCTION("""COMPUTED_VALUE"""),"व्यक्तित्व परिष्कार")</f>
        <v>व्यक्तित्व परिष्कार</v>
      </c>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f ca="1">IFERROR(__xludf.DUMMYFUNCTION("""COMPUTED_VALUE"""),46)</f>
        <v>46</v>
      </c>
      <c r="BX131" s="1">
        <f ca="1">IFERROR(__xludf.DUMMYFUNCTION("""COMPUTED_VALUE"""),39)</f>
        <v>39</v>
      </c>
      <c r="BY131" s="1">
        <f ca="1">IFERROR(__xludf.DUMMYFUNCTION("""COMPUTED_VALUE"""),6)</f>
        <v>6</v>
      </c>
      <c r="BZ131" s="1">
        <f ca="1">IFERROR(__xludf.DUMMYFUNCTION("""COMPUTED_VALUE"""),16)</f>
        <v>16</v>
      </c>
      <c r="CA131" s="1"/>
      <c r="CB131" s="1"/>
      <c r="CC131" s="1" t="str">
        <f ca="1">IFERROR(__xludf.DUMMYFUNCTION("""COMPUTED_VALUE"""),"પોતાને ઓળખો : G_PP_25")</f>
        <v>પોતાને ઓળખો : G_PP_25</v>
      </c>
      <c r="CD131" s="3" t="str">
        <f ca="1">IFERROR(__xludf.DUMMYFUNCTION("""COMPUTED_VALUE"""),"https://vicharkrantibooks.org/productdetail?product_id=3930")</f>
        <v>https://vicharkrantibooks.org/productdetail?product_id=3930</v>
      </c>
      <c r="CE131" s="1" t="str">
        <f ca="1">IFERROR(__xludf.DUMMYFUNCTION("""COMPUTED_VALUE"""),"Audiobook : પોતાને ઓળખો : G_PP_25 : dave.chhaya@gmail.com : Recorded")</f>
        <v>Audiobook : પોતાને ઓળખો : G_PP_25 : dave.chhaya@gmail.com : Recorded</v>
      </c>
      <c r="CF131" s="1" t="str">
        <f ca="1">IFERROR(__xludf.DUMMYFUNCTION("""COMPUTED_VALUE"""),"Audiobook : પોતાને ઓળખો : G_PP_25 : dave.chhaya@gmail.com : Recorded")</f>
        <v>Audiobook : પોતાને ઓળખો : G_PP_25 : dave.chhaya@gmail.com : Recorded</v>
      </c>
      <c r="CG131" s="1" t="str">
        <f ca="1">IFERROR(__xludf.DUMMYFUNCTION("""COMPUTED_VALUE"""),"Adarniya Chhaya Deepak Dave  ji પોતાને ઓળખો : G_PP_25 : Allocated on 05-Jul-24 Contact Number  9879596556")</f>
        <v>Adarniya Chhaya Deepak Dave  ji પોતાને ઓળખો : G_PP_25 : Allocated on 05-Jul-24 Contact Number  9879596556</v>
      </c>
      <c r="CH131" s="1" t="str">
        <f ca="1">IFERROR(__xludf.DUMMYFUNCTION("""COMPUTED_VALUE"""),"dave.chhaya@gmail.com : પોતાને ઓળખો : G_PP_25")</f>
        <v>dave.chhaya@gmail.com : પોતાને ઓળખો : G_PP_25</v>
      </c>
      <c r="CI131" s="5">
        <f ca="1">IFERROR(__xludf.DUMMYFUNCTION("""COMPUTED_VALUE"""),45478.7484212962)</f>
        <v>45478.748421296201</v>
      </c>
    </row>
    <row r="132" spans="1:87" x14ac:dyDescent="0.25">
      <c r="A132" s="5">
        <f ca="1">IFERROR(__xludf.DUMMYFUNCTION("""COMPUTED_VALUE"""),45478.2974491666)</f>
        <v>45478.297449166603</v>
      </c>
      <c r="B132" s="1" t="str">
        <f ca="1">IFERROR(__xludf.DUMMYFUNCTION("""COMPUTED_VALUE"""),"kalagpatel1959@gmail.com")</f>
        <v>kalagpatel1959@gmail.com</v>
      </c>
      <c r="C132" s="1" t="str">
        <f ca="1">IFERROR(__xludf.DUMMYFUNCTION("""COMPUTED_VALUE"""),"Kala Patel ")</f>
        <v xml:space="preserve">Kala Patel </v>
      </c>
      <c r="D132" s="1">
        <f ca="1">IFERROR(__xludf.DUMMYFUNCTION("""COMPUTED_VALUE"""),9016250929)</f>
        <v>9016250929</v>
      </c>
      <c r="E132" s="1" t="str">
        <f ca="1">IFERROR(__xludf.DUMMYFUNCTION("""COMPUTED_VALUE"""),"Yes")</f>
        <v>Yes</v>
      </c>
      <c r="F132" s="1" t="str">
        <f ca="1">IFERROR(__xludf.DUMMYFUNCTION("""COMPUTED_VALUE"""),"गुजराती")</f>
        <v>गुजराती</v>
      </c>
      <c r="G132" s="1" t="str">
        <f ca="1">IFERROR(__xludf.DUMMYFUNCTION("""COMPUTED_VALUE"""),"अध्यात्म, धर्म एवं दर्शन")</f>
        <v>अध्यात्म, धर्म एवं दर्शन</v>
      </c>
      <c r="H132" s="1" t="str">
        <f ca="1">IFERROR(__xludf.DUMMYFUNCTION("""COMPUTED_VALUE"""),"उपासना")</f>
        <v>उपासना</v>
      </c>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f ca="1">IFERROR(__xludf.DUMMYFUNCTION("""COMPUTED_VALUE"""),34)</f>
        <v>34</v>
      </c>
      <c r="BX132" s="1">
        <f ca="1">IFERROR(__xludf.DUMMYFUNCTION("""COMPUTED_VALUE"""),34)</f>
        <v>34</v>
      </c>
      <c r="BY132" s="1">
        <f ca="1">IFERROR(__xludf.DUMMYFUNCTION("""COMPUTED_VALUE"""),4)</f>
        <v>4</v>
      </c>
      <c r="BZ132" s="1">
        <f ca="1">IFERROR(__xludf.DUMMYFUNCTION("""COMPUTED_VALUE"""),11)</f>
        <v>11</v>
      </c>
      <c r="CA132" s="1"/>
      <c r="CB132" s="1"/>
      <c r="CC132" s="1" t="str">
        <f ca="1">IFERROR(__xludf.DUMMYFUNCTION("""COMPUTED_VALUE"""),"દેવતાઓનું વરદાન - સત્પ્રવૃત્તિઓ : G_JS_81")</f>
        <v>દેવતાઓનું વરદાન - સત્પ્રવૃત્તિઓ : G_JS_81</v>
      </c>
      <c r="CD132" s="3" t="str">
        <f ca="1">IFERROR(__xludf.DUMMYFUNCTION("""COMPUTED_VALUE"""),"https://vicharkrantibooks.org/productdetail?product_id=3806")</f>
        <v>https://vicharkrantibooks.org/productdetail?product_id=3806</v>
      </c>
      <c r="CE132" s="1" t="str">
        <f ca="1">IFERROR(__xludf.DUMMYFUNCTION("""COMPUTED_VALUE"""),"Audiobook : દેવતાઓનું વરદાન - સત્પ્રવૃત્તિઓ : G_JS_81 : kalagpatel1959@gmail.com : Recorded")</f>
        <v>Audiobook : દેવતાઓનું વરદાન - સત્પ્રવૃત્તિઓ : G_JS_81 : kalagpatel1959@gmail.com : Recorded</v>
      </c>
      <c r="CF132" s="1" t="str">
        <f ca="1">IFERROR(__xludf.DUMMYFUNCTION("""COMPUTED_VALUE"""),"Audiobook : દેવતાઓનું વરદાન - સત્પ્રવૃત્તિઓ : G_JS_81 : kalagpatel1959@gmail.com : Recorded")</f>
        <v>Audiobook : દેવતાઓનું વરદાન - સત્પ્રવૃત્તિઓ : G_JS_81 : kalagpatel1959@gmail.com : Recorded</v>
      </c>
      <c r="CG132" s="1" t="str">
        <f ca="1">IFERROR(__xludf.DUMMYFUNCTION("""COMPUTED_VALUE"""),"Adarniya Kala Patel  ji દેવતાઓનું વરદાન - સત્પ્રવૃત્તિઓ : G_JS_81 : Allocated on 05-Jul-24 Contact Number  9016250929")</f>
        <v>Adarniya Kala Patel  ji દેવતાઓનું વરદાન - સત્પ્રવૃત્તિઓ : G_JS_81 : Allocated on 05-Jul-24 Contact Number  9016250929</v>
      </c>
      <c r="CH132" s="1" t="str">
        <f ca="1">IFERROR(__xludf.DUMMYFUNCTION("""COMPUTED_VALUE"""),"kalagpatel1959@gmail.com : દેવતાઓનું વરદાન - સત્પ્રવૃત્તિઓ : G_JS_81")</f>
        <v>kalagpatel1959@gmail.com : દેવતાઓનું વરદાન - સત્પ્રવૃત્તિઓ : G_JS_81</v>
      </c>
      <c r="CI132" s="5">
        <f ca="1">IFERROR(__xludf.DUMMYFUNCTION("""COMPUTED_VALUE"""),45478.2974491666)</f>
        <v>45478.297449166603</v>
      </c>
    </row>
    <row r="133" spans="1:87" x14ac:dyDescent="0.25">
      <c r="A133" s="5">
        <f ca="1">IFERROR(__xludf.DUMMYFUNCTION("""COMPUTED_VALUE"""),45477.8277923958)</f>
        <v>45477.827792395801</v>
      </c>
      <c r="B133" s="1" t="str">
        <f ca="1">IFERROR(__xludf.DUMMYFUNCTION("""COMPUTED_VALUE"""),"rbbansalriya@gmail.com")</f>
        <v>rbbansalriya@gmail.com</v>
      </c>
      <c r="C133" s="1" t="str">
        <f ca="1">IFERROR(__xludf.DUMMYFUNCTION("""COMPUTED_VALUE"""),"Riya bansal ")</f>
        <v xml:space="preserve">Riya bansal </v>
      </c>
      <c r="D133" s="1">
        <f ca="1">IFERROR(__xludf.DUMMYFUNCTION("""COMPUTED_VALUE"""),9176361023)</f>
        <v>9176361023</v>
      </c>
      <c r="E133" s="1" t="str">
        <f ca="1">IFERROR(__xludf.DUMMYFUNCTION("""COMPUTED_VALUE"""),"Yes")</f>
        <v>Yes</v>
      </c>
      <c r="F133" s="1" t="str">
        <f ca="1">IFERROR(__xludf.DUMMYFUNCTION("""COMPUTED_VALUE"""),"हिन्दी")</f>
        <v>हिन्दी</v>
      </c>
      <c r="G133" s="1" t="str">
        <f ca="1">IFERROR(__xludf.DUMMYFUNCTION("""COMPUTED_VALUE"""),"अध्यात्म, धर्म एवं दर्शन")</f>
        <v>अध्यात्म, धर्म एवं दर्शन</v>
      </c>
      <c r="H133" s="1" t="str">
        <f ca="1">IFERROR(__xludf.DUMMYFUNCTION("""COMPUTED_VALUE"""),"उपासना")</f>
        <v>उपासना</v>
      </c>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f ca="1">IFERROR(__xludf.DUMMYFUNCTION("""COMPUTED_VALUE"""),54)</f>
        <v>54</v>
      </c>
      <c r="BX133" s="1">
        <f ca="1">IFERROR(__xludf.DUMMYFUNCTION("""COMPUTED_VALUE"""),55)</f>
        <v>55</v>
      </c>
      <c r="BY133" s="1">
        <f ca="1">IFERROR(__xludf.DUMMYFUNCTION("""COMPUTED_VALUE"""),9)</f>
        <v>9</v>
      </c>
      <c r="BZ133" s="1">
        <f ca="1">IFERROR(__xludf.DUMMYFUNCTION("""COMPUTED_VALUE"""),43)</f>
        <v>43</v>
      </c>
      <c r="CA133" s="1"/>
      <c r="CB133" s="1"/>
      <c r="CC133" s="1" t="str">
        <f ca="1">IFERROR(__xludf.DUMMYFUNCTION("""COMPUTED_VALUE"""),"मृदु चान्द्रायण साधना : Rare Book")</f>
        <v>मृदु चान्द्रायण साधना : Rare Book</v>
      </c>
      <c r="CD133" s="3" t="str">
        <f ca="1">IFERROR(__xludf.DUMMYFUNCTION("""COMPUTED_VALUE"""),"https://vicharkrantibooks.org/productdetail?book_name=HINP0538_MRUDU_CHANDRAYAN_SADHANA_xxyyyy&amp;product_id=1103")</f>
        <v>https://vicharkrantibooks.org/productdetail?book_name=HINP0538_MRUDU_CHANDRAYAN_SADHANA_xxyyyy&amp;product_id=1103</v>
      </c>
      <c r="CE133" s="1" t="str">
        <f ca="1">IFERROR(__xludf.DUMMYFUNCTION("""COMPUTED_VALUE"""),"Audiobook : मृदु चान्द्रायण साधना : Rare Book : rbbansalriya@gmail.com : Recorded")</f>
        <v>Audiobook : मृदु चान्द्रायण साधना : Rare Book : rbbansalriya@gmail.com : Recorded</v>
      </c>
      <c r="CF133" s="1" t="str">
        <f ca="1">IFERROR(__xludf.DUMMYFUNCTION("""COMPUTED_VALUE"""),"Audiobook : मृदु चान्द्रायण साधना : Rare Book : rbbansalriya@gmail.com : Recorded")</f>
        <v>Audiobook : मृदु चान्द्रायण साधना : Rare Book : rbbansalriya@gmail.com : Recorded</v>
      </c>
      <c r="CG133" s="1" t="str">
        <f ca="1">IFERROR(__xludf.DUMMYFUNCTION("""COMPUTED_VALUE"""),"Adarniya Riya bansal  ji मृदु चान्द्रायण साधना : Rare Book : Allocated on 04-Jul-24 Contact Number  9176361023")</f>
        <v>Adarniya Riya bansal  ji मृदु चान्द्रायण साधना : Rare Book : Allocated on 04-Jul-24 Contact Number  9176361023</v>
      </c>
      <c r="CH133" s="1" t="str">
        <f ca="1">IFERROR(__xludf.DUMMYFUNCTION("""COMPUTED_VALUE"""),"rbbansalriya@gmail.com : मृदु चान्द्रायण साधना : Rare Book")</f>
        <v>rbbansalriya@gmail.com : मृदु चान्द्रायण साधना : Rare Book</v>
      </c>
      <c r="CI133" s="5">
        <f ca="1">IFERROR(__xludf.DUMMYFUNCTION("""COMPUTED_VALUE"""),45477.8277923958)</f>
        <v>45477.827792395801</v>
      </c>
    </row>
    <row r="134" spans="1:87" x14ac:dyDescent="0.25">
      <c r="A134" s="5">
        <f ca="1">IFERROR(__xludf.DUMMYFUNCTION("""COMPUTED_VALUE"""),45477.6167936921)</f>
        <v>45477.616793692097</v>
      </c>
      <c r="B134" s="1" t="str">
        <f ca="1">IFERROR(__xludf.DUMMYFUNCTION("""COMPUTED_VALUE"""),"premlatadevi4669@gmail.com")</f>
        <v>premlatadevi4669@gmail.com</v>
      </c>
      <c r="C134" s="1" t="str">
        <f ca="1">IFERROR(__xludf.DUMMYFUNCTION("""COMPUTED_VALUE"""),"Premlata barnwal ")</f>
        <v xml:space="preserve">Premlata barnwal </v>
      </c>
      <c r="D134" s="1">
        <f ca="1">IFERROR(__xludf.DUMMYFUNCTION("""COMPUTED_VALUE"""),9372282030)</f>
        <v>9372282030</v>
      </c>
      <c r="E134" s="1" t="str">
        <f ca="1">IFERROR(__xludf.DUMMYFUNCTION("""COMPUTED_VALUE"""),"Yes")</f>
        <v>Yes</v>
      </c>
      <c r="F134" s="1" t="str">
        <f ca="1">IFERROR(__xludf.DUMMYFUNCTION("""COMPUTED_VALUE"""),"हिन्दी")</f>
        <v>हिन्दी</v>
      </c>
      <c r="G134" s="1" t="str">
        <f ca="1">IFERROR(__xludf.DUMMYFUNCTION("""COMPUTED_VALUE"""),"परिवार निर्माण")</f>
        <v>परिवार निर्माण</v>
      </c>
      <c r="H134" s="1"/>
      <c r="I134" s="1"/>
      <c r="J134" s="1"/>
      <c r="K134" s="1"/>
      <c r="L134" s="1"/>
      <c r="M134" s="1" t="str">
        <f ca="1">IFERROR(__xludf.DUMMYFUNCTION("""COMPUTED_VALUE"""),"गर्भ संस्कार")</f>
        <v>गर्भ संस्कार</v>
      </c>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f ca="1">IFERROR(__xludf.DUMMYFUNCTION("""COMPUTED_VALUE"""),13)</f>
        <v>13</v>
      </c>
      <c r="BX134" s="1">
        <f ca="1">IFERROR(__xludf.DUMMYFUNCTION("""COMPUTED_VALUE"""),10)</f>
        <v>10</v>
      </c>
      <c r="BY134" s="1">
        <f ca="1">IFERROR(__xludf.DUMMYFUNCTION("""COMPUTED_VALUE"""),7)</f>
        <v>7</v>
      </c>
      <c r="BZ134" s="1">
        <f ca="1">IFERROR(__xludf.DUMMYFUNCTION("""COMPUTED_VALUE"""),2)</f>
        <v>2</v>
      </c>
      <c r="CA134" s="1"/>
      <c r="CB134" s="1"/>
      <c r="CC134" s="1" t="str">
        <f ca="1">IFERROR(__xludf.DUMMYFUNCTION("""COMPUTED_VALUE"""),"माता ही बच्चों को सुसंस्कारी बनाती है : Rare Book")</f>
        <v>माता ही बच्चों को सुसंस्कारी बनाती है : Rare Book</v>
      </c>
      <c r="CD134" s="3" t="str">
        <f ca="1">IFERROR(__xludf.DUMMYFUNCTION("""COMPUTED_VALUE"""),"https://vicharkrantibooks.org/productdetail?book_name=HINP0532_MATA_HI_BACHCHON_KO_SUSANSAKARI_BANATI_HAI_xx1981&amp;product_id=1097")</f>
        <v>https://vicharkrantibooks.org/productdetail?book_name=HINP0532_MATA_HI_BACHCHON_KO_SUSANSAKARI_BANATI_HAI_xx1981&amp;product_id=1097</v>
      </c>
      <c r="CE134" s="1" t="str">
        <f ca="1">IFERROR(__xludf.DUMMYFUNCTION("""COMPUTED_VALUE"""),"Audiobook : माता ही बच्चों को सुसंस्कारी बनाती है : Rare Book : premlatadevi4669@gmail.com : Recorded")</f>
        <v>Audiobook : माता ही बच्चों को सुसंस्कारी बनाती है : Rare Book : premlatadevi4669@gmail.com : Recorded</v>
      </c>
      <c r="CF134" s="1" t="str">
        <f ca="1">IFERROR(__xludf.DUMMYFUNCTION("""COMPUTED_VALUE"""),"#N/A")</f>
        <v>#N/A</v>
      </c>
      <c r="CG134" s="1" t="str">
        <f ca="1">IFERROR(__xludf.DUMMYFUNCTION("""COMPUTED_VALUE"""),"Adarniya Premlata barnwal  ji माता ही बच्चों को सुसंस्कारी बनाती है : Rare Book : Allocated on 04-Jul-24 Contact Number  9372282030")</f>
        <v>Adarniya Premlata barnwal  ji माता ही बच्चों को सुसंस्कारी बनाती है : Rare Book : Allocated on 04-Jul-24 Contact Number  9372282030</v>
      </c>
      <c r="CH134" s="1" t="str">
        <f ca="1">IFERROR(__xludf.DUMMYFUNCTION("""COMPUTED_VALUE"""),"premlatadevi4669@gmail.com : माता ही बच्चों को सुसंस्कारी बनाती है : Rare Book")</f>
        <v>premlatadevi4669@gmail.com : माता ही बच्चों को सुसंस्कारी बनाती है : Rare Book</v>
      </c>
      <c r="CI134" s="5">
        <f ca="1">IFERROR(__xludf.DUMMYFUNCTION("""COMPUTED_VALUE"""),45477.6167936921)</f>
        <v>45477.616793692097</v>
      </c>
    </row>
    <row r="135" spans="1:87" x14ac:dyDescent="0.25">
      <c r="A135" s="5">
        <f ca="1">IFERROR(__xludf.DUMMYFUNCTION("""COMPUTED_VALUE"""),45477.6126201157)</f>
        <v>45477.612620115702</v>
      </c>
      <c r="B135" s="1" t="str">
        <f ca="1">IFERROR(__xludf.DUMMYFUNCTION("""COMPUTED_VALUE"""),"druma4107@gmail.com")</f>
        <v>druma4107@gmail.com</v>
      </c>
      <c r="C135" s="1" t="str">
        <f ca="1">IFERROR(__xludf.DUMMYFUNCTION("""COMPUTED_VALUE"""),"Dr Uma Agrawal")</f>
        <v>Dr Uma Agrawal</v>
      </c>
      <c r="D135" s="1">
        <f ca="1">IFERROR(__xludf.DUMMYFUNCTION("""COMPUTED_VALUE"""),9410861182)</f>
        <v>9410861182</v>
      </c>
      <c r="E135" s="1" t="str">
        <f ca="1">IFERROR(__xludf.DUMMYFUNCTION("""COMPUTED_VALUE"""),"Yes")</f>
        <v>Yes</v>
      </c>
      <c r="F135" s="1" t="str">
        <f ca="1">IFERROR(__xludf.DUMMYFUNCTION("""COMPUTED_VALUE"""),"हिन्दी")</f>
        <v>हिन्दी</v>
      </c>
      <c r="G135" s="1" t="str">
        <f ca="1">IFERROR(__xludf.DUMMYFUNCTION("""COMPUTED_VALUE"""),"राष्ट्र निर्माण")</f>
        <v>राष्ट्र निर्माण</v>
      </c>
      <c r="H135" s="1"/>
      <c r="I135" s="1"/>
      <c r="J135" s="1"/>
      <c r="K135" s="1"/>
      <c r="L135" s="1"/>
      <c r="M135" s="1"/>
      <c r="N135" s="1"/>
      <c r="O135" s="1"/>
      <c r="P135" s="1"/>
      <c r="Q135" s="1"/>
      <c r="R135" s="1" t="str">
        <f ca="1">IFERROR(__xludf.DUMMYFUNCTION("""COMPUTED_VALUE"""),"राष्ट्र निर्माण")</f>
        <v>राष्ट्र निर्माण</v>
      </c>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f ca="1">IFERROR(__xludf.DUMMYFUNCTION("""COMPUTED_VALUE"""),104)</f>
        <v>104</v>
      </c>
      <c r="BX135" s="1">
        <f ca="1">IFERROR(__xludf.DUMMYFUNCTION("""COMPUTED_VALUE"""),106)</f>
        <v>106</v>
      </c>
      <c r="BY135" s="1">
        <f ca="1">IFERROR(__xludf.DUMMYFUNCTION("""COMPUTED_VALUE"""),9)</f>
        <v>9</v>
      </c>
      <c r="BZ135" s="1">
        <f ca="1">IFERROR(__xludf.DUMMYFUNCTION("""COMPUTED_VALUE"""),43)</f>
        <v>43</v>
      </c>
      <c r="CA135" s="1"/>
      <c r="CB135" s="1"/>
      <c r="CC135" s="1" t="str">
        <f ca="1">IFERROR(__xludf.DUMMYFUNCTION("""COMPUTED_VALUE"""),"ग्रामीण समस्याओं का एकमुश्त समाधान गौपालन : Rare Book")</f>
        <v>ग्रामीण समस्याओं का एकमुश्त समाधान गौपालन : Rare Book</v>
      </c>
      <c r="CD135" s="3" t="str">
        <f ca="1">IFERROR(__xludf.DUMMYFUNCTION("""COMPUTED_VALUE"""),"https://vicharkrantibooks.org/productdetail?book_name=HINP0310_GRAMIN_SAMASYAON_KA_EKAMUSHT_SAMADHAN_GAUPALAN_xxyyyy&amp;product_id=875")</f>
        <v>https://vicharkrantibooks.org/productdetail?book_name=HINP0310_GRAMIN_SAMASYAON_KA_EKAMUSHT_SAMADHAN_GAUPALAN_xxyyyy&amp;product_id=875</v>
      </c>
      <c r="CE135" s="1" t="str">
        <f ca="1">IFERROR(__xludf.DUMMYFUNCTION("""COMPUTED_VALUE"""),"Audiobook : ग्रामीण समस्याओं का एकमुश्त समाधान गौपालन : Rare Book : druma4107@gmail.com : Recorded")</f>
        <v>Audiobook : ग्रामीण समस्याओं का एकमुश्त समाधान गौपालन : Rare Book : druma4107@gmail.com : Recorded</v>
      </c>
      <c r="CF135" s="1" t="str">
        <f ca="1">IFERROR(__xludf.DUMMYFUNCTION("""COMPUTED_VALUE"""),"Audiobook : ग्रामीण समस्याओं का एकमुश्त समाधान गौपालन : Rare Book : druma4107@gmail.com : Recorded")</f>
        <v>Audiobook : ग्रामीण समस्याओं का एकमुश्त समाधान गौपालन : Rare Book : druma4107@gmail.com : Recorded</v>
      </c>
      <c r="CG135" s="1" t="str">
        <f ca="1">IFERROR(__xludf.DUMMYFUNCTION("""COMPUTED_VALUE"""),"Adarniya Dr Uma Agrawal ji ग्रामीण समस्याओं का एकमुश्त समाधान गौपालन : Rare Book : Allocated on 04-Jul-24 Contact Number  9410861182")</f>
        <v>Adarniya Dr Uma Agrawal ji ग्रामीण समस्याओं का एकमुश्त समाधान गौपालन : Rare Book : Allocated on 04-Jul-24 Contact Number  9410861182</v>
      </c>
      <c r="CH135" s="1" t="str">
        <f ca="1">IFERROR(__xludf.DUMMYFUNCTION("""COMPUTED_VALUE"""),"druma4107@gmail.com : ग्रामीण समस्याओं का एकमुश्त समाधान गौपालन : Rare Book")</f>
        <v>druma4107@gmail.com : ग्रामीण समस्याओं का एकमुश्त समाधान गौपालन : Rare Book</v>
      </c>
      <c r="CI135" s="5">
        <f ca="1">IFERROR(__xludf.DUMMYFUNCTION("""COMPUTED_VALUE"""),45477.6126201157)</f>
        <v>45477.612620115702</v>
      </c>
    </row>
    <row r="136" spans="1:87" x14ac:dyDescent="0.25">
      <c r="A136" s="5">
        <f ca="1">IFERROR(__xludf.DUMMYFUNCTION("""COMPUTED_VALUE"""),45477.4354935648)</f>
        <v>45477.435493564801</v>
      </c>
      <c r="B136" s="1" t="str">
        <f ca="1">IFERROR(__xludf.DUMMYFUNCTION("""COMPUTED_VALUE"""),"sukhdasinghal@gmail.com")</f>
        <v>sukhdasinghal@gmail.com</v>
      </c>
      <c r="C136" s="1" t="str">
        <f ca="1">IFERROR(__xludf.DUMMYFUNCTION("""COMPUTED_VALUE"""),"Sukhda Singhal ")</f>
        <v xml:space="preserve">Sukhda Singhal </v>
      </c>
      <c r="D136" s="1">
        <f ca="1">IFERROR(__xludf.DUMMYFUNCTION("""COMPUTED_VALUE"""),9411695085)</f>
        <v>9411695085</v>
      </c>
      <c r="E136" s="1" t="str">
        <f ca="1">IFERROR(__xludf.DUMMYFUNCTION("""COMPUTED_VALUE"""),"Yes")</f>
        <v>Yes</v>
      </c>
      <c r="F136" s="1" t="str">
        <f ca="1">IFERROR(__xludf.DUMMYFUNCTION("""COMPUTED_VALUE"""),"हिन्दी")</f>
        <v>हिन्दी</v>
      </c>
      <c r="G136" s="1" t="str">
        <f ca="1">IFERROR(__xludf.DUMMYFUNCTION("""COMPUTED_VALUE"""),"जीवन प्रबंध")</f>
        <v>जीवन प्रबंध</v>
      </c>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f ca="1">IFERROR(__xludf.DUMMYFUNCTION("""COMPUTED_VALUE"""),3)</f>
        <v>3</v>
      </c>
      <c r="BX136" s="1">
        <f ca="1">IFERROR(__xludf.DUMMYFUNCTION("""COMPUTED_VALUE"""),1)</f>
        <v>1</v>
      </c>
      <c r="BY136" s="1">
        <f ca="1">IFERROR(__xludf.DUMMYFUNCTION("""COMPUTED_VALUE"""),2)</f>
        <v>2</v>
      </c>
      <c r="BZ136" s="1">
        <f ca="1">IFERROR(__xludf.DUMMYFUNCTION("""COMPUTED_VALUE"""),0)</f>
        <v>0</v>
      </c>
      <c r="CA136" s="1"/>
      <c r="CB136" s="1"/>
      <c r="CC136" s="1" t="str">
        <f ca="1">IFERROR(__xludf.DUMMYFUNCTION("""COMPUTED_VALUE"""),"मनुष्य जीवन की गौरव गरिमा : Rare Book")</f>
        <v>मनुष्य जीवन की गौरव गरिमा : Rare Book</v>
      </c>
      <c r="CD136" s="3" t="str">
        <f ca="1">IFERROR(__xludf.DUMMYFUNCTION("""COMPUTED_VALUE"""),"https://vicharkrantibooks.org/productdetail?book_name=HINP0526_MANUSHY_JIVAN_KI_GAURAV_GARIMA_xx1978&amp;product_id=1091")</f>
        <v>https://vicharkrantibooks.org/productdetail?book_name=HINP0526_MANUSHY_JIVAN_KI_GAURAV_GARIMA_xx1978&amp;product_id=1091</v>
      </c>
      <c r="CE136" s="1" t="str">
        <f ca="1">IFERROR(__xludf.DUMMYFUNCTION("""COMPUTED_VALUE"""),"Audiobook : मनुष्य जीवन की गौरव गरिमा : Rare Book : sukhdasinghal@gmail.com : Recorded")</f>
        <v>Audiobook : मनुष्य जीवन की गौरव गरिमा : Rare Book : sukhdasinghal@gmail.com : Recorded</v>
      </c>
      <c r="CF136" s="1" t="str">
        <f ca="1">IFERROR(__xludf.DUMMYFUNCTION("""COMPUTED_VALUE"""),"#N/A")</f>
        <v>#N/A</v>
      </c>
      <c r="CG136" s="1" t="str">
        <f ca="1">IFERROR(__xludf.DUMMYFUNCTION("""COMPUTED_VALUE"""),"Adarniya Sukhda Singhal  ji मनुष्य जीवन की गौरव गरिमा : Rare Book : Allocated on 04-Jul-24 Contact Number  9411695085")</f>
        <v>Adarniya Sukhda Singhal  ji मनुष्य जीवन की गौरव गरिमा : Rare Book : Allocated on 04-Jul-24 Contact Number  9411695085</v>
      </c>
      <c r="CH136" s="1" t="str">
        <f ca="1">IFERROR(__xludf.DUMMYFUNCTION("""COMPUTED_VALUE"""),"sukhdasinghal@gmail.com : मनुष्य जीवन की गौरव गरिमा : Rare Book")</f>
        <v>sukhdasinghal@gmail.com : मनुष्य जीवन की गौरव गरिमा : Rare Book</v>
      </c>
      <c r="CI136" s="5">
        <f ca="1">IFERROR(__xludf.DUMMYFUNCTION("""COMPUTED_VALUE"""),45477.4354935648)</f>
        <v>45477.435493564801</v>
      </c>
    </row>
    <row r="137" spans="1:87" x14ac:dyDescent="0.25">
      <c r="A137" s="5">
        <f ca="1">IFERROR(__xludf.DUMMYFUNCTION("""COMPUTED_VALUE"""),45476.5105446412)</f>
        <v>45476.510544641198</v>
      </c>
      <c r="B137" s="1" t="str">
        <f ca="1">IFERROR(__xludf.DUMMYFUNCTION("""COMPUTED_VALUE"""),"shivangijyoti@gmail.com")</f>
        <v>shivangijyoti@gmail.com</v>
      </c>
      <c r="C137" s="1" t="str">
        <f ca="1">IFERROR(__xludf.DUMMYFUNCTION("""COMPUTED_VALUE"""),"Jyoti Shrivastava")</f>
        <v>Jyoti Shrivastava</v>
      </c>
      <c r="D137" s="1">
        <f ca="1">IFERROR(__xludf.DUMMYFUNCTION("""COMPUTED_VALUE"""),9406759903)</f>
        <v>9406759903</v>
      </c>
      <c r="E137" s="1" t="str">
        <f ca="1">IFERROR(__xludf.DUMMYFUNCTION("""COMPUTED_VALUE"""),"Yes")</f>
        <v>Yes</v>
      </c>
      <c r="F137" s="1" t="str">
        <f ca="1">IFERROR(__xludf.DUMMYFUNCTION("""COMPUTED_VALUE"""),"हिन्दी")</f>
        <v>हिन्दी</v>
      </c>
      <c r="G137" s="1" t="str">
        <f ca="1">IFERROR(__xludf.DUMMYFUNCTION("""COMPUTED_VALUE"""),"व्यक्ति निर्माण, युवा/विद्यार्थी एवं शिक्षक")</f>
        <v>व्यक्ति निर्माण, युवा/विद्यार्थी एवं शिक्षक</v>
      </c>
      <c r="H137" s="1"/>
      <c r="I137" s="1"/>
      <c r="J137" s="1"/>
      <c r="K137" s="1"/>
      <c r="L137" s="1"/>
      <c r="M137" s="1"/>
      <c r="N137" s="1"/>
      <c r="O137" s="1"/>
      <c r="P137" s="1"/>
      <c r="Q137" s="1"/>
      <c r="R137" s="1"/>
      <c r="S137" s="1"/>
      <c r="T137" s="1" t="str">
        <f ca="1">IFERROR(__xludf.DUMMYFUNCTION("""COMPUTED_VALUE"""),"विद्यार्थी एवं शिक्षक")</f>
        <v>विद्यार्थी एवं शिक्षक</v>
      </c>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f ca="1">IFERROR(__xludf.DUMMYFUNCTION("""COMPUTED_VALUE"""),6)</f>
        <v>6</v>
      </c>
      <c r="BX137" s="1">
        <f ca="1">IFERROR(__xludf.DUMMYFUNCTION("""COMPUTED_VALUE"""),1)</f>
        <v>1</v>
      </c>
      <c r="BY137" s="1">
        <f ca="1">IFERROR(__xludf.DUMMYFUNCTION("""COMPUTED_VALUE"""),5)</f>
        <v>5</v>
      </c>
      <c r="BZ137" s="1">
        <f ca="1">IFERROR(__xludf.DUMMYFUNCTION("""COMPUTED_VALUE"""),0)</f>
        <v>0</v>
      </c>
      <c r="CA137" s="1"/>
      <c r="CB137" s="1"/>
      <c r="CC137" s="1" t="str">
        <f ca="1">IFERROR(__xludf.DUMMYFUNCTION("""COMPUTED_VALUE"""),"प्रामाणिक और विश्वसनीय बनें : Rare Book")</f>
        <v>प्रामाणिक और विश्वसनीय बनें : Rare Book</v>
      </c>
      <c r="CD137" s="3" t="str">
        <f ca="1">IFERROR(__xludf.DUMMYFUNCTION("""COMPUTED_VALUE"""),"https://vicharkrantibooks.org/productdetail?book_name=HINP0662_PRAMANIK_AUR_VISHVASANIY_BANEN_xxyyyy&amp;product_id=1227")</f>
        <v>https://vicharkrantibooks.org/productdetail?book_name=HINP0662_PRAMANIK_AUR_VISHVASANIY_BANEN_xxyyyy&amp;product_id=1227</v>
      </c>
      <c r="CE137" s="1" t="str">
        <f ca="1">IFERROR(__xludf.DUMMYFUNCTION("""COMPUTED_VALUE"""),"Audiobook : प्रामाणिक और विश्वसनीय बनें : Rare Book : shivangijyoti@gmail.com : Recorded")</f>
        <v>Audiobook : प्रामाणिक और विश्वसनीय बनें : Rare Book : shivangijyoti@gmail.com : Recorded</v>
      </c>
      <c r="CF137" s="1" t="str">
        <f ca="1">IFERROR(__xludf.DUMMYFUNCTION("""COMPUTED_VALUE"""),"#N/A")</f>
        <v>#N/A</v>
      </c>
      <c r="CG137" s="1" t="str">
        <f ca="1">IFERROR(__xludf.DUMMYFUNCTION("""COMPUTED_VALUE"""),"Adarniya Jyoti Shrivastava ji प्रामाणिक और विश्वसनीय बनें : Rare Book : Allocated on 03-Jul-24 Contact Number  9406759903")</f>
        <v>Adarniya Jyoti Shrivastava ji प्रामाणिक और विश्वसनीय बनें : Rare Book : Allocated on 03-Jul-24 Contact Number  9406759903</v>
      </c>
      <c r="CH137" s="1" t="str">
        <f ca="1">IFERROR(__xludf.DUMMYFUNCTION("""COMPUTED_VALUE"""),"shivangijyoti@gmail.com : प्रामाणिक और विश्वसनीय बनें : Rare Book")</f>
        <v>shivangijyoti@gmail.com : प्रामाणिक और विश्वसनीय बनें : Rare Book</v>
      </c>
      <c r="CI137" s="5">
        <f ca="1">IFERROR(__xludf.DUMMYFUNCTION("""COMPUTED_VALUE"""),45476.5105446412)</f>
        <v>45476.510544641198</v>
      </c>
    </row>
    <row r="138" spans="1:87" x14ac:dyDescent="0.25">
      <c r="A138" s="5">
        <f ca="1">IFERROR(__xludf.DUMMYFUNCTION("""COMPUTED_VALUE"""),45475.3807446064)</f>
        <v>45475.380744606402</v>
      </c>
      <c r="B138" s="1" t="str">
        <f ca="1">IFERROR(__xludf.DUMMYFUNCTION("""COMPUTED_VALUE"""),"dave.chhaya@gmail.com")</f>
        <v>dave.chhaya@gmail.com</v>
      </c>
      <c r="C138" s="1" t="str">
        <f ca="1">IFERROR(__xludf.DUMMYFUNCTION("""COMPUTED_VALUE"""),"Chhaya Deepak Dave ")</f>
        <v xml:space="preserve">Chhaya Deepak Dave </v>
      </c>
      <c r="D138" s="1">
        <f ca="1">IFERROR(__xludf.DUMMYFUNCTION("""COMPUTED_VALUE"""),9879596556)</f>
        <v>9879596556</v>
      </c>
      <c r="E138" s="1" t="str">
        <f ca="1">IFERROR(__xludf.DUMMYFUNCTION("""COMPUTED_VALUE"""),"Yes")</f>
        <v>Yes</v>
      </c>
      <c r="F138" s="1" t="str">
        <f ca="1">IFERROR(__xludf.DUMMYFUNCTION("""COMPUTED_VALUE"""),"गुजराती")</f>
        <v>गुजराती</v>
      </c>
      <c r="G138" s="1" t="str">
        <f ca="1">IFERROR(__xludf.DUMMYFUNCTION("""COMPUTED_VALUE"""),"व्यक्ति निर्माण, युवा/विद्यार्थी एवं शिक्षक")</f>
        <v>व्यक्ति निर्माण, युवा/विद्यार्थी एवं शिक्षक</v>
      </c>
      <c r="H138" s="1"/>
      <c r="I138" s="1"/>
      <c r="J138" s="1"/>
      <c r="K138" s="1"/>
      <c r="L138" s="1"/>
      <c r="M138" s="1"/>
      <c r="N138" s="1"/>
      <c r="O138" s="1"/>
      <c r="P138" s="1"/>
      <c r="Q138" s="1"/>
      <c r="R138" s="1"/>
      <c r="S138" s="1"/>
      <c r="T138" s="1" t="str">
        <f ca="1">IFERROR(__xludf.DUMMYFUNCTION("""COMPUTED_VALUE"""),"व्यक्तित्व परिष्कार")</f>
        <v>व्यक्तित्व परिष्कार</v>
      </c>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f ca="1">IFERROR(__xludf.DUMMYFUNCTION("""COMPUTED_VALUE"""),46)</f>
        <v>46</v>
      </c>
      <c r="BX138" s="1">
        <f ca="1">IFERROR(__xludf.DUMMYFUNCTION("""COMPUTED_VALUE"""),39)</f>
        <v>39</v>
      </c>
      <c r="BY138" s="1">
        <f ca="1">IFERROR(__xludf.DUMMYFUNCTION("""COMPUTED_VALUE"""),6)</f>
        <v>6</v>
      </c>
      <c r="BZ138" s="1">
        <f ca="1">IFERROR(__xludf.DUMMYFUNCTION("""COMPUTED_VALUE"""),16)</f>
        <v>16</v>
      </c>
      <c r="CA138" s="1"/>
      <c r="CB138" s="1"/>
      <c r="CC138" s="1" t="str">
        <f ca="1">IFERROR(__xludf.DUMMYFUNCTION("""COMPUTED_VALUE"""),"પ્રકૃતિના પ્રવાહમાં બાધક ન બનો : G_PP_20")</f>
        <v>પ્રકૃતિના પ્રવાહમાં બાધક ન બનો : G_PP_20</v>
      </c>
      <c r="CD138" s="3" t="str">
        <f ca="1">IFERROR(__xludf.DUMMYFUNCTION("""COMPUTED_VALUE"""),"https://vicharkrantibooks.org/productdetail?product_id=3925")</f>
        <v>https://vicharkrantibooks.org/productdetail?product_id=3925</v>
      </c>
      <c r="CE138" s="1" t="str">
        <f ca="1">IFERROR(__xludf.DUMMYFUNCTION("""COMPUTED_VALUE"""),"Audiobook : પ્રકૃતિના પ્રવાહમાં બાધક ન બનો : G_PP_20 : dave.chhaya@gmail.com : Recorded")</f>
        <v>Audiobook : પ્રકૃતિના પ્રવાહમાં બાધક ન બનો : G_PP_20 : dave.chhaya@gmail.com : Recorded</v>
      </c>
      <c r="CF138" s="1" t="str">
        <f ca="1">IFERROR(__xludf.DUMMYFUNCTION("""COMPUTED_VALUE"""),"Audiobook : પ્રકૃતિના પ્રવાહમાં બાધક ન બનો : G_PP_20 : dave.chhaya@gmail.com : Recorded")</f>
        <v>Audiobook : પ્રકૃતિના પ્રવાહમાં બાધક ન બનો : G_PP_20 : dave.chhaya@gmail.com : Recorded</v>
      </c>
      <c r="CG138" s="1" t="str">
        <f ca="1">IFERROR(__xludf.DUMMYFUNCTION("""COMPUTED_VALUE"""),"Adarniya Chhaya Deepak Dave  ji પ્રકૃતિના પ્રવાહમાં બાધક ન બનો : G_PP_20 : Allocated on 02-Jul-24 Contact Number  9879596556")</f>
        <v>Adarniya Chhaya Deepak Dave  ji પ્રકૃતિના પ્રવાહમાં બાધક ન બનો : G_PP_20 : Allocated on 02-Jul-24 Contact Number  9879596556</v>
      </c>
      <c r="CH138" s="1" t="str">
        <f ca="1">IFERROR(__xludf.DUMMYFUNCTION("""COMPUTED_VALUE"""),"dave.chhaya@gmail.com : પ્રકૃતિના પ્રવાહમાં બાધક ન બનો : G_PP_20")</f>
        <v>dave.chhaya@gmail.com : પ્રકૃતિના પ્રવાહમાં બાધક ન બનો : G_PP_20</v>
      </c>
      <c r="CI138" s="5">
        <f ca="1">IFERROR(__xludf.DUMMYFUNCTION("""COMPUTED_VALUE"""),45475.3807446064)</f>
        <v>45475.380744606402</v>
      </c>
    </row>
    <row r="139" spans="1:87" x14ac:dyDescent="0.25">
      <c r="A139" s="5">
        <f ca="1">IFERROR(__xludf.DUMMYFUNCTION("""COMPUTED_VALUE"""),45474.7449714699)</f>
        <v>45474.744971469903</v>
      </c>
      <c r="B139" s="1" t="str">
        <f ca="1">IFERROR(__xludf.DUMMYFUNCTION("""COMPUTED_VALUE"""),"rekhabhagat2511@gmail.com")</f>
        <v>rekhabhagat2511@gmail.com</v>
      </c>
      <c r="C139" s="1" t="str">
        <f ca="1">IFERROR(__xludf.DUMMYFUNCTION("""COMPUTED_VALUE"""),"Rekha Bhagat ")</f>
        <v xml:space="preserve">Rekha Bhagat </v>
      </c>
      <c r="D139" s="1">
        <f ca="1">IFERROR(__xludf.DUMMYFUNCTION("""COMPUTED_VALUE"""),9424811235)</f>
        <v>9424811235</v>
      </c>
      <c r="E139" s="1"/>
      <c r="F139" s="1" t="str">
        <f ca="1">IFERROR(__xludf.DUMMYFUNCTION("""COMPUTED_VALUE"""),"हिन्दी")</f>
        <v>हिन्दी</v>
      </c>
      <c r="G139" s="1" t="str">
        <f ca="1">IFERROR(__xludf.DUMMYFUNCTION("""COMPUTED_VALUE"""),"वैज्ञानिक अध्यात्मवाद का प्रतिपादन")</f>
        <v>वैज्ञानिक अध्यात्मवाद का प्रतिपादन</v>
      </c>
      <c r="H139" s="1"/>
      <c r="I139" s="1"/>
      <c r="J139" s="1"/>
      <c r="K139" s="1"/>
      <c r="L139" s="1"/>
      <c r="M139" s="1"/>
      <c r="N139" s="1"/>
      <c r="O139" s="1"/>
      <c r="P139" s="1"/>
      <c r="Q139" s="1"/>
      <c r="R139" s="1"/>
      <c r="S139" s="1" t="str">
        <f ca="1">IFERROR(__xludf.DUMMYFUNCTION("""COMPUTED_VALUE"""),"वैज्ञानिक अध्यात्मवाद का प्रतिपादन")</f>
        <v>वैज्ञानिक अध्यात्मवाद का प्रतिपादन</v>
      </c>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f ca="1">IFERROR(__xludf.DUMMYFUNCTION("""COMPUTED_VALUE"""),19)</f>
        <v>19</v>
      </c>
      <c r="BX139" s="1">
        <f ca="1">IFERROR(__xludf.DUMMYFUNCTION("""COMPUTED_VALUE"""),11)</f>
        <v>11</v>
      </c>
      <c r="BY139" s="1">
        <f ca="1">IFERROR(__xludf.DUMMYFUNCTION("""COMPUTED_VALUE"""),8)</f>
        <v>8</v>
      </c>
      <c r="BZ139" s="1">
        <f ca="1">IFERROR(__xludf.DUMMYFUNCTION("""COMPUTED_VALUE"""),4)</f>
        <v>4</v>
      </c>
      <c r="CA139" s="1"/>
      <c r="CB139" s="1"/>
      <c r="CC139" s="1" t="str">
        <f ca="1">IFERROR(__xludf.DUMMYFUNCTION("""COMPUTED_VALUE"""),"धर्म का मर्म है नीतिमत्ता : Rare Book")</f>
        <v>धर्म का मर्म है नीतिमत्ता : Rare Book</v>
      </c>
      <c r="CD139" s="3" t="str">
        <f ca="1">IFERROR(__xludf.DUMMYFUNCTION("""COMPUTED_VALUE"""),"https://vicharkrantibooks.org/productdetail?book_name=HINP0233_DHARM_KA_MARM_HAI_NITIMATTA_xx1982&amp;product_id=798")</f>
        <v>https://vicharkrantibooks.org/productdetail?book_name=HINP0233_DHARM_KA_MARM_HAI_NITIMATTA_xx1982&amp;product_id=798</v>
      </c>
      <c r="CE139" s="1" t="str">
        <f ca="1">IFERROR(__xludf.DUMMYFUNCTION("""COMPUTED_VALUE"""),"Audiobook : धर्म का मर्म है नीतिमत्ता : Rare Book : rekhabhagat2511@gmail.com : Recorded")</f>
        <v>Audiobook : धर्म का मर्म है नीतिमत्ता : Rare Book : rekhabhagat2511@gmail.com : Recorded</v>
      </c>
      <c r="CF139" s="1" t="str">
        <f ca="1">IFERROR(__xludf.DUMMYFUNCTION("""COMPUTED_VALUE"""),"Audiobook : धर्म का मर्म है नीतिमत्ता : Rare Book : rekhabhagat2511@gmail.com : Recorded")</f>
        <v>Audiobook : धर्म का मर्म है नीतिमत्ता : Rare Book : rekhabhagat2511@gmail.com : Recorded</v>
      </c>
      <c r="CG139" s="1" t="str">
        <f ca="1">IFERROR(__xludf.DUMMYFUNCTION("""COMPUTED_VALUE"""),"Adarniya Rekha Bhagat  ji धर्म का मर्म है नीतिमत्ता : Rare Book : Allocated on 01-Jul-24 Contact Number  9424811235")</f>
        <v>Adarniya Rekha Bhagat  ji धर्म का मर्म है नीतिमत्ता : Rare Book : Allocated on 01-Jul-24 Contact Number  9424811235</v>
      </c>
      <c r="CH139" s="1" t="str">
        <f ca="1">IFERROR(__xludf.DUMMYFUNCTION("""COMPUTED_VALUE"""),"rekhabhagat2511@gmail.com : धर्म का मर्म है नीतिमत्ता : Rare Book")</f>
        <v>rekhabhagat2511@gmail.com : धर्म का मर्म है नीतिमत्ता : Rare Book</v>
      </c>
      <c r="CI139" s="5">
        <f ca="1">IFERROR(__xludf.DUMMYFUNCTION("""COMPUTED_VALUE"""),45474.7449714699)</f>
        <v>45474.744971469903</v>
      </c>
    </row>
    <row r="140" spans="1:87" x14ac:dyDescent="0.25">
      <c r="A140" s="5">
        <f ca="1">IFERROR(__xludf.DUMMYFUNCTION("""COMPUTED_VALUE"""),45474.6462176967)</f>
        <v>45474.646217696703</v>
      </c>
      <c r="B140" s="1" t="str">
        <f ca="1">IFERROR(__xludf.DUMMYFUNCTION("""COMPUTED_VALUE"""),"rajnivarma24.vns@gmail.com")</f>
        <v>rajnivarma24.vns@gmail.com</v>
      </c>
      <c r="C140" s="1" t="str">
        <f ca="1">IFERROR(__xludf.DUMMYFUNCTION("""COMPUTED_VALUE"""),"Rajni varma")</f>
        <v>Rajni varma</v>
      </c>
      <c r="D140" s="1">
        <f ca="1">IFERROR(__xludf.DUMMYFUNCTION("""COMPUTED_VALUE"""),9335661433)</f>
        <v>9335661433</v>
      </c>
      <c r="E140" s="1" t="str">
        <f ca="1">IFERROR(__xludf.DUMMYFUNCTION("""COMPUTED_VALUE"""),"No")</f>
        <v>No</v>
      </c>
      <c r="F140" s="1" t="str">
        <f ca="1">IFERROR(__xludf.DUMMYFUNCTION("""COMPUTED_VALUE"""),"हिन्दी")</f>
        <v>हिन्दी</v>
      </c>
      <c r="G140" s="1" t="str">
        <f ca="1">IFERROR(__xludf.DUMMYFUNCTION("""COMPUTED_VALUE"""),"भारतीय संस्कृति")</f>
        <v>भारतीय संस्कृति</v>
      </c>
      <c r="H140" s="1"/>
      <c r="I140" s="1"/>
      <c r="J140" s="1"/>
      <c r="K140" s="1"/>
      <c r="L140" s="1"/>
      <c r="M140" s="1"/>
      <c r="N140" s="1"/>
      <c r="O140" s="1" t="str">
        <f ca="1">IFERROR(__xludf.DUMMYFUNCTION("""COMPUTED_VALUE"""),"भारतीय संस्कृति")</f>
        <v>भारतीय संस्कृति</v>
      </c>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f ca="1">IFERROR(__xludf.DUMMYFUNCTION("""COMPUTED_VALUE"""),30)</f>
        <v>30</v>
      </c>
      <c r="BX140" s="1">
        <f ca="1">IFERROR(__xludf.DUMMYFUNCTION("""COMPUTED_VALUE"""),25)</f>
        <v>25</v>
      </c>
      <c r="BY140" s="1">
        <f ca="1">IFERROR(__xludf.DUMMYFUNCTION("""COMPUTED_VALUE"""),7)</f>
        <v>7</v>
      </c>
      <c r="BZ140" s="1">
        <f ca="1">IFERROR(__xludf.DUMMYFUNCTION("""COMPUTED_VALUE"""),7)</f>
        <v>7</v>
      </c>
      <c r="CA140" s="1"/>
      <c r="CB140" s="1"/>
      <c r="CC140" s="1" t="str">
        <f ca="1">IFERROR(__xludf.DUMMYFUNCTION("""COMPUTED_VALUE"""),"तीन शक्तियाँ तीन सिद्धियाँ : H_JS_29")</f>
        <v>तीन शक्तियाँ तीन सिद्धियाँ : H_JS_29</v>
      </c>
      <c r="CD140" s="3" t="str">
        <f ca="1">IFERROR(__xludf.DUMMYFUNCTION("""COMPUTED_VALUE"""),"https://vicharkrantibooks.org/productdetail?book_name=HINP0906_TIN_SHAKTIYAN_TIN_SIDDHIYAN_xx2011&amp;product_id=1471")</f>
        <v>https://vicharkrantibooks.org/productdetail?book_name=HINP0906_TIN_SHAKTIYAN_TIN_SIDDHIYAN_xx2011&amp;product_id=1471</v>
      </c>
      <c r="CE140" s="1" t="str">
        <f ca="1">IFERROR(__xludf.DUMMYFUNCTION("""COMPUTED_VALUE"""),"Audiobook : तीन शक्तियाँ तीन सिद्धियाँ : H_JS_29 : rajnivarma24.vns@gmail.com : Recorded")</f>
        <v>Audiobook : तीन शक्तियाँ तीन सिद्धियाँ : H_JS_29 : rajnivarma24.vns@gmail.com : Recorded</v>
      </c>
      <c r="CF140" s="1" t="str">
        <f ca="1">IFERROR(__xludf.DUMMYFUNCTION("""COMPUTED_VALUE"""),"#N/A")</f>
        <v>#N/A</v>
      </c>
      <c r="CG140" s="1" t="str">
        <f ca="1">IFERROR(__xludf.DUMMYFUNCTION("""COMPUTED_VALUE"""),"Adarniya Rajni varma ji तीन शक्तियाँ तीन सिद्धियाँ : H_JS_29 : Allocated on 01-Jul-24 Contact Number  9335661433")</f>
        <v>Adarniya Rajni varma ji तीन शक्तियाँ तीन सिद्धियाँ : H_JS_29 : Allocated on 01-Jul-24 Contact Number  9335661433</v>
      </c>
      <c r="CH140" s="1" t="str">
        <f ca="1">IFERROR(__xludf.DUMMYFUNCTION("""COMPUTED_VALUE"""),"rajnivarma24.vns@gmail.com : तीन शक्तियाँ तीन सिद्धियाँ : H_JS_29")</f>
        <v>rajnivarma24.vns@gmail.com : तीन शक्तियाँ तीन सिद्धियाँ : H_JS_29</v>
      </c>
      <c r="CI140" s="5">
        <f ca="1">IFERROR(__xludf.DUMMYFUNCTION("""COMPUTED_VALUE"""),45474.6462176967)</f>
        <v>45474.646217696703</v>
      </c>
    </row>
    <row r="141" spans="1:87" x14ac:dyDescent="0.25">
      <c r="A141" s="5">
        <f ca="1">IFERROR(__xludf.DUMMYFUNCTION("""COMPUTED_VALUE"""),45474.1201504629)</f>
        <v>45474.120150462899</v>
      </c>
      <c r="B141" s="1" t="str">
        <f ca="1">IFERROR(__xludf.DUMMYFUNCTION("""COMPUTED_VALUE"""),"sanjayneha1@yahoo.com")</f>
        <v>sanjayneha1@yahoo.com</v>
      </c>
      <c r="C141" s="1" t="str">
        <f ca="1">IFERROR(__xludf.DUMMYFUNCTION("""COMPUTED_VALUE"""),"Neha Manocha")</f>
        <v>Neha Manocha</v>
      </c>
      <c r="D141" s="1">
        <f ca="1">IFERROR(__xludf.DUMMYFUNCTION("""COMPUTED_VALUE"""),16174130446)</f>
        <v>16174130446</v>
      </c>
      <c r="E141" s="1" t="str">
        <f ca="1">IFERROR(__xludf.DUMMYFUNCTION("""COMPUTED_VALUE"""),"Yes")</f>
        <v>Yes</v>
      </c>
      <c r="F141" s="1" t="str">
        <f ca="1">IFERROR(__xludf.DUMMYFUNCTION("""COMPUTED_VALUE"""),"हिन्दी or English")</f>
        <v>हिन्दी or English</v>
      </c>
      <c r="G141" s="1" t="str">
        <f ca="1">IFERROR(__xludf.DUMMYFUNCTION("""COMPUTED_VALUE"""),"युग द्रष्टा पं. श्रीराम शर्मा आचार्यजी")</f>
        <v>युग द्रष्टा पं. श्रीराम शर्मा आचार्यजी</v>
      </c>
      <c r="H141" s="1"/>
      <c r="I141" s="1"/>
      <c r="J141" s="1"/>
      <c r="K141" s="1"/>
      <c r="L141" s="1"/>
      <c r="M141" s="1"/>
      <c r="N141" s="1"/>
      <c r="O141" s="1"/>
      <c r="P141" s="1" t="str">
        <f ca="1">IFERROR(__xludf.DUMMYFUNCTION("""COMPUTED_VALUE"""),"युगॠषी का जीवनदर्शन")</f>
        <v>युगॠषी का जीवनदर्शन</v>
      </c>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f ca="1">IFERROR(__xludf.DUMMYFUNCTION("""COMPUTED_VALUE"""),33)</f>
        <v>33</v>
      </c>
      <c r="BX141" s="1">
        <f ca="1">IFERROR(__xludf.DUMMYFUNCTION("""COMPUTED_VALUE"""),40)</f>
        <v>40</v>
      </c>
      <c r="BY141" s="1">
        <f ca="1">IFERROR(__xludf.DUMMYFUNCTION("""COMPUTED_VALUE"""),3)</f>
        <v>3</v>
      </c>
      <c r="BZ141" s="1">
        <f ca="1">IFERROR(__xludf.DUMMYFUNCTION("""COMPUTED_VALUE"""),22)</f>
        <v>22</v>
      </c>
      <c r="CA141" s="1"/>
      <c r="CB141" s="1"/>
      <c r="CC141" s="1" t="str">
        <f ca="1">IFERROR(__xludf.DUMMYFUNCTION("""COMPUTED_VALUE"""),"गायत्री स्मृति : Rare Book")</f>
        <v>गायत्री स्मृति : Rare Book</v>
      </c>
      <c r="CD141" s="3" t="str">
        <f ca="1">IFERROR(__xludf.DUMMYFUNCTION("""COMPUTED_VALUE"""),"https://vicharkrantibooks.org/productdetail?book_name=HINP0294_GAYATRI_SMRUTI_xxyyyy&amp;product_id=859")</f>
        <v>https://vicharkrantibooks.org/productdetail?book_name=HINP0294_GAYATRI_SMRUTI_xxyyyy&amp;product_id=859</v>
      </c>
      <c r="CE141" s="1" t="str">
        <f ca="1">IFERROR(__xludf.DUMMYFUNCTION("""COMPUTED_VALUE"""),"Audiobook : गायत्री स्मृति : Rare Book : sanjayneha1@yahoo.com : Recorded")</f>
        <v>Audiobook : गायत्री स्मृति : Rare Book : sanjayneha1@yahoo.com : Recorded</v>
      </c>
      <c r="CF141" s="1" t="str">
        <f ca="1">IFERROR(__xludf.DUMMYFUNCTION("""COMPUTED_VALUE"""),"Audiobook : गायत्री स्मृति : Rare Book : sanjayneha1@yahoo.com : Recorded")</f>
        <v>Audiobook : गायत्री स्मृति : Rare Book : sanjayneha1@yahoo.com : Recorded</v>
      </c>
      <c r="CG141" s="1" t="str">
        <f ca="1">IFERROR(__xludf.DUMMYFUNCTION("""COMPUTED_VALUE"""),"Adarniya Neha Manocha ji गायत्री स्मृति : Rare Book : Allocated on 01-Jul-24 Contact Number  16174130446")</f>
        <v>Adarniya Neha Manocha ji गायत्री स्मृति : Rare Book : Allocated on 01-Jul-24 Contact Number  16174130446</v>
      </c>
      <c r="CH141" s="1" t="str">
        <f ca="1">IFERROR(__xludf.DUMMYFUNCTION("""COMPUTED_VALUE"""),"sanjayneha1@yahoo.com : गायत्री स्मृति : Rare Book")</f>
        <v>sanjayneha1@yahoo.com : गायत्री स्मृति : Rare Book</v>
      </c>
      <c r="CI141" s="5">
        <f ca="1">IFERROR(__xludf.DUMMYFUNCTION("""COMPUTED_VALUE"""),45474.1201504629)</f>
        <v>45474.120150462899</v>
      </c>
    </row>
    <row r="142" spans="1:87" x14ac:dyDescent="0.25">
      <c r="A142" s="5">
        <f ca="1">IFERROR(__xludf.DUMMYFUNCTION("""COMPUTED_VALUE"""),45473.5050639814)</f>
        <v>45473.5050639814</v>
      </c>
      <c r="B142" s="1" t="str">
        <f ca="1">IFERROR(__xludf.DUMMYFUNCTION("""COMPUTED_VALUE"""),"ojhakrishna2310@gmail.com")</f>
        <v>ojhakrishna2310@gmail.com</v>
      </c>
      <c r="C142" s="1" t="str">
        <f ca="1">IFERROR(__xludf.DUMMYFUNCTION("""COMPUTED_VALUE"""),"Krishna Arunkumar Ojha")</f>
        <v>Krishna Arunkumar Ojha</v>
      </c>
      <c r="D142" s="1">
        <f ca="1">IFERROR(__xludf.DUMMYFUNCTION("""COMPUTED_VALUE"""),9637907058)</f>
        <v>9637907058</v>
      </c>
      <c r="E142" s="1" t="str">
        <f ca="1">IFERROR(__xludf.DUMMYFUNCTION("""COMPUTED_VALUE"""),"Yes")</f>
        <v>Yes</v>
      </c>
      <c r="F142" s="1" t="str">
        <f ca="1">IFERROR(__xludf.DUMMYFUNCTION("""COMPUTED_VALUE"""),"हिन्दी")</f>
        <v>हिन्दी</v>
      </c>
      <c r="G142" s="1" t="str">
        <f ca="1">IFERROR(__xludf.DUMMYFUNCTION("""COMPUTED_VALUE"""),"राष्ट्र निर्माण")</f>
        <v>राष्ट्र निर्माण</v>
      </c>
      <c r="H142" s="1"/>
      <c r="I142" s="1"/>
      <c r="J142" s="1"/>
      <c r="K142" s="1"/>
      <c r="L142" s="1"/>
      <c r="M142" s="1"/>
      <c r="N142" s="1"/>
      <c r="O142" s="1"/>
      <c r="P142" s="1"/>
      <c r="Q142" s="1"/>
      <c r="R142" s="1" t="str">
        <f ca="1">IFERROR(__xludf.DUMMYFUNCTION("""COMPUTED_VALUE"""),"सार्थक एवं समग्र शिक्षा")</f>
        <v>सार्थक एवं समग्र शिक्षा</v>
      </c>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f ca="1">IFERROR(__xludf.DUMMYFUNCTION("""COMPUTED_VALUE"""),13)</f>
        <v>13</v>
      </c>
      <c r="BX142" s="1">
        <f ca="1">IFERROR(__xludf.DUMMYFUNCTION("""COMPUTED_VALUE"""),6)</f>
        <v>6</v>
      </c>
      <c r="BY142" s="1">
        <f ca="1">IFERROR(__xludf.DUMMYFUNCTION("""COMPUTED_VALUE"""),8)</f>
        <v>8</v>
      </c>
      <c r="BZ142" s="1">
        <f ca="1">IFERROR(__xludf.DUMMYFUNCTION("""COMPUTED_VALUE"""),0)</f>
        <v>0</v>
      </c>
      <c r="CA142" s="1"/>
      <c r="CB142" s="1"/>
      <c r="CC142" s="1" t="str">
        <f ca="1">IFERROR(__xludf.DUMMYFUNCTION("""COMPUTED_VALUE"""),"ग्रामीण उर्जा का स्वावलंबी स्त्रोत गोबर एवं बैल : Rare Book")</f>
        <v>ग्रामीण उर्जा का स्वावलंबी स्त्रोत गोबर एवं बैल : Rare Book</v>
      </c>
      <c r="CD142" s="3" t="str">
        <f ca="1">IFERROR(__xludf.DUMMYFUNCTION("""COMPUTED_VALUE"""),"https://vicharkrantibooks.org/productdetail?book_name=HINP0311_GRAMIN_URJA_KA_SVAVALAMBI_STROT_GOBAR_EVAM_BAIL_xxyyyy&amp;product_id=876")</f>
        <v>https://vicharkrantibooks.org/productdetail?book_name=HINP0311_GRAMIN_URJA_KA_SVAVALAMBI_STROT_GOBAR_EVAM_BAIL_xxyyyy&amp;product_id=876</v>
      </c>
      <c r="CE142" s="1" t="str">
        <f ca="1">IFERROR(__xludf.DUMMYFUNCTION("""COMPUTED_VALUE"""),"Audiobook : ग्रामीण उर्जा का स्वावलंबी स्त्रोत गोबर एवं बैल : Rare Book : ojhakrishna2310@gmail.com : Recorded")</f>
        <v>Audiobook : ग्रामीण उर्जा का स्वावलंबी स्त्रोत गोबर एवं बैल : Rare Book : ojhakrishna2310@gmail.com : Recorded</v>
      </c>
      <c r="CF142" s="1" t="str">
        <f ca="1">IFERROR(__xludf.DUMMYFUNCTION("""COMPUTED_VALUE"""),"#N/A")</f>
        <v>#N/A</v>
      </c>
      <c r="CG142" s="1" t="str">
        <f ca="1">IFERROR(__xludf.DUMMYFUNCTION("""COMPUTED_VALUE"""),"Adarniya Krishna Arunkumar Ojha ji ग्रामीण उर्जा का स्वावलंबी स्त्रोत गोबर एवं बैल : Rare Book : Allocated on 30-Jun-24 Contact Number  9637907058")</f>
        <v>Adarniya Krishna Arunkumar Ojha ji ग्रामीण उर्जा का स्वावलंबी स्त्रोत गोबर एवं बैल : Rare Book : Allocated on 30-Jun-24 Contact Number  9637907058</v>
      </c>
      <c r="CH142" s="1" t="str">
        <f ca="1">IFERROR(__xludf.DUMMYFUNCTION("""COMPUTED_VALUE"""),"ojhakrishna2310@gmail.com : ग्रामीण उर्जा का स्वावलंबी स्त्रोत गोबर एवं बैल : Rare Book")</f>
        <v>ojhakrishna2310@gmail.com : ग्रामीण उर्जा का स्वावलंबी स्त्रोत गोबर एवं बैल : Rare Book</v>
      </c>
      <c r="CI142" s="5">
        <f ca="1">IFERROR(__xludf.DUMMYFUNCTION("""COMPUTED_VALUE"""),45473.5050639814)</f>
        <v>45473.5050639814</v>
      </c>
    </row>
    <row r="143" spans="1:87" x14ac:dyDescent="0.25">
      <c r="A143" s="5">
        <f ca="1">IFERROR(__xludf.DUMMYFUNCTION("""COMPUTED_VALUE"""),45472.1336879166)</f>
        <v>45472.133687916597</v>
      </c>
      <c r="B143" s="1" t="str">
        <f ca="1">IFERROR(__xludf.DUMMYFUNCTION("""COMPUTED_VALUE"""),"khukeraval@gmail.com")</f>
        <v>khukeraval@gmail.com</v>
      </c>
      <c r="C143" s="1" t="str">
        <f ca="1">IFERROR(__xludf.DUMMYFUNCTION("""COMPUTED_VALUE"""),"Kamya Raval")</f>
        <v>Kamya Raval</v>
      </c>
      <c r="D143" s="1" t="str">
        <f ca="1">IFERROR(__xludf.DUMMYFUNCTION("""COMPUTED_VALUE"""),"+1 6477105018")</f>
        <v>+1 6477105018</v>
      </c>
      <c r="E143" s="1" t="str">
        <f ca="1">IFERROR(__xludf.DUMMYFUNCTION("""COMPUTED_VALUE"""),"Yes")</f>
        <v>Yes</v>
      </c>
      <c r="F143" s="1" t="str">
        <f ca="1">IFERROR(__xludf.DUMMYFUNCTION("""COMPUTED_VALUE"""),"English")</f>
        <v>English</v>
      </c>
      <c r="G143" s="1" t="str">
        <f ca="1">IFERROR(__xludf.DUMMYFUNCTION("""COMPUTED_VALUE"""),"व्यक्ति निर्माण, युवा/विद्यार्थी एवं शिक्षक")</f>
        <v>व्यक्ति निर्माण, युवा/विद्यार्थी एवं शिक्षक</v>
      </c>
      <c r="H143" s="1"/>
      <c r="I143" s="1"/>
      <c r="J143" s="1"/>
      <c r="K143" s="1"/>
      <c r="L143" s="1"/>
      <c r="M143" s="1"/>
      <c r="N143" s="1"/>
      <c r="O143" s="1"/>
      <c r="P143" s="1"/>
      <c r="Q143" s="1"/>
      <c r="R143" s="1"/>
      <c r="S143" s="1"/>
      <c r="T143" s="1" t="str">
        <f ca="1">IFERROR(__xludf.DUMMYFUNCTION("""COMPUTED_VALUE"""),"विद्यार्थी एवं शिक्षक")</f>
        <v>विद्यार्थी एवं शिक्षक</v>
      </c>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f ca="1">IFERROR(__xludf.DUMMYFUNCTION("""COMPUTED_VALUE"""),2)</f>
        <v>2</v>
      </c>
      <c r="BX143" s="1">
        <f ca="1">IFERROR(__xludf.DUMMYFUNCTION("""COMPUTED_VALUE"""),1)</f>
        <v>1</v>
      </c>
      <c r="BY143" s="1">
        <f ca="1">IFERROR(__xludf.DUMMYFUNCTION("""COMPUTED_VALUE"""),1)</f>
        <v>1</v>
      </c>
      <c r="BZ143" s="1">
        <f ca="1">IFERROR(__xludf.DUMMYFUNCTION("""COMPUTED_VALUE"""),1)</f>
        <v>1</v>
      </c>
      <c r="CA143" s="1"/>
      <c r="CB143" s="1"/>
      <c r="CC143" s="1" t="str">
        <f ca="1">IFERROR(__xludf.DUMMYFUNCTION("""COMPUTED_VALUE"""),"Support Is Needed For Self Evolution : EP_20")</f>
        <v>Support Is Needed For Self Evolution : EP_20</v>
      </c>
      <c r="CD143" s="3" t="str">
        <f ca="1">IFERROR(__xludf.DUMMYFUNCTION("""COMPUTED_VALUE"""),"http://literature.awgp.org/book/support_is_needed_for_self_evolution/v1")</f>
        <v>http://literature.awgp.org/book/support_is_needed_for_self_evolution/v1</v>
      </c>
      <c r="CE143" s="1" t="str">
        <f ca="1">IFERROR(__xludf.DUMMYFUNCTION("""COMPUTED_VALUE"""),"Audiobook : Support Is Needed For Self Evolution : EP_20 : khukeraval@gmail.com : Recorded")</f>
        <v>Audiobook : Support Is Needed For Self Evolution : EP_20 : khukeraval@gmail.com : Recorded</v>
      </c>
      <c r="CF143" s="1" t="str">
        <f ca="1">IFERROR(__xludf.DUMMYFUNCTION("""COMPUTED_VALUE"""),"#N/A")</f>
        <v>#N/A</v>
      </c>
      <c r="CG143" s="1" t="str">
        <f ca="1">IFERROR(__xludf.DUMMYFUNCTION("""COMPUTED_VALUE"""),"Adarniya Kamya Raval ji Support Is Needed For Self Evolution : EP_20 : Allocated on 29-Jun-24 Contact Number  +1 6477105018")</f>
        <v>Adarniya Kamya Raval ji Support Is Needed For Self Evolution : EP_20 : Allocated on 29-Jun-24 Contact Number  +1 6477105018</v>
      </c>
      <c r="CH143" s="1" t="str">
        <f ca="1">IFERROR(__xludf.DUMMYFUNCTION("""COMPUTED_VALUE"""),"khukeraval@gmail.com : Support Is Needed For Self Evolution : EP_20")</f>
        <v>khukeraval@gmail.com : Support Is Needed For Self Evolution : EP_20</v>
      </c>
      <c r="CI143" s="5">
        <f ca="1">IFERROR(__xludf.DUMMYFUNCTION("""COMPUTED_VALUE"""),45472.1336879166)</f>
        <v>45472.133687916597</v>
      </c>
    </row>
    <row r="144" spans="1:87" x14ac:dyDescent="0.25">
      <c r="A144" s="5">
        <f ca="1">IFERROR(__xludf.DUMMYFUNCTION("""COMPUTED_VALUE"""),45471.9817435416)</f>
        <v>45471.981743541597</v>
      </c>
      <c r="B144" s="1" t="str">
        <f ca="1">IFERROR(__xludf.DUMMYFUNCTION("""COMPUTED_VALUE"""),"druma4107@gmail.com")</f>
        <v>druma4107@gmail.com</v>
      </c>
      <c r="C144" s="1" t="str">
        <f ca="1">IFERROR(__xludf.DUMMYFUNCTION("""COMPUTED_VALUE"""),"Dr Uma Agrawal")</f>
        <v>Dr Uma Agrawal</v>
      </c>
      <c r="D144" s="1">
        <f ca="1">IFERROR(__xludf.DUMMYFUNCTION("""COMPUTED_VALUE"""),9410861182)</f>
        <v>9410861182</v>
      </c>
      <c r="E144" s="1" t="str">
        <f ca="1">IFERROR(__xludf.DUMMYFUNCTION("""COMPUTED_VALUE"""),"Yes")</f>
        <v>Yes</v>
      </c>
      <c r="F144" s="1" t="str">
        <f ca="1">IFERROR(__xludf.DUMMYFUNCTION("""COMPUTED_VALUE"""),"हिन्दी")</f>
        <v>हिन्दी</v>
      </c>
      <c r="G144" s="1" t="str">
        <f ca="1">IFERROR(__xludf.DUMMYFUNCTION("""COMPUTED_VALUE"""),"राष्ट्र निर्माण")</f>
        <v>राष्ट्र निर्माण</v>
      </c>
      <c r="H144" s="1"/>
      <c r="I144" s="1"/>
      <c r="J144" s="1"/>
      <c r="K144" s="1"/>
      <c r="L144" s="1"/>
      <c r="M144" s="1"/>
      <c r="N144" s="1"/>
      <c r="O144" s="1"/>
      <c r="P144" s="1"/>
      <c r="Q144" s="1"/>
      <c r="R144" s="1" t="str">
        <f ca="1">IFERROR(__xludf.DUMMYFUNCTION("""COMPUTED_VALUE"""),"सार्थक एवं समग्र शिक्षा")</f>
        <v>सार्थक एवं समग्र शिक्षा</v>
      </c>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f ca="1">IFERROR(__xludf.DUMMYFUNCTION("""COMPUTED_VALUE"""),104)</f>
        <v>104</v>
      </c>
      <c r="BX144" s="1">
        <f ca="1">IFERROR(__xludf.DUMMYFUNCTION("""COMPUTED_VALUE"""),106)</f>
        <v>106</v>
      </c>
      <c r="BY144" s="1">
        <f ca="1">IFERROR(__xludf.DUMMYFUNCTION("""COMPUTED_VALUE"""),9)</f>
        <v>9</v>
      </c>
      <c r="BZ144" s="1">
        <f ca="1">IFERROR(__xludf.DUMMYFUNCTION("""COMPUTED_VALUE"""),43)</f>
        <v>43</v>
      </c>
      <c r="CA144" s="1"/>
      <c r="CB144" s="1"/>
      <c r="CC144" s="1" t="str">
        <f ca="1">IFERROR(__xludf.DUMMYFUNCTION("""COMPUTED_VALUE"""),"गौ वंश की हत्या कैसे रूकेगी ? : Rare Book")</f>
        <v>गौ वंश की हत्या कैसे रूकेगी ? : Rare Book</v>
      </c>
      <c r="CD144" s="3" t="str">
        <f ca="1">IFERROR(__xludf.DUMMYFUNCTION("""COMPUTED_VALUE"""),"https://vicharkrantibooks.org/productdetail?book_name=HINP1099_GAU_VANSH_KI_HATYA_KAISE_RUKEGI_xxyyyy&amp;product_id=1664")</f>
        <v>https://vicharkrantibooks.org/productdetail?book_name=HINP1099_GAU_VANSH_KI_HATYA_KAISE_RUKEGI_xxyyyy&amp;product_id=1664</v>
      </c>
      <c r="CE144" s="1" t="str">
        <f ca="1">IFERROR(__xludf.DUMMYFUNCTION("""COMPUTED_VALUE"""),"Audiobook : गौ वंश की हत्या कैसे रूकेगी ? : Rare Book : druma4107@gmail.com : Recorded")</f>
        <v>Audiobook : गौ वंश की हत्या कैसे रूकेगी ? : Rare Book : druma4107@gmail.com : Recorded</v>
      </c>
      <c r="CF144" s="1" t="str">
        <f ca="1">IFERROR(__xludf.DUMMYFUNCTION("""COMPUTED_VALUE"""),"Audiobook : गौ वंश की हत्या कैसे रूकेगी ? : Rare Book : druma4107@gmail.com : Recorded")</f>
        <v>Audiobook : गौ वंश की हत्या कैसे रूकेगी ? : Rare Book : druma4107@gmail.com : Recorded</v>
      </c>
      <c r="CG144" s="1" t="str">
        <f ca="1">IFERROR(__xludf.DUMMYFUNCTION("""COMPUTED_VALUE"""),"Adarniya Dr Uma Agrawal ji गौ वंश की हत्या कैसे रूकेगी ? : Rare Book : Allocated on 28-Jun-24 Contact Number  9410861182")</f>
        <v>Adarniya Dr Uma Agrawal ji गौ वंश की हत्या कैसे रूकेगी ? : Rare Book : Allocated on 28-Jun-24 Contact Number  9410861182</v>
      </c>
      <c r="CH144" s="1" t="str">
        <f ca="1">IFERROR(__xludf.DUMMYFUNCTION("""COMPUTED_VALUE"""),"druma4107@gmail.com : गौ वंश की हत्या कैसे रूकेगी ? : Rare Book")</f>
        <v>druma4107@gmail.com : गौ वंश की हत्या कैसे रूकेगी ? : Rare Book</v>
      </c>
      <c r="CI144" s="5">
        <f ca="1">IFERROR(__xludf.DUMMYFUNCTION("""COMPUTED_VALUE"""),45471.9817435416)</f>
        <v>45471.981743541597</v>
      </c>
    </row>
    <row r="145" spans="1:87" x14ac:dyDescent="0.25">
      <c r="A145" s="5">
        <f ca="1">IFERROR(__xludf.DUMMYFUNCTION("""COMPUTED_VALUE"""),45470.847248206)</f>
        <v>45470.847248206002</v>
      </c>
      <c r="B145" s="1" t="str">
        <f ca="1">IFERROR(__xludf.DUMMYFUNCTION("""COMPUTED_VALUE"""),"ojhakrishna2310@gmail.com")</f>
        <v>ojhakrishna2310@gmail.com</v>
      </c>
      <c r="C145" s="1" t="str">
        <f ca="1">IFERROR(__xludf.DUMMYFUNCTION("""COMPUTED_VALUE"""),"Krishna arunkumar ojha")</f>
        <v>Krishna arunkumar ojha</v>
      </c>
      <c r="D145" s="1">
        <f ca="1">IFERROR(__xludf.DUMMYFUNCTION("""COMPUTED_VALUE"""),9637907058)</f>
        <v>9637907058</v>
      </c>
      <c r="E145" s="1" t="str">
        <f ca="1">IFERROR(__xludf.DUMMYFUNCTION("""COMPUTED_VALUE"""),"Yes")</f>
        <v>Yes</v>
      </c>
      <c r="F145" s="1" t="str">
        <f ca="1">IFERROR(__xludf.DUMMYFUNCTION("""COMPUTED_VALUE"""),"हिन्दी")</f>
        <v>हिन्दी</v>
      </c>
      <c r="G145" s="1" t="str">
        <f ca="1">IFERROR(__xludf.DUMMYFUNCTION("""COMPUTED_VALUE"""),"भारतीय संस्कृति")</f>
        <v>भारतीय संस्कृति</v>
      </c>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f ca="1">IFERROR(__xludf.DUMMYFUNCTION("""COMPUTED_VALUE"""),13)</f>
        <v>13</v>
      </c>
      <c r="BX145" s="1">
        <f ca="1">IFERROR(__xludf.DUMMYFUNCTION("""COMPUTED_VALUE"""),6)</f>
        <v>6</v>
      </c>
      <c r="BY145" s="1">
        <f ca="1">IFERROR(__xludf.DUMMYFUNCTION("""COMPUTED_VALUE"""),8)</f>
        <v>8</v>
      </c>
      <c r="BZ145" s="1">
        <f ca="1">IFERROR(__xludf.DUMMYFUNCTION("""COMPUTED_VALUE"""),0)</f>
        <v>0</v>
      </c>
      <c r="CA145" s="1"/>
      <c r="CB145" s="1"/>
      <c r="CC145" s="1" t="str">
        <f ca="1">IFERROR(__xludf.DUMMYFUNCTION("""COMPUTED_VALUE"""),"गायत्री साधना सम्बन्धी शंका समाधान : Rare Book")</f>
        <v>गायत्री साधना सम्बन्धी शंका समाधान : Rare Book</v>
      </c>
      <c r="CD145" s="3" t="str">
        <f ca="1">IFERROR(__xludf.DUMMYFUNCTION("""COMPUTED_VALUE"""),"https://vicharkrantibooks.org/productdetail?book_name=HINP0292_GAYATRI_SADHANA_SAMBANDHI_SHANKA_SAMADHAN_xx1978&amp;product_id=857")</f>
        <v>https://vicharkrantibooks.org/productdetail?book_name=HINP0292_GAYATRI_SADHANA_SAMBANDHI_SHANKA_SAMADHAN_xx1978&amp;product_id=857</v>
      </c>
      <c r="CE145" s="1" t="str">
        <f ca="1">IFERROR(__xludf.DUMMYFUNCTION("""COMPUTED_VALUE"""),"Audiobook : गायत्री साधना सम्बन्धी शंका समाधान : Rare Book : ojhakrishna2310@gmail.com : Recorded")</f>
        <v>Audiobook : गायत्री साधना सम्बन्धी शंका समाधान : Rare Book : ojhakrishna2310@gmail.com : Recorded</v>
      </c>
      <c r="CF145" s="1" t="str">
        <f ca="1">IFERROR(__xludf.DUMMYFUNCTION("""COMPUTED_VALUE"""),"#N/A")</f>
        <v>#N/A</v>
      </c>
      <c r="CG145" s="1" t="str">
        <f ca="1">IFERROR(__xludf.DUMMYFUNCTION("""COMPUTED_VALUE"""),"Adarniya Krishna arunkumar ojha ji गायत्री साधना सम्बन्धी शंका समाधान : Rare Book : Allocated on 27-Jun-24 Contact Number  9637907058")</f>
        <v>Adarniya Krishna arunkumar ojha ji गायत्री साधना सम्बन्धी शंका समाधान : Rare Book : Allocated on 27-Jun-24 Contact Number  9637907058</v>
      </c>
      <c r="CH145" s="1" t="str">
        <f ca="1">IFERROR(__xludf.DUMMYFUNCTION("""COMPUTED_VALUE"""),"ojhakrishna2310@gmail.com : गायत्री साधना सम्बन्धी शंका समाधान : Rare Book")</f>
        <v>ojhakrishna2310@gmail.com : गायत्री साधना सम्बन्धी शंका समाधान : Rare Book</v>
      </c>
      <c r="CI145" s="5">
        <f ca="1">IFERROR(__xludf.DUMMYFUNCTION("""COMPUTED_VALUE"""),45470.847248206)</f>
        <v>45470.847248206002</v>
      </c>
    </row>
    <row r="146" spans="1:87" x14ac:dyDescent="0.25">
      <c r="A146" s="5">
        <f ca="1">IFERROR(__xludf.DUMMYFUNCTION("""COMPUTED_VALUE"""),45470.6237740162)</f>
        <v>45470.623774016203</v>
      </c>
      <c r="B146" s="1" t="str">
        <f ca="1">IFERROR(__xludf.DUMMYFUNCTION("""COMPUTED_VALUE"""),"rajniverma24.vns@gmail.com")</f>
        <v>rajniverma24.vns@gmail.com</v>
      </c>
      <c r="C146" s="1" t="str">
        <f ca="1">IFERROR(__xludf.DUMMYFUNCTION("""COMPUTED_VALUE"""),"Rajni varma")</f>
        <v>Rajni varma</v>
      </c>
      <c r="D146" s="1">
        <f ca="1">IFERROR(__xludf.DUMMYFUNCTION("""COMPUTED_VALUE"""),9335661433)</f>
        <v>9335661433</v>
      </c>
      <c r="E146" s="1" t="str">
        <f ca="1">IFERROR(__xludf.DUMMYFUNCTION("""COMPUTED_VALUE"""),"No")</f>
        <v>No</v>
      </c>
      <c r="F146" s="1" t="str">
        <f ca="1">IFERROR(__xludf.DUMMYFUNCTION("""COMPUTED_VALUE"""),"हिन्दी")</f>
        <v>हिन्दी</v>
      </c>
      <c r="G146" s="1" t="str">
        <f ca="1">IFERROR(__xludf.DUMMYFUNCTION("""COMPUTED_VALUE"""),"भारतीय संस्कृति")</f>
        <v>भारतीय संस्कृति</v>
      </c>
      <c r="H146" s="1"/>
      <c r="I146" s="1"/>
      <c r="J146" s="1"/>
      <c r="K146" s="1"/>
      <c r="L146" s="1"/>
      <c r="M146" s="1"/>
      <c r="N146" s="1"/>
      <c r="O146" s="1" t="str">
        <f ca="1">IFERROR(__xludf.DUMMYFUNCTION("""COMPUTED_VALUE"""),"भारतीय संस्कृति")</f>
        <v>भारतीय संस्कृति</v>
      </c>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f ca="1">IFERROR(__xludf.DUMMYFUNCTION("""COMPUTED_VALUE"""),9)</f>
        <v>9</v>
      </c>
      <c r="BX146" s="1">
        <f ca="1">IFERROR(__xludf.DUMMYFUNCTION("""COMPUTED_VALUE"""),6)</f>
        <v>6</v>
      </c>
      <c r="BY146" s="1">
        <f ca="1">IFERROR(__xludf.DUMMYFUNCTION("""COMPUTED_VALUE"""),3)</f>
        <v>3</v>
      </c>
      <c r="BZ146" s="1">
        <f ca="1">IFERROR(__xludf.DUMMYFUNCTION("""COMPUTED_VALUE"""),1)</f>
        <v>1</v>
      </c>
      <c r="CA146" s="1"/>
      <c r="CB146" s="1"/>
      <c r="CC146" s="1" t="str">
        <f ca="1">IFERROR(__xludf.DUMMYFUNCTION("""COMPUTED_VALUE"""),"गायत्री विद्या और यज्ञ विज्ञान का युग्म : Rare Book")</f>
        <v>गायत्री विद्या और यज्ञ विज्ञान का युग्म : Rare Book</v>
      </c>
      <c r="CD146" s="3" t="str">
        <f ca="1">IFERROR(__xludf.DUMMYFUNCTION("""COMPUTED_VALUE"""),"https://vicharkrantibooks.org/productdetail?book_name=HINP0301_GAYATRI_VIDHYA_AUR_YAGY_VIGYAN_KA_YUGM_xx1979&amp;product_id=866")</f>
        <v>https://vicharkrantibooks.org/productdetail?book_name=HINP0301_GAYATRI_VIDHYA_AUR_YAGY_VIGYAN_KA_YUGM_xx1979&amp;product_id=866</v>
      </c>
      <c r="CE146" s="1" t="str">
        <f ca="1">IFERROR(__xludf.DUMMYFUNCTION("""COMPUTED_VALUE"""),"Audiobook : गायत्री विद्या और यज्ञ विज्ञान का युग्म : Rare Book : rajniverma24.vns@gmail.com : Recorded")</f>
        <v>Audiobook : गायत्री विद्या और यज्ञ विज्ञान का युग्म : Rare Book : rajniverma24.vns@gmail.com : Recorded</v>
      </c>
      <c r="CF146" s="1" t="str">
        <f ca="1">IFERROR(__xludf.DUMMYFUNCTION("""COMPUTED_VALUE"""),"Audiobook : गायत्री विद्या और यज्ञ विज्ञान का युग्म : Rare Book : rajniverma24.vns@gmail.com : Recorded")</f>
        <v>Audiobook : गायत्री विद्या और यज्ञ विज्ञान का युग्म : Rare Book : rajniverma24.vns@gmail.com : Recorded</v>
      </c>
      <c r="CG146" s="1" t="str">
        <f ca="1">IFERROR(__xludf.DUMMYFUNCTION("""COMPUTED_VALUE"""),"Adarniya Rajni varma ji गायत्री विद्या और यज्ञ विज्ञान का युग्म : Rare Book : Allocated on 27-Jun-24 Contact Number  9335661433")</f>
        <v>Adarniya Rajni varma ji गायत्री विद्या और यज्ञ विज्ञान का युग्म : Rare Book : Allocated on 27-Jun-24 Contact Number  9335661433</v>
      </c>
      <c r="CH146" s="1" t="str">
        <f ca="1">IFERROR(__xludf.DUMMYFUNCTION("""COMPUTED_VALUE"""),"rajniverma24.vns@gmail.com : गायत्री विद्या और यज्ञ विज्ञान का युग्म : Rare Book")</f>
        <v>rajniverma24.vns@gmail.com : गायत्री विद्या और यज्ञ विज्ञान का युग्म : Rare Book</v>
      </c>
      <c r="CI146" s="5">
        <f ca="1">IFERROR(__xludf.DUMMYFUNCTION("""COMPUTED_VALUE"""),45470.6237740162)</f>
        <v>45470.623774016203</v>
      </c>
    </row>
    <row r="147" spans="1:87" x14ac:dyDescent="0.25">
      <c r="A147" s="5">
        <f ca="1">IFERROR(__xludf.DUMMYFUNCTION("""COMPUTED_VALUE"""),45470.1752498032)</f>
        <v>45470.1752498032</v>
      </c>
      <c r="B147" s="1" t="str">
        <f ca="1">IFERROR(__xludf.DUMMYFUNCTION("""COMPUTED_VALUE"""),"kalagpatel1959@gmail.com")</f>
        <v>kalagpatel1959@gmail.com</v>
      </c>
      <c r="C147" s="1" t="str">
        <f ca="1">IFERROR(__xludf.DUMMYFUNCTION("""COMPUTED_VALUE"""),"Kala Patel ")</f>
        <v xml:space="preserve">Kala Patel </v>
      </c>
      <c r="D147" s="1">
        <f ca="1">IFERROR(__xludf.DUMMYFUNCTION("""COMPUTED_VALUE"""),9016250929)</f>
        <v>9016250929</v>
      </c>
      <c r="E147" s="1" t="str">
        <f ca="1">IFERROR(__xludf.DUMMYFUNCTION("""COMPUTED_VALUE"""),"Yes")</f>
        <v>Yes</v>
      </c>
      <c r="F147" s="1" t="str">
        <f ca="1">IFERROR(__xludf.DUMMYFUNCTION("""COMPUTED_VALUE"""),"गुजराती")</f>
        <v>गुजराती</v>
      </c>
      <c r="G147" s="1" t="str">
        <f ca="1">IFERROR(__xludf.DUMMYFUNCTION("""COMPUTED_VALUE"""),"परिवार निर्माण")</f>
        <v>परिवार निर्माण</v>
      </c>
      <c r="H147" s="1"/>
      <c r="I147" s="1"/>
      <c r="J147" s="1"/>
      <c r="K147" s="1"/>
      <c r="L147" s="1"/>
      <c r="M147" s="1" t="str">
        <f ca="1">IFERROR(__xludf.DUMMYFUNCTION("""COMPUTED_VALUE"""),"आनंदमय वृद्धावस्था")</f>
        <v>आनंदमय वृद्धावस्था</v>
      </c>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f ca="1">IFERROR(__xludf.DUMMYFUNCTION("""COMPUTED_VALUE"""),34)</f>
        <v>34</v>
      </c>
      <c r="BX147" s="1">
        <f ca="1">IFERROR(__xludf.DUMMYFUNCTION("""COMPUTED_VALUE"""),34)</f>
        <v>34</v>
      </c>
      <c r="BY147" s="1">
        <f ca="1">IFERROR(__xludf.DUMMYFUNCTION("""COMPUTED_VALUE"""),4)</f>
        <v>4</v>
      </c>
      <c r="BZ147" s="1">
        <f ca="1">IFERROR(__xludf.DUMMYFUNCTION("""COMPUTED_VALUE"""),11)</f>
        <v>11</v>
      </c>
      <c r="CA147" s="1"/>
      <c r="CB147" s="1"/>
      <c r="CC147" s="1" t="str">
        <f ca="1">IFERROR(__xludf.DUMMYFUNCTION("""COMPUTED_VALUE"""),"આત્મવિકાસના ચાર ચરણ : G_JS_77")</f>
        <v>આત્મવિકાસના ચાર ચરણ : G_JS_77</v>
      </c>
      <c r="CD147" s="3" t="str">
        <f ca="1">IFERROR(__xludf.DUMMYFUNCTION("""COMPUTED_VALUE"""),"https://vicharkrantibooks.org/productdetail?product_id=3802")</f>
        <v>https://vicharkrantibooks.org/productdetail?product_id=3802</v>
      </c>
      <c r="CE147" s="1" t="str">
        <f ca="1">IFERROR(__xludf.DUMMYFUNCTION("""COMPUTED_VALUE"""),"Audiobook : આત્મવિકાસના ચાર ચરણ : G_JS_77 : kalagpatel1959@gmail.com : Recorded")</f>
        <v>Audiobook : આત્મવિકાસના ચાર ચરણ : G_JS_77 : kalagpatel1959@gmail.com : Recorded</v>
      </c>
      <c r="CF147" s="1" t="str">
        <f ca="1">IFERROR(__xludf.DUMMYFUNCTION("""COMPUTED_VALUE"""),"Audiobook : આત્મવિકાસના ચાર ચરણ : G_JS_77 : kalagpatel1959@gmail.com : Recorded")</f>
        <v>Audiobook : આત્મવિકાસના ચાર ચરણ : G_JS_77 : kalagpatel1959@gmail.com : Recorded</v>
      </c>
      <c r="CG147" s="1" t="str">
        <f ca="1">IFERROR(__xludf.DUMMYFUNCTION("""COMPUTED_VALUE"""),"Adarniya Kala Patel  ji આત્મવિકાસના ચાર ચરણ : G_JS_77 : Allocated on 27-Jun-24 Contact Number  9016250929")</f>
        <v>Adarniya Kala Patel  ji આત્મવિકાસના ચાર ચરણ : G_JS_77 : Allocated on 27-Jun-24 Contact Number  9016250929</v>
      </c>
      <c r="CH147" s="1" t="str">
        <f ca="1">IFERROR(__xludf.DUMMYFUNCTION("""COMPUTED_VALUE"""),"kalagpatel1959@gmail.com : આત્મવિકાસના ચાર ચરણ : G_JS_77")</f>
        <v>kalagpatel1959@gmail.com : આત્મવિકાસના ચાર ચરણ : G_JS_77</v>
      </c>
      <c r="CI147" s="5">
        <f ca="1">IFERROR(__xludf.DUMMYFUNCTION("""COMPUTED_VALUE"""),45470.1752498032)</f>
        <v>45470.1752498032</v>
      </c>
    </row>
    <row r="148" spans="1:87" x14ac:dyDescent="0.25">
      <c r="A148" s="5">
        <f ca="1">IFERROR(__xludf.DUMMYFUNCTION("""COMPUTED_VALUE"""),45469.9393623842)</f>
        <v>45469.939362384197</v>
      </c>
      <c r="B148" s="1" t="str">
        <f ca="1">IFERROR(__xludf.DUMMYFUNCTION("""COMPUTED_VALUE"""),"spmittalmumbai@gmail.com")</f>
        <v>spmittalmumbai@gmail.com</v>
      </c>
      <c r="C148" s="1" t="str">
        <f ca="1">IFERROR(__xludf.DUMMYFUNCTION("""COMPUTED_VALUE"""),"S.P Mittal")</f>
        <v>S.P Mittal</v>
      </c>
      <c r="D148" s="1">
        <f ca="1">IFERROR(__xludf.DUMMYFUNCTION("""COMPUTED_VALUE"""),9860003407)</f>
        <v>9860003407</v>
      </c>
      <c r="E148" s="1" t="str">
        <f ca="1">IFERROR(__xludf.DUMMYFUNCTION("""COMPUTED_VALUE"""),"Yes")</f>
        <v>Yes</v>
      </c>
      <c r="F148" s="1" t="str">
        <f ca="1">IFERROR(__xludf.DUMMYFUNCTION("""COMPUTED_VALUE"""),"हिन्दी")</f>
        <v>हिन्दी</v>
      </c>
      <c r="G148" s="1" t="str">
        <f ca="1">IFERROR(__xludf.DUMMYFUNCTION("""COMPUTED_VALUE"""),"जीवन प्रबंध")</f>
        <v>जीवन प्रबंध</v>
      </c>
      <c r="H148" s="1"/>
      <c r="I148" s="1"/>
      <c r="J148" s="1"/>
      <c r="K148" s="1"/>
      <c r="L148" s="1" t="str">
        <f ca="1">IFERROR(__xludf.DUMMYFUNCTION("""COMPUTED_VALUE"""),"सफल, संतुष्ट एवं सुखी जीवन")</f>
        <v>सफल, संतुष्ट एवं सुखी जीवन</v>
      </c>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f ca="1">IFERROR(__xludf.DUMMYFUNCTION("""COMPUTED_VALUE"""),39)</f>
        <v>39</v>
      </c>
      <c r="BX148" s="1">
        <f ca="1">IFERROR(__xludf.DUMMYFUNCTION("""COMPUTED_VALUE"""),32)</f>
        <v>32</v>
      </c>
      <c r="BY148" s="1">
        <f ca="1">IFERROR(__xludf.DUMMYFUNCTION("""COMPUTED_VALUE"""),11)</f>
        <v>11</v>
      </c>
      <c r="BZ148" s="1">
        <f ca="1">IFERROR(__xludf.DUMMYFUNCTION("""COMPUTED_VALUE"""),23)</f>
        <v>23</v>
      </c>
      <c r="CA148" s="1"/>
      <c r="CB148" s="1"/>
      <c r="CC148" s="1" t="str">
        <f ca="1">IFERROR(__xludf.DUMMYFUNCTION("""COMPUTED_VALUE"""),"मनुष्य के मूल्यांकन की कसौटी, उसकी सफलताओं, योग्यताओं एवं विभूतियों को नहीं, उसके सद्‌विचारों और सत्कर्मों को मानेंगे : Rare Book")</f>
        <v>मनुष्य के मूल्यांकन की कसौटी, उसकी सफलताओं, योग्यताओं एवं विभूतियों को नहीं, उसके सद्‌विचारों और सत्कर्मों को मानेंगे : Rare Book</v>
      </c>
      <c r="CD148" s="3" t="str">
        <f ca="1">IFERROR(__xludf.DUMMYFUNCTION("""COMPUTED_VALUE"""),"https://vicharkrantibooks.org/productdetail?book_name=HINP0528_MANUSHY_KE_MULYANKAN_KI_KASAUTI_USAKI_SAPHALATAON_YOGYATAON_EVAM_VIBHUTIYON_KO_NAHIN_USAKE_SAD%E2%80%8CVICHARON_AUR_SATKARMON_KO_MANENGE_xxyyyy&amp;product_id=1093")</f>
        <v>https://vicharkrantibooks.org/productdetail?book_name=HINP0528_MANUSHY_KE_MULYANKAN_KI_KASAUTI_USAKI_SAPHALATAON_YOGYATAON_EVAM_VIBHUTIYON_KO_NAHIN_USAKE_SAD%E2%80%8CVICHARON_AUR_SATKARMON_KO_MANENGE_xxyyyy&amp;product_id=1093</v>
      </c>
      <c r="CE148" s="1" t="str">
        <f ca="1">IFERROR(__xludf.DUMMYFUNCTION("""COMPUTED_VALUE"""),"Audiobook : मनुष्य के मूल्यांकन की कसौटी, उसकी सफलताओं, योग्यताओं एवं विभूतियों को नहीं, उसके सद्‌विचारों और सत्कर्मों को मानेंगे : Rare Book : spmittalmumbai@gmail.com : Recorded")</f>
        <v>Audiobook : मनुष्य के मूल्यांकन की कसौटी, उसकी सफलताओं, योग्यताओं एवं विभूतियों को नहीं, उसके सद्‌विचारों और सत्कर्मों को मानेंगे : Rare Book : spmittalmumbai@gmail.com : Recorded</v>
      </c>
      <c r="CF148" s="1" t="str">
        <f ca="1">IFERROR(__xludf.DUMMYFUNCTION("""COMPUTED_VALUE"""),"Audiobook : मनुष्य के मूल्यांकन की कसौटी, उसकी सफलताओं, योग्यताओं एवं विभूतियों को नहीं, उसके सद्‌विचारों और सत्कर्मों को मानेंगे : Rare Book : spmittalmumbai@gmail.com : Recorded")</f>
        <v>Audiobook : मनुष्य के मूल्यांकन की कसौटी, उसकी सफलताओं, योग्यताओं एवं विभूतियों को नहीं, उसके सद्‌विचारों और सत्कर्मों को मानेंगे : Rare Book : spmittalmumbai@gmail.com : Recorded</v>
      </c>
      <c r="CG148" s="1" t="str">
        <f ca="1">IFERROR(__xludf.DUMMYFUNCTION("""COMPUTED_VALUE"""),"Adarniya S.P Mittal ji मनुष्य के मूल्यांकन की कसौटी, उसकी सफलताओं, योग्यताओं एवं विभूतियों को नहीं, उसके सद्‌विचारों और सत्कर्मों को मानेंगे : Rare Book : Allocated on 26-Jun-24 Contact Number  9860003407")</f>
        <v>Adarniya S.P Mittal ji मनुष्य के मूल्यांकन की कसौटी, उसकी सफलताओं, योग्यताओं एवं विभूतियों को नहीं, उसके सद्‌विचारों और सत्कर्मों को मानेंगे : Rare Book : Allocated on 26-Jun-24 Contact Number  9860003407</v>
      </c>
      <c r="CH148" s="1" t="str">
        <f ca="1">IFERROR(__xludf.DUMMYFUNCTION("""COMPUTED_VALUE"""),"spmittalmumbai@gmail.com : मनुष्य के मूल्यांकन की कसौटी, उसकी सफलताओं, योग्यताओं एवं विभूतियों को नहीं, उसके सद्‌विचारों और सत्कर्मों को मानेंगे : Rare Book")</f>
        <v>spmittalmumbai@gmail.com : मनुष्य के मूल्यांकन की कसौटी, उसकी सफलताओं, योग्यताओं एवं विभूतियों को नहीं, उसके सद्‌विचारों और सत्कर्मों को मानेंगे : Rare Book</v>
      </c>
      <c r="CI148" s="5">
        <f ca="1">IFERROR(__xludf.DUMMYFUNCTION("""COMPUTED_VALUE"""),45469.9393623842)</f>
        <v>45469.939362384197</v>
      </c>
    </row>
    <row r="149" spans="1:87" x14ac:dyDescent="0.25">
      <c r="A149" s="5">
        <f ca="1">IFERROR(__xludf.DUMMYFUNCTION("""COMPUTED_VALUE"""),45468.8623428935)</f>
        <v>45468.862342893503</v>
      </c>
      <c r="B149" s="1" t="str">
        <f ca="1">IFERROR(__xludf.DUMMYFUNCTION("""COMPUTED_VALUE"""),"shweta.r.gupta79@gmail.com")</f>
        <v>shweta.r.gupta79@gmail.com</v>
      </c>
      <c r="C149" s="1" t="str">
        <f ca="1">IFERROR(__xludf.DUMMYFUNCTION("""COMPUTED_VALUE"""),"Shweta Gupta ")</f>
        <v xml:space="preserve">Shweta Gupta </v>
      </c>
      <c r="D149" s="1">
        <f ca="1">IFERROR(__xludf.DUMMYFUNCTION("""COMPUTED_VALUE"""),8369516724)</f>
        <v>8369516724</v>
      </c>
      <c r="E149" s="1" t="str">
        <f ca="1">IFERROR(__xludf.DUMMYFUNCTION("""COMPUTED_VALUE"""),"Yes")</f>
        <v>Yes</v>
      </c>
      <c r="F149" s="1" t="str">
        <f ca="1">IFERROR(__xludf.DUMMYFUNCTION("""COMPUTED_VALUE"""),"हिन्दी")</f>
        <v>हिन्दी</v>
      </c>
      <c r="G149" s="1" t="str">
        <f ca="1">IFERROR(__xludf.DUMMYFUNCTION("""COMPUTED_VALUE"""),"परिवार निर्माण")</f>
        <v>परिवार निर्माण</v>
      </c>
      <c r="H149" s="1"/>
      <c r="I149" s="1"/>
      <c r="J149" s="1"/>
      <c r="K149" s="1"/>
      <c r="L149" s="1"/>
      <c r="M149" s="1" t="str">
        <f ca="1">IFERROR(__xludf.DUMMYFUNCTION("""COMPUTED_VALUE"""),"परिवार")</f>
        <v>परिवार</v>
      </c>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f ca="1">IFERROR(__xludf.DUMMYFUNCTION("""COMPUTED_VALUE"""),31)</f>
        <v>31</v>
      </c>
      <c r="BX149" s="1">
        <f ca="1">IFERROR(__xludf.DUMMYFUNCTION("""COMPUTED_VALUE"""),45)</f>
        <v>45</v>
      </c>
      <c r="BY149" s="1">
        <f ca="1">IFERROR(__xludf.DUMMYFUNCTION("""COMPUTED_VALUE"""),3)</f>
        <v>3</v>
      </c>
      <c r="BZ149" s="1">
        <f ca="1">IFERROR(__xludf.DUMMYFUNCTION("""COMPUTED_VALUE"""),40)</f>
        <v>40</v>
      </c>
      <c r="CA149" s="1"/>
      <c r="CB149" s="1"/>
      <c r="CC149" s="1" t="str">
        <f ca="1">IFERROR(__xludf.DUMMYFUNCTION("""COMPUTED_VALUE"""),"उनसे जो पचास के हो चले : H_SN_16")</f>
        <v>उनसे जो पचास के हो चले : H_SN_16</v>
      </c>
      <c r="CD149" s="3" t="str">
        <f ca="1">IFERROR(__xludf.DUMMYFUNCTION("""COMPUTED_VALUE"""),"https://vicharkrantibooks.org/productdetail?book_name=HINR1429_UNASE_JO_PACHAS_KE_HO_CHALE_xx2011&amp;product_id=3114")</f>
        <v>https://vicharkrantibooks.org/productdetail?book_name=HINR1429_UNASE_JO_PACHAS_KE_HO_CHALE_xx2011&amp;product_id=3114</v>
      </c>
      <c r="CE149" s="1" t="str">
        <f ca="1">IFERROR(__xludf.DUMMYFUNCTION("""COMPUTED_VALUE"""),"Audiobook : उनसे जो पचास के हो चले : H_SN_16 : shweta.r.gupta79@gmail.com : Recorded")</f>
        <v>Audiobook : उनसे जो पचास के हो चले : H_SN_16 : shweta.r.gupta79@gmail.com : Recorded</v>
      </c>
      <c r="CF149" s="1" t="str">
        <f ca="1">IFERROR(__xludf.DUMMYFUNCTION("""COMPUTED_VALUE"""),"Audiobook : उनसे जो पचास के हो चले : H_SN_16 : shweta.r.gupta79@gmail.com : Recorded")</f>
        <v>Audiobook : उनसे जो पचास के हो चले : H_SN_16 : shweta.r.gupta79@gmail.com : Recorded</v>
      </c>
      <c r="CG149" s="1" t="str">
        <f ca="1">IFERROR(__xludf.DUMMYFUNCTION("""COMPUTED_VALUE"""),"Adarniya Shweta Gupta  ji उनसे जो पचास के हो चले : H_SN_16 : Allocated on 25-Jun-24 Contact Number  8369516724")</f>
        <v>Adarniya Shweta Gupta  ji उनसे जो पचास के हो चले : H_SN_16 : Allocated on 25-Jun-24 Contact Number  8369516724</v>
      </c>
      <c r="CH149" s="1" t="str">
        <f ca="1">IFERROR(__xludf.DUMMYFUNCTION("""COMPUTED_VALUE"""),"shweta.r.gupta79@gmail.com : उनसे जो पचास के हो चले : H_SN_16")</f>
        <v>shweta.r.gupta79@gmail.com : उनसे जो पचास के हो चले : H_SN_16</v>
      </c>
      <c r="CI149" s="5">
        <f ca="1">IFERROR(__xludf.DUMMYFUNCTION("""COMPUTED_VALUE"""),45468.8623428935)</f>
        <v>45468.862342893503</v>
      </c>
    </row>
    <row r="150" spans="1:87" x14ac:dyDescent="0.25">
      <c r="A150" s="5">
        <f ca="1">IFERROR(__xludf.DUMMYFUNCTION("""COMPUTED_VALUE"""),45468.0454755555)</f>
        <v>45468.045475555497</v>
      </c>
      <c r="B150" s="1" t="str">
        <f ca="1">IFERROR(__xludf.DUMMYFUNCTION("""COMPUTED_VALUE"""),"khukeraval@gmail.com")</f>
        <v>khukeraval@gmail.com</v>
      </c>
      <c r="C150" s="1" t="str">
        <f ca="1">IFERROR(__xludf.DUMMYFUNCTION("""COMPUTED_VALUE"""),"Kamya Raval")</f>
        <v>Kamya Raval</v>
      </c>
      <c r="D150" s="1">
        <f ca="1">IFERROR(__xludf.DUMMYFUNCTION("""COMPUTED_VALUE"""),6477105018)</f>
        <v>6477105018</v>
      </c>
      <c r="E150" s="1" t="str">
        <f ca="1">IFERROR(__xludf.DUMMYFUNCTION("""COMPUTED_VALUE"""),"Yes")</f>
        <v>Yes</v>
      </c>
      <c r="F150" s="1" t="str">
        <f ca="1">IFERROR(__xludf.DUMMYFUNCTION("""COMPUTED_VALUE"""),"English")</f>
        <v>English</v>
      </c>
      <c r="G150" s="1" t="str">
        <f ca="1">IFERROR(__xludf.DUMMYFUNCTION("""COMPUTED_VALUE"""),"जीवन प्रबंध")</f>
        <v>जीवन प्रबंध</v>
      </c>
      <c r="H150" s="1"/>
      <c r="I150" s="1"/>
      <c r="J150" s="1"/>
      <c r="K150" s="1"/>
      <c r="L150" s="1" t="str">
        <f ca="1">IFERROR(__xludf.DUMMYFUNCTION("""COMPUTED_VALUE"""),"मन की शक्ति एवं मनोविज्ञान")</f>
        <v>मन की शक्ति एवं मनोविज्ञान</v>
      </c>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f ca="1">IFERROR(__xludf.DUMMYFUNCTION("""COMPUTED_VALUE"""),2)</f>
        <v>2</v>
      </c>
      <c r="BX150" s="1">
        <f ca="1">IFERROR(__xludf.DUMMYFUNCTION("""COMPUTED_VALUE"""),1)</f>
        <v>1</v>
      </c>
      <c r="BY150" s="1">
        <f ca="1">IFERROR(__xludf.DUMMYFUNCTION("""COMPUTED_VALUE"""),1)</f>
        <v>1</v>
      </c>
      <c r="BZ150" s="1">
        <f ca="1">IFERROR(__xludf.DUMMYFUNCTION("""COMPUTED_VALUE"""),1)</f>
        <v>1</v>
      </c>
      <c r="CA150" s="1"/>
      <c r="CB150" s="1"/>
      <c r="CC150" s="1" t="str">
        <f ca="1">IFERROR(__xludf.DUMMYFUNCTION("""COMPUTED_VALUE"""),"In The Angelic Light Of Rishi Thoughts 4 : EP_70_4")</f>
        <v>In The Angelic Light Of Rishi Thoughts 4 : EP_70_4</v>
      </c>
      <c r="CD150" s="3" t="str">
        <f ca="1">IFERROR(__xludf.DUMMYFUNCTION("""COMPUTED_VALUE"""),"https://vicharkrantibooks.org/productdetail?book_name=ENGP0715_IN_THE_ANGELIC_LIGHT_OF_RISHI_THOUGHTS_4_xxyyyy&amp;product_id=3463")</f>
        <v>https://vicharkrantibooks.org/productdetail?book_name=ENGP0715_IN_THE_ANGELIC_LIGHT_OF_RISHI_THOUGHTS_4_xxyyyy&amp;product_id=3463</v>
      </c>
      <c r="CE150" s="1" t="str">
        <f ca="1">IFERROR(__xludf.DUMMYFUNCTION("""COMPUTED_VALUE"""),"Audiobook : In The Angelic Light Of Rishi Thoughts 4 : EP_70_4 : khukeraval@gmail.com : Recorded")</f>
        <v>Audiobook : In The Angelic Light Of Rishi Thoughts 4 : EP_70_4 : khukeraval@gmail.com : Recorded</v>
      </c>
      <c r="CF150" s="1" t="str">
        <f ca="1">IFERROR(__xludf.DUMMYFUNCTION("""COMPUTED_VALUE"""),"Audiobook : In The Angelic Light Of Rishi Thoughts 4 : EP_70_4 : khukeraval@gmail.com : Recorded")</f>
        <v>Audiobook : In The Angelic Light Of Rishi Thoughts 4 : EP_70_4 : khukeraval@gmail.com : Recorded</v>
      </c>
      <c r="CG150" s="1" t="str">
        <f ca="1">IFERROR(__xludf.DUMMYFUNCTION("""COMPUTED_VALUE"""),"Adarniya Kamya Raval ji In The Angelic Light Of Rishi Thoughts 4 : EP_70_4 : Allocated on 25-Jun-24 Contact Number  6477105018")</f>
        <v>Adarniya Kamya Raval ji In The Angelic Light Of Rishi Thoughts 4 : EP_70_4 : Allocated on 25-Jun-24 Contact Number  6477105018</v>
      </c>
      <c r="CH150" s="1" t="str">
        <f ca="1">IFERROR(__xludf.DUMMYFUNCTION("""COMPUTED_VALUE"""),"khukeraval@gmail.com : In The Angelic Light Of Rishi Thoughts 4 : EP_70_4")</f>
        <v>khukeraval@gmail.com : In The Angelic Light Of Rishi Thoughts 4 : EP_70_4</v>
      </c>
      <c r="CI150" s="5">
        <f ca="1">IFERROR(__xludf.DUMMYFUNCTION("""COMPUTED_VALUE"""),45468.0454755555)</f>
        <v>45468.045475555497</v>
      </c>
    </row>
    <row r="151" spans="1:87" x14ac:dyDescent="0.25">
      <c r="A151" s="5">
        <f ca="1">IFERROR(__xludf.DUMMYFUNCTION("""COMPUTED_VALUE"""),45467.718075706)</f>
        <v>45467.718075705998</v>
      </c>
      <c r="B151" s="1" t="str">
        <f ca="1">IFERROR(__xludf.DUMMYFUNCTION("""COMPUTED_VALUE"""),"dave.chhaya@gmail.com")</f>
        <v>dave.chhaya@gmail.com</v>
      </c>
      <c r="C151" s="1" t="str">
        <f ca="1">IFERROR(__xludf.DUMMYFUNCTION("""COMPUTED_VALUE"""),"Chhaya Deepak Dave ")</f>
        <v xml:space="preserve">Chhaya Deepak Dave </v>
      </c>
      <c r="D151" s="1">
        <f ca="1">IFERROR(__xludf.DUMMYFUNCTION("""COMPUTED_VALUE"""),9879596556)</f>
        <v>9879596556</v>
      </c>
      <c r="E151" s="1" t="str">
        <f ca="1">IFERROR(__xludf.DUMMYFUNCTION("""COMPUTED_VALUE"""),"Yes")</f>
        <v>Yes</v>
      </c>
      <c r="F151" s="1" t="str">
        <f ca="1">IFERROR(__xludf.DUMMYFUNCTION("""COMPUTED_VALUE"""),"गुजराती")</f>
        <v>गुजराती</v>
      </c>
      <c r="G151" s="1" t="str">
        <f ca="1">IFERROR(__xludf.DUMMYFUNCTION("""COMPUTED_VALUE"""),"अध्यात्म, धर्म एवं दर्शन")</f>
        <v>अध्यात्म, धर्म एवं दर्शन</v>
      </c>
      <c r="H151" s="1" t="str">
        <f ca="1">IFERROR(__xludf.DUMMYFUNCTION("""COMPUTED_VALUE"""),"साधना")</f>
        <v>साधना</v>
      </c>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f ca="1">IFERROR(__xludf.DUMMYFUNCTION("""COMPUTED_VALUE"""),46)</f>
        <v>46</v>
      </c>
      <c r="BX151" s="1">
        <f ca="1">IFERROR(__xludf.DUMMYFUNCTION("""COMPUTED_VALUE"""),39)</f>
        <v>39</v>
      </c>
      <c r="BY151" s="1">
        <f ca="1">IFERROR(__xludf.DUMMYFUNCTION("""COMPUTED_VALUE"""),6)</f>
        <v>6</v>
      </c>
      <c r="BZ151" s="1">
        <f ca="1">IFERROR(__xludf.DUMMYFUNCTION("""COMPUTED_VALUE"""),16)</f>
        <v>16</v>
      </c>
      <c r="CA151" s="1"/>
      <c r="CB151" s="1"/>
      <c r="CC151" s="1" t="str">
        <f ca="1">IFERROR(__xludf.DUMMYFUNCTION("""COMPUTED_VALUE"""),"અવતારની આંધી દિશા બદલી નાંખે છે : G_JS_94")</f>
        <v>અવતારની આંધી દિશા બદલી નાંખે છે : G_JS_94</v>
      </c>
      <c r="CD151" s="3" t="str">
        <f ca="1">IFERROR(__xludf.DUMMYFUNCTION("""COMPUTED_VALUE"""),"https://vicharkrantibooks.org/productdetail?product_id=3819")</f>
        <v>https://vicharkrantibooks.org/productdetail?product_id=3819</v>
      </c>
      <c r="CE151" s="1" t="str">
        <f ca="1">IFERROR(__xludf.DUMMYFUNCTION("""COMPUTED_VALUE"""),"Audiobook : અવતારની આંધી દિશા બદલી નાંખે છે : G_JS_94 : dave.chhaya@gmail.com : Recorded")</f>
        <v>Audiobook : અવતારની આંધી દિશા બદલી નાંખે છે : G_JS_94 : dave.chhaya@gmail.com : Recorded</v>
      </c>
      <c r="CF151" s="1" t="str">
        <f ca="1">IFERROR(__xludf.DUMMYFUNCTION("""COMPUTED_VALUE"""),"#N/A")</f>
        <v>#N/A</v>
      </c>
      <c r="CG151" s="1" t="str">
        <f ca="1">IFERROR(__xludf.DUMMYFUNCTION("""COMPUTED_VALUE"""),"Adarniya Chhaya Deepak Dave  ji અવતારની આંધી દિશા બદલી નાંખે છે : G_JS_94 : Allocated on 24-Jun-24 Contact Number  9879596556")</f>
        <v>Adarniya Chhaya Deepak Dave  ji અવતારની આંધી દિશા બદલી નાંખે છે : G_JS_94 : Allocated on 24-Jun-24 Contact Number  9879596556</v>
      </c>
      <c r="CH151" s="1" t="str">
        <f ca="1">IFERROR(__xludf.DUMMYFUNCTION("""COMPUTED_VALUE"""),"dave.chhaya@gmail.com : અવતારની આંધી દિશા બદલી નાંખે છે : G_JS_94")</f>
        <v>dave.chhaya@gmail.com : અવતારની આંધી દિશા બદલી નાંખે છે : G_JS_94</v>
      </c>
      <c r="CI151" s="5">
        <f ca="1">IFERROR(__xludf.DUMMYFUNCTION("""COMPUTED_VALUE"""),45467.718075706)</f>
        <v>45467.718075705998</v>
      </c>
    </row>
    <row r="152" spans="1:87" x14ac:dyDescent="0.25">
      <c r="A152" s="5">
        <f ca="1">IFERROR(__xludf.DUMMYFUNCTION("""COMPUTED_VALUE"""),45467.6508712963)</f>
        <v>45467.650871296297</v>
      </c>
      <c r="B152" s="1" t="str">
        <f ca="1">IFERROR(__xludf.DUMMYFUNCTION("""COMPUTED_VALUE"""),"subhashbaghelkar@gmail.com")</f>
        <v>subhashbaghelkar@gmail.com</v>
      </c>
      <c r="C152" s="1" t="str">
        <f ca="1">IFERROR(__xludf.DUMMYFUNCTION("""COMPUTED_VALUE"""),"Subhash Baghelkar")</f>
        <v>Subhash Baghelkar</v>
      </c>
      <c r="D152" s="1">
        <f ca="1">IFERROR(__xludf.DUMMYFUNCTION("""COMPUTED_VALUE"""),8800989458)</f>
        <v>8800989458</v>
      </c>
      <c r="E152" s="1" t="str">
        <f ca="1">IFERROR(__xludf.DUMMYFUNCTION("""COMPUTED_VALUE"""),"Yes")</f>
        <v>Yes</v>
      </c>
      <c r="F152" s="1" t="str">
        <f ca="1">IFERROR(__xludf.DUMMYFUNCTION("""COMPUTED_VALUE"""),"English")</f>
        <v>English</v>
      </c>
      <c r="G152" s="1" t="str">
        <f ca="1">IFERROR(__xludf.DUMMYFUNCTION("""COMPUTED_VALUE"""),"English")</f>
        <v>English</v>
      </c>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f ca="1">IFERROR(__xludf.DUMMYFUNCTION("""COMPUTED_VALUE"""),4)</f>
        <v>4</v>
      </c>
      <c r="BX152" s="1">
        <f ca="1">IFERROR(__xludf.DUMMYFUNCTION("""COMPUTED_VALUE"""),3)</f>
        <v>3</v>
      </c>
      <c r="BY152" s="1">
        <f ca="1">IFERROR(__xludf.DUMMYFUNCTION("""COMPUTED_VALUE"""),2)</f>
        <v>2</v>
      </c>
      <c r="BZ152" s="1">
        <f ca="1">IFERROR(__xludf.DUMMYFUNCTION("""COMPUTED_VALUE"""),0)</f>
        <v>0</v>
      </c>
      <c r="CA152" s="1"/>
      <c r="CB152" s="1"/>
      <c r="CC152" s="1" t="str">
        <f ca="1">IFERROR(__xludf.DUMMYFUNCTION("""COMPUTED_VALUE"""),"In The Angelic Light Of Rishi Thoughts 6 : EP_70_6")</f>
        <v>In The Angelic Light Of Rishi Thoughts 6 : EP_70_6</v>
      </c>
      <c r="CD152" s="3" t="str">
        <f ca="1">IFERROR(__xludf.DUMMYFUNCTION("""COMPUTED_VALUE"""),"https://vicharkrantibooks.org/productdetail?book_name=ENGP0717_IN_THE_ANGELIC_LIGHT_OF_RISHI_THOUGHTS_6_xxyyyy&amp;product_id=3465")</f>
        <v>https://vicharkrantibooks.org/productdetail?book_name=ENGP0717_IN_THE_ANGELIC_LIGHT_OF_RISHI_THOUGHTS_6_xxyyyy&amp;product_id=3465</v>
      </c>
      <c r="CE152" s="1" t="str">
        <f ca="1">IFERROR(__xludf.DUMMYFUNCTION("""COMPUTED_VALUE"""),"Audiobook : In The Angelic Light Of Rishi Thoughts 6 : EP_70_6 : subhashbaghelkar@gmail.com : Recorded")</f>
        <v>Audiobook : In The Angelic Light Of Rishi Thoughts 6 : EP_70_6 : subhashbaghelkar@gmail.com : Recorded</v>
      </c>
      <c r="CF152" s="1" t="str">
        <f ca="1">IFERROR(__xludf.DUMMYFUNCTION("""COMPUTED_VALUE"""),"#N/A")</f>
        <v>#N/A</v>
      </c>
      <c r="CG152" s="1" t="str">
        <f ca="1">IFERROR(__xludf.DUMMYFUNCTION("""COMPUTED_VALUE"""),"Adarniya Subhash Baghelkar ji In The Angelic Light Of Rishi Thoughts 6 : EP_70_6 : Allocated on 24-Jun-24 Contact Number  8800989458")</f>
        <v>Adarniya Subhash Baghelkar ji In The Angelic Light Of Rishi Thoughts 6 : EP_70_6 : Allocated on 24-Jun-24 Contact Number  8800989458</v>
      </c>
      <c r="CH152" s="1" t="str">
        <f ca="1">IFERROR(__xludf.DUMMYFUNCTION("""COMPUTED_VALUE"""),"subhashbaghelkar@gmail.com : In The Angelic Light Of Rishi Thoughts 6 : EP_70_6")</f>
        <v>subhashbaghelkar@gmail.com : In The Angelic Light Of Rishi Thoughts 6 : EP_70_6</v>
      </c>
      <c r="CI152" s="5">
        <f ca="1">IFERROR(__xludf.DUMMYFUNCTION("""COMPUTED_VALUE"""),45467.6508712963)</f>
        <v>45467.650871296297</v>
      </c>
    </row>
    <row r="153" spans="1:87" x14ac:dyDescent="0.25">
      <c r="A153" s="5">
        <f ca="1">IFERROR(__xludf.DUMMYFUNCTION("""COMPUTED_VALUE"""),45467.5018612037)</f>
        <v>45467.501861203702</v>
      </c>
      <c r="B153" s="1" t="str">
        <f ca="1">IFERROR(__xludf.DUMMYFUNCTION("""COMPUTED_VALUE"""),"kalagpatel1959@gmail.com")</f>
        <v>kalagpatel1959@gmail.com</v>
      </c>
      <c r="C153" s="1" t="str">
        <f ca="1">IFERROR(__xludf.DUMMYFUNCTION("""COMPUTED_VALUE"""),"Kala Patel ")</f>
        <v xml:space="preserve">Kala Patel </v>
      </c>
      <c r="D153" s="1">
        <f ca="1">IFERROR(__xludf.DUMMYFUNCTION("""COMPUTED_VALUE"""),9016250929)</f>
        <v>9016250929</v>
      </c>
      <c r="E153" s="1" t="str">
        <f ca="1">IFERROR(__xludf.DUMMYFUNCTION("""COMPUTED_VALUE"""),"Yes")</f>
        <v>Yes</v>
      </c>
      <c r="F153" s="1" t="str">
        <f ca="1">IFERROR(__xludf.DUMMYFUNCTION("""COMPUTED_VALUE"""),"गुजराती")</f>
        <v>गुजराती</v>
      </c>
      <c r="G153" s="1" t="str">
        <f ca="1">IFERROR(__xludf.DUMMYFUNCTION("""COMPUTED_VALUE"""),"जीवन प्रबंध")</f>
        <v>जीवन प्रबंध</v>
      </c>
      <c r="H153" s="1"/>
      <c r="I153" s="1"/>
      <c r="J153" s="1"/>
      <c r="K153" s="1"/>
      <c r="L153" s="1" t="str">
        <f ca="1">IFERROR(__xludf.DUMMYFUNCTION("""COMPUTED_VALUE"""),"सफल, संतुष्ट एवं सुखी जीवन")</f>
        <v>सफल, संतुष्ट एवं सुखी जीवन</v>
      </c>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f ca="1">IFERROR(__xludf.DUMMYFUNCTION("""COMPUTED_VALUE"""),34)</f>
        <v>34</v>
      </c>
      <c r="BX153" s="1">
        <f ca="1">IFERROR(__xludf.DUMMYFUNCTION("""COMPUTED_VALUE"""),34)</f>
        <v>34</v>
      </c>
      <c r="BY153" s="1">
        <f ca="1">IFERROR(__xludf.DUMMYFUNCTION("""COMPUTED_VALUE"""),4)</f>
        <v>4</v>
      </c>
      <c r="BZ153" s="1">
        <f ca="1">IFERROR(__xludf.DUMMYFUNCTION("""COMPUTED_VALUE"""),11)</f>
        <v>11</v>
      </c>
      <c r="CA153" s="1"/>
      <c r="CB153" s="1"/>
      <c r="CC153" s="1" t="str">
        <f ca="1">IFERROR(__xludf.DUMMYFUNCTION("""COMPUTED_VALUE"""),"બાળકોનો સુધાર મનોવૈજ્ઞાનિક રીતે કરો : G_PP_19")</f>
        <v>બાળકોનો સુધાર મનોવૈજ્ઞાનિક રીતે કરો : G_PP_19</v>
      </c>
      <c r="CD153" s="3" t="str">
        <f ca="1">IFERROR(__xludf.DUMMYFUNCTION("""COMPUTED_VALUE"""),"https://vicharkrantibooks.org/productdetail?product_id=3924")</f>
        <v>https://vicharkrantibooks.org/productdetail?product_id=3924</v>
      </c>
      <c r="CE153" s="1" t="str">
        <f ca="1">IFERROR(__xludf.DUMMYFUNCTION("""COMPUTED_VALUE"""),"Audiobook : બાળકોનો સુધાર મનોવૈજ્ઞાનિક રીતે કરો : G_PP_19 : kalagpatel1959@gmail.com : Recorded")</f>
        <v>Audiobook : બાળકોનો સુધાર મનોવૈજ્ઞાનિક રીતે કરો : G_PP_19 : kalagpatel1959@gmail.com : Recorded</v>
      </c>
      <c r="CF153" s="1" t="str">
        <f ca="1">IFERROR(__xludf.DUMMYFUNCTION("""COMPUTED_VALUE"""),"Audiobook : બાળકોનો સુધાર મનોવૈજ્ઞાનિક રીતે કરો : G_PP_19 : kalagpatel1959@gmail.com : Recorded")</f>
        <v>Audiobook : બાળકોનો સુધાર મનોવૈજ્ઞાનિક રીતે કરો : G_PP_19 : kalagpatel1959@gmail.com : Recorded</v>
      </c>
      <c r="CG153" s="1" t="str">
        <f ca="1">IFERROR(__xludf.DUMMYFUNCTION("""COMPUTED_VALUE"""),"Adarniya Kala Patel  ji બાળકોનો સુધાર મનોવૈજ્ઞાનિક રીતે કરો : G_PP_19 : Allocated on 24-Jun-24 Contact Number  9016250929")</f>
        <v>Adarniya Kala Patel  ji બાળકોનો સુધાર મનોવૈજ્ઞાનિક રીતે કરો : G_PP_19 : Allocated on 24-Jun-24 Contact Number  9016250929</v>
      </c>
      <c r="CH153" s="1" t="str">
        <f ca="1">IFERROR(__xludf.DUMMYFUNCTION("""COMPUTED_VALUE"""),"kalagpatel1959@gmail.com : બાળકોનો સુધાર મનોવૈજ્ઞાનિક રીતે કરો : G_PP_19")</f>
        <v>kalagpatel1959@gmail.com : બાળકોનો સુધાર મનોવૈજ્ઞાનિક રીતે કરો : G_PP_19</v>
      </c>
      <c r="CI153" s="5">
        <f ca="1">IFERROR(__xludf.DUMMYFUNCTION("""COMPUTED_VALUE"""),45467.5018612037)</f>
        <v>45467.501861203702</v>
      </c>
    </row>
    <row r="154" spans="1:87" x14ac:dyDescent="0.25">
      <c r="A154" s="5">
        <f ca="1">IFERROR(__xludf.DUMMYFUNCTION("""COMPUTED_VALUE"""),45467.3515526736)</f>
        <v>45467.351552673601</v>
      </c>
      <c r="B154" s="1" t="str">
        <f ca="1">IFERROR(__xludf.DUMMYFUNCTION("""COMPUTED_VALUE"""),"druma4107@gmail.com")</f>
        <v>druma4107@gmail.com</v>
      </c>
      <c r="C154" s="1" t="str">
        <f ca="1">IFERROR(__xludf.DUMMYFUNCTION("""COMPUTED_VALUE"""),"Dr Uma Agrawal ")</f>
        <v xml:space="preserve">Dr Uma Agrawal </v>
      </c>
      <c r="D154" s="1">
        <f ca="1">IFERROR(__xludf.DUMMYFUNCTION("""COMPUTED_VALUE"""),9410861182)</f>
        <v>9410861182</v>
      </c>
      <c r="E154" s="1" t="str">
        <f ca="1">IFERROR(__xludf.DUMMYFUNCTION("""COMPUTED_VALUE"""),"Yes")</f>
        <v>Yes</v>
      </c>
      <c r="F154" s="1" t="str">
        <f ca="1">IFERROR(__xludf.DUMMYFUNCTION("""COMPUTED_VALUE"""),"हिन्दी")</f>
        <v>हिन्दी</v>
      </c>
      <c r="G154" s="1" t="str">
        <f ca="1">IFERROR(__xludf.DUMMYFUNCTION("""COMPUTED_VALUE"""),"समाज निर्माण")</f>
        <v>समाज निर्माण</v>
      </c>
      <c r="H154" s="1"/>
      <c r="I154" s="1"/>
      <c r="J154" s="1"/>
      <c r="K154" s="1"/>
      <c r="L154" s="1"/>
      <c r="M154" s="1"/>
      <c r="N154" s="1"/>
      <c r="O154" s="1"/>
      <c r="P154" s="1"/>
      <c r="Q154" s="1"/>
      <c r="R154" s="1"/>
      <c r="S154" s="1"/>
      <c r="T154" s="1"/>
      <c r="U154" s="1"/>
      <c r="V154" s="1" t="str">
        <f ca="1">IFERROR(__xludf.DUMMYFUNCTION("""COMPUTED_VALUE"""),"समाज निर्माण")</f>
        <v>समाज निर्माण</v>
      </c>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f ca="1">IFERROR(__xludf.DUMMYFUNCTION("""COMPUTED_VALUE"""),104)</f>
        <v>104</v>
      </c>
      <c r="BX154" s="1">
        <f ca="1">IFERROR(__xludf.DUMMYFUNCTION("""COMPUTED_VALUE"""),106)</f>
        <v>106</v>
      </c>
      <c r="BY154" s="1">
        <f ca="1">IFERROR(__xludf.DUMMYFUNCTION("""COMPUTED_VALUE"""),9)</f>
        <v>9</v>
      </c>
      <c r="BZ154" s="1">
        <f ca="1">IFERROR(__xludf.DUMMYFUNCTION("""COMPUTED_VALUE"""),43)</f>
        <v>43</v>
      </c>
      <c r="CA154" s="1"/>
      <c r="CB154" s="1"/>
      <c r="CC154" s="1" t="str">
        <f ca="1">IFERROR(__xludf.DUMMYFUNCTION("""COMPUTED_VALUE"""),"उँच-नीच की मान्यता मानवता पर कलंक : Rare Book")</f>
        <v>उँच-नीच की मान्यता मानवता पर कलंक : Rare Book</v>
      </c>
      <c r="CD154" s="3" t="str">
        <f ca="1">IFERROR(__xludf.DUMMYFUNCTION("""COMPUTED_VALUE"""),"https://vicharkrantibooks.org/productdetail?book_name=HINP0920_UNCH_NICH_KI_MANYATA_MANAVATA_PAR_KALANK_xxyyyy&amp;product_id=1485")</f>
        <v>https://vicharkrantibooks.org/productdetail?book_name=HINP0920_UNCH_NICH_KI_MANYATA_MANAVATA_PAR_KALANK_xxyyyy&amp;product_id=1485</v>
      </c>
      <c r="CE154" s="1" t="str">
        <f ca="1">IFERROR(__xludf.DUMMYFUNCTION("""COMPUTED_VALUE"""),"Audiobook : उँच-नीच की मान्यता मानवता पर कलंक : Rare Book : druma4107@gmail.com : Recorded")</f>
        <v>Audiobook : उँच-नीच की मान्यता मानवता पर कलंक : Rare Book : druma4107@gmail.com : Recorded</v>
      </c>
      <c r="CF154" s="1" t="str">
        <f ca="1">IFERROR(__xludf.DUMMYFUNCTION("""COMPUTED_VALUE"""),"Audiobook : उँच-नीच की मान्यता मानवता पर कलंक : Rare Book : druma4107@gmail.com : Recorded")</f>
        <v>Audiobook : उँच-नीच की मान्यता मानवता पर कलंक : Rare Book : druma4107@gmail.com : Recorded</v>
      </c>
      <c r="CG154" s="1" t="str">
        <f ca="1">IFERROR(__xludf.DUMMYFUNCTION("""COMPUTED_VALUE"""),"Adarniya Dr Uma Agrawal  ji उँच-नीच की मान्यता मानवता पर कलंक : Rare Book : Allocated on 24-Jun-24 Contact Number  9410861182")</f>
        <v>Adarniya Dr Uma Agrawal  ji उँच-नीच की मान्यता मानवता पर कलंक : Rare Book : Allocated on 24-Jun-24 Contact Number  9410861182</v>
      </c>
      <c r="CH154" s="1" t="str">
        <f ca="1">IFERROR(__xludf.DUMMYFUNCTION("""COMPUTED_VALUE"""),"druma4107@gmail.com : उँच-नीच की मान्यता मानवता पर कलंक : Rare Book")</f>
        <v>druma4107@gmail.com : उँच-नीच की मान्यता मानवता पर कलंक : Rare Book</v>
      </c>
      <c r="CI154" s="5">
        <f ca="1">IFERROR(__xludf.DUMMYFUNCTION("""COMPUTED_VALUE"""),45467.3515526736)</f>
        <v>45467.351552673601</v>
      </c>
    </row>
    <row r="155" spans="1:87" x14ac:dyDescent="0.25">
      <c r="A155" s="5">
        <f ca="1">IFERROR(__xludf.DUMMYFUNCTION("""COMPUTED_VALUE"""),45466.657191875)</f>
        <v>45466.657191874998</v>
      </c>
      <c r="B155" s="1" t="str">
        <f ca="1">IFERROR(__xludf.DUMMYFUNCTION("""COMPUTED_VALUE"""),"dave.chhaya@gmail.com")</f>
        <v>dave.chhaya@gmail.com</v>
      </c>
      <c r="C155" s="1" t="str">
        <f ca="1">IFERROR(__xludf.DUMMYFUNCTION("""COMPUTED_VALUE"""),"Chhaya Deepak Dave ")</f>
        <v xml:space="preserve">Chhaya Deepak Dave </v>
      </c>
      <c r="D155" s="1">
        <f ca="1">IFERROR(__xludf.DUMMYFUNCTION("""COMPUTED_VALUE"""),9879596556)</f>
        <v>9879596556</v>
      </c>
      <c r="E155" s="1" t="str">
        <f ca="1">IFERROR(__xludf.DUMMYFUNCTION("""COMPUTED_VALUE"""),"Yes")</f>
        <v>Yes</v>
      </c>
      <c r="F155" s="1" t="str">
        <f ca="1">IFERROR(__xludf.DUMMYFUNCTION("""COMPUTED_VALUE"""),"गुजराती")</f>
        <v>गुजराती</v>
      </c>
      <c r="G155" s="1" t="str">
        <f ca="1">IFERROR(__xludf.DUMMYFUNCTION("""COMPUTED_VALUE"""),"व्यक्ति निर्माण, युवा/विद्यार्थी एवं शिक्षक")</f>
        <v>व्यक्ति निर्माण, युवा/विद्यार्थी एवं शिक्षक</v>
      </c>
      <c r="H155" s="1"/>
      <c r="I155" s="1"/>
      <c r="J155" s="1"/>
      <c r="K155" s="1"/>
      <c r="L155" s="1"/>
      <c r="M155" s="1"/>
      <c r="N155" s="1"/>
      <c r="O155" s="1"/>
      <c r="P155" s="1"/>
      <c r="Q155" s="1"/>
      <c r="R155" s="1"/>
      <c r="S155" s="1"/>
      <c r="T155" s="1" t="str">
        <f ca="1">IFERROR(__xludf.DUMMYFUNCTION("""COMPUTED_VALUE"""),"व्यक्तित्व परिष्कार")</f>
        <v>व्यक्तित्व परिष्कार</v>
      </c>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f ca="1">IFERROR(__xludf.DUMMYFUNCTION("""COMPUTED_VALUE"""),46)</f>
        <v>46</v>
      </c>
      <c r="BX155" s="1">
        <f ca="1">IFERROR(__xludf.DUMMYFUNCTION("""COMPUTED_VALUE"""),39)</f>
        <v>39</v>
      </c>
      <c r="BY155" s="1">
        <f ca="1">IFERROR(__xludf.DUMMYFUNCTION("""COMPUTED_VALUE"""),6)</f>
        <v>6</v>
      </c>
      <c r="BZ155" s="1">
        <f ca="1">IFERROR(__xludf.DUMMYFUNCTION("""COMPUTED_VALUE"""),16)</f>
        <v>16</v>
      </c>
      <c r="CA155" s="1"/>
      <c r="CB155" s="1"/>
      <c r="CC155" s="1" t="str">
        <f ca="1">IFERROR(__xludf.DUMMYFUNCTION("""COMPUTED_VALUE"""),"ખુદને બદલો : G_PP_26")</f>
        <v>ખુદને બદલો : G_PP_26</v>
      </c>
      <c r="CD155" s="3" t="str">
        <f ca="1">IFERROR(__xludf.DUMMYFUNCTION("""COMPUTED_VALUE"""),"https://vicharkrantibooks.org/productdetail?product_id=3931")</f>
        <v>https://vicharkrantibooks.org/productdetail?product_id=3931</v>
      </c>
      <c r="CE155" s="1" t="str">
        <f ca="1">IFERROR(__xludf.DUMMYFUNCTION("""COMPUTED_VALUE"""),"Audiobook : ખુદને બદલો : G_PP_26 : dave.chhaya@gmail.com : Recorded")</f>
        <v>Audiobook : ખુદને બદલો : G_PP_26 : dave.chhaya@gmail.com : Recorded</v>
      </c>
      <c r="CF155" s="1" t="str">
        <f ca="1">IFERROR(__xludf.DUMMYFUNCTION("""COMPUTED_VALUE"""),"Audiobook : ખુદને બદલો : G_PP_26 : dave.chhaya@gmail.com : Recorded")</f>
        <v>Audiobook : ખુદને બદલો : G_PP_26 : dave.chhaya@gmail.com : Recorded</v>
      </c>
      <c r="CG155" s="1" t="str">
        <f ca="1">IFERROR(__xludf.DUMMYFUNCTION("""COMPUTED_VALUE"""),"Adarniya Chhaya Deepak Dave  ji ખુદને બદલો : G_PP_26 : Allocated on 23-Jun-24 Contact Number  9879596556")</f>
        <v>Adarniya Chhaya Deepak Dave  ji ખુદને બદલો : G_PP_26 : Allocated on 23-Jun-24 Contact Number  9879596556</v>
      </c>
      <c r="CH155" s="1" t="str">
        <f ca="1">IFERROR(__xludf.DUMMYFUNCTION("""COMPUTED_VALUE"""),"dave.chhaya@gmail.com : ખુદને બદલો : G_PP_26")</f>
        <v>dave.chhaya@gmail.com : ખુદને બદલો : G_PP_26</v>
      </c>
      <c r="CI155" s="5">
        <f ca="1">IFERROR(__xludf.DUMMYFUNCTION("""COMPUTED_VALUE"""),45466.657191875)</f>
        <v>45466.657191874998</v>
      </c>
    </row>
    <row r="156" spans="1:87" x14ac:dyDescent="0.25">
      <c r="A156" s="5">
        <f ca="1">IFERROR(__xludf.DUMMYFUNCTION("""COMPUTED_VALUE"""),45466.0252759953)</f>
        <v>45466.0252759953</v>
      </c>
      <c r="B156" s="1" t="str">
        <f ca="1">IFERROR(__xludf.DUMMYFUNCTION("""COMPUTED_VALUE"""),"sanjayneha1@yahoo.com")</f>
        <v>sanjayneha1@yahoo.com</v>
      </c>
      <c r="C156" s="1" t="str">
        <f ca="1">IFERROR(__xludf.DUMMYFUNCTION("""COMPUTED_VALUE"""),"Neha Manocha")</f>
        <v>Neha Manocha</v>
      </c>
      <c r="D156" s="1">
        <f ca="1">IFERROR(__xludf.DUMMYFUNCTION("""COMPUTED_VALUE"""),16174130446)</f>
        <v>16174130446</v>
      </c>
      <c r="E156" s="1" t="str">
        <f ca="1">IFERROR(__xludf.DUMMYFUNCTION("""COMPUTED_VALUE"""),"Yes")</f>
        <v>Yes</v>
      </c>
      <c r="F156" s="1" t="str">
        <f ca="1">IFERROR(__xludf.DUMMYFUNCTION("""COMPUTED_VALUE"""),"हिन्दी or English")</f>
        <v>हिन्दी or English</v>
      </c>
      <c r="G156" s="1"/>
      <c r="H156" s="1" t="str">
        <f ca="1">IFERROR(__xludf.DUMMYFUNCTION("""COMPUTED_VALUE"""),"साधना")</f>
        <v>साधना</v>
      </c>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f ca="1">IFERROR(__xludf.DUMMYFUNCTION("""COMPUTED_VALUE"""),33)</f>
        <v>33</v>
      </c>
      <c r="BX156" s="1">
        <f ca="1">IFERROR(__xludf.DUMMYFUNCTION("""COMPUTED_VALUE"""),40)</f>
        <v>40</v>
      </c>
      <c r="BY156" s="1">
        <f ca="1">IFERROR(__xludf.DUMMYFUNCTION("""COMPUTED_VALUE"""),3)</f>
        <v>3</v>
      </c>
      <c r="BZ156" s="1">
        <f ca="1">IFERROR(__xludf.DUMMYFUNCTION("""COMPUTED_VALUE"""),22)</f>
        <v>22</v>
      </c>
      <c r="CA156" s="1"/>
      <c r="CB156" s="1"/>
      <c r="CC156" s="1" t="str">
        <f ca="1">IFERROR(__xludf.DUMMYFUNCTION("""COMPUTED_VALUE"""),"परंपराओं की तुलना में विवेक को महत्त्व देंगे : Rare Book")</f>
        <v>परंपराओं की तुलना में विवेक को महत्त्व देंगे : Rare Book</v>
      </c>
      <c r="CD156" s="3" t="str">
        <f ca="1">IFERROR(__xludf.DUMMYFUNCTION("""COMPUTED_VALUE"""),"https://vicharkrantibooks.org/productdetail?book_name=HINP0619_PARAMPARAON_KI_TULANA_MEIN_VIVEK_KO_MAHATV_DENGE_xxyyyy&amp;product_id=1184")</f>
        <v>https://vicharkrantibooks.org/productdetail?book_name=HINP0619_PARAMPARAON_KI_TULANA_MEIN_VIVEK_KO_MAHATV_DENGE_xxyyyy&amp;product_id=1184</v>
      </c>
      <c r="CE156" s="1" t="str">
        <f ca="1">IFERROR(__xludf.DUMMYFUNCTION("""COMPUTED_VALUE"""),"Audiobook : परंपराओं की तुलना में विवेक को महत्त्व देंगे : Rare Book : sanjayneha1@yahoo.com : Recorded")</f>
        <v>Audiobook : परंपराओं की तुलना में विवेक को महत्त्व देंगे : Rare Book : sanjayneha1@yahoo.com : Recorded</v>
      </c>
      <c r="CF156" s="1" t="str">
        <f ca="1">IFERROR(__xludf.DUMMYFUNCTION("""COMPUTED_VALUE"""),"Audiobook : परंपराओं की तुलना में विवेक को महत्त्व देंगे : Rare Book : sanjayneha1@yahoo.com : Recorded")</f>
        <v>Audiobook : परंपराओं की तुलना में विवेक को महत्त्व देंगे : Rare Book : sanjayneha1@yahoo.com : Recorded</v>
      </c>
      <c r="CG156" s="1" t="str">
        <f ca="1">IFERROR(__xludf.DUMMYFUNCTION("""COMPUTED_VALUE"""),"Adarniya Neha Manocha ji परंपराओं की तुलना में विवेक को महत्त्व देंगे : Rare Book : Allocated on 23-Jun-24 Contact Number  16174130446")</f>
        <v>Adarniya Neha Manocha ji परंपराओं की तुलना में विवेक को महत्त्व देंगे : Rare Book : Allocated on 23-Jun-24 Contact Number  16174130446</v>
      </c>
      <c r="CH156" s="1" t="str">
        <f ca="1">IFERROR(__xludf.DUMMYFUNCTION("""COMPUTED_VALUE"""),"sanjayneha1@yahoo.com : परंपराओं की तुलना में विवेक को महत्त्व देंगे : Rare Book")</f>
        <v>sanjayneha1@yahoo.com : परंपराओं की तुलना में विवेक को महत्त्व देंगे : Rare Book</v>
      </c>
      <c r="CI156" s="5">
        <f ca="1">IFERROR(__xludf.DUMMYFUNCTION("""COMPUTED_VALUE"""),45466.0252759953)</f>
        <v>45466.0252759953</v>
      </c>
    </row>
    <row r="157" spans="1:87" x14ac:dyDescent="0.25">
      <c r="A157" s="5">
        <f ca="1">IFERROR(__xludf.DUMMYFUNCTION("""COMPUTED_VALUE"""),45465.6226005092)</f>
        <v>45465.622600509203</v>
      </c>
      <c r="B157" s="1" t="str">
        <f ca="1">IFERROR(__xludf.DUMMYFUNCTION("""COMPUTED_VALUE"""),"chauhanansh1046@gmail.com")</f>
        <v>chauhanansh1046@gmail.com</v>
      </c>
      <c r="C157" s="1" t="str">
        <f ca="1">IFERROR(__xludf.DUMMYFUNCTION("""COMPUTED_VALUE"""),"Ansh Chauhan")</f>
        <v>Ansh Chauhan</v>
      </c>
      <c r="D157" s="1">
        <f ca="1">IFERROR(__xludf.DUMMYFUNCTION("""COMPUTED_VALUE"""),8800125937)</f>
        <v>8800125937</v>
      </c>
      <c r="E157" s="1" t="str">
        <f ca="1">IFERROR(__xludf.DUMMYFUNCTION("""COMPUTED_VALUE"""),"Yes")</f>
        <v>Yes</v>
      </c>
      <c r="F157" s="1" t="str">
        <f ca="1">IFERROR(__xludf.DUMMYFUNCTION("""COMPUTED_VALUE"""),"English")</f>
        <v>English</v>
      </c>
      <c r="G157" s="1" t="str">
        <f ca="1">IFERROR(__xludf.DUMMYFUNCTION("""COMPUTED_VALUE"""),"English")</f>
        <v>English</v>
      </c>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f ca="1">IFERROR(__xludf.DUMMYFUNCTION("""COMPUTED_VALUE"""),1)</f>
        <v>1</v>
      </c>
      <c r="BX157" s="1">
        <f ca="1">IFERROR(__xludf.DUMMYFUNCTION("""COMPUTED_VALUE"""),0)</f>
        <v>0</v>
      </c>
      <c r="BY157" s="1">
        <f ca="1">IFERROR(__xludf.DUMMYFUNCTION("""COMPUTED_VALUE"""),1)</f>
        <v>1</v>
      </c>
      <c r="BZ157" s="1">
        <f ca="1">IFERROR(__xludf.DUMMYFUNCTION("""COMPUTED_VALUE"""),0)</f>
        <v>0</v>
      </c>
      <c r="CA157" s="1"/>
      <c r="CB157" s="1"/>
      <c r="CC157" s="1" t="str">
        <f ca="1">IFERROR(__xludf.DUMMYFUNCTION("""COMPUTED_VALUE"""),"Fruits Of Contentment : EPB_149")</f>
        <v>Fruits Of Contentment : EPB_149</v>
      </c>
      <c r="CD157" s="3" t="str">
        <f ca="1">IFERROR(__xludf.DUMMYFUNCTION("""COMPUTED_VALUE"""),"https://vicharkrantibooks.org/productdetail?book_name=ENGB0215_FRUITS_OF_CONTENTMENT_1st2013&amp;product_id=3534")</f>
        <v>https://vicharkrantibooks.org/productdetail?book_name=ENGB0215_FRUITS_OF_CONTENTMENT_1st2013&amp;product_id=3534</v>
      </c>
      <c r="CE157" s="1" t="str">
        <f ca="1">IFERROR(__xludf.DUMMYFUNCTION("""COMPUTED_VALUE"""),"Audiobook : Fruits Of Contentment : EPB_149 : chauhanansh1046@gmail.com : Recorded")</f>
        <v>Audiobook : Fruits Of Contentment : EPB_149 : chauhanansh1046@gmail.com : Recorded</v>
      </c>
      <c r="CF157" s="1" t="str">
        <f ca="1">IFERROR(__xludf.DUMMYFUNCTION("""COMPUTED_VALUE"""),"#N/A")</f>
        <v>#N/A</v>
      </c>
      <c r="CG157" s="1" t="str">
        <f ca="1">IFERROR(__xludf.DUMMYFUNCTION("""COMPUTED_VALUE"""),"Adarniya Ansh Chauhan ji Fruits Of Contentment : EPB_149 : Allocated on 22-Jun-24 Contact Number  8800125937")</f>
        <v>Adarniya Ansh Chauhan ji Fruits Of Contentment : EPB_149 : Allocated on 22-Jun-24 Contact Number  8800125937</v>
      </c>
      <c r="CH157" s="1" t="str">
        <f ca="1">IFERROR(__xludf.DUMMYFUNCTION("""COMPUTED_VALUE"""),"chauhanansh1046@gmail.com : Fruits Of Contentment : EPB_149")</f>
        <v>chauhanansh1046@gmail.com : Fruits Of Contentment : EPB_149</v>
      </c>
      <c r="CI157" s="5">
        <f ca="1">IFERROR(__xludf.DUMMYFUNCTION("""COMPUTED_VALUE"""),45465.6226005092)</f>
        <v>45465.622600509203</v>
      </c>
    </row>
    <row r="158" spans="1:87" x14ac:dyDescent="0.25">
      <c r="A158" s="5">
        <f ca="1">IFERROR(__xludf.DUMMYFUNCTION("""COMPUTED_VALUE"""),45464.6547994907)</f>
        <v>45464.654799490701</v>
      </c>
      <c r="B158" s="1" t="str">
        <f ca="1">IFERROR(__xludf.DUMMYFUNCTION("""COMPUTED_VALUE"""),"dave.chhaya@gmail.com")</f>
        <v>dave.chhaya@gmail.com</v>
      </c>
      <c r="C158" s="1" t="str">
        <f ca="1">IFERROR(__xludf.DUMMYFUNCTION("""COMPUTED_VALUE"""),"Chhaya Deepak Dave ")</f>
        <v xml:space="preserve">Chhaya Deepak Dave </v>
      </c>
      <c r="D158" s="1">
        <f ca="1">IFERROR(__xludf.DUMMYFUNCTION("""COMPUTED_VALUE"""),9879596556)</f>
        <v>9879596556</v>
      </c>
      <c r="E158" s="1" t="str">
        <f ca="1">IFERROR(__xludf.DUMMYFUNCTION("""COMPUTED_VALUE"""),"Yes")</f>
        <v>Yes</v>
      </c>
      <c r="F158" s="1" t="str">
        <f ca="1">IFERROR(__xludf.DUMMYFUNCTION("""COMPUTED_VALUE"""),"गुजराती")</f>
        <v>गुजराती</v>
      </c>
      <c r="G158" s="1" t="str">
        <f ca="1">IFERROR(__xludf.DUMMYFUNCTION("""COMPUTED_VALUE"""),"व्यक्ति निर्माण, युवा/विद्यार्थी एवं शिक्षक")</f>
        <v>व्यक्ति निर्माण, युवा/विद्यार्थी एवं शिक्षक</v>
      </c>
      <c r="H158" s="1"/>
      <c r="I158" s="1"/>
      <c r="J158" s="1"/>
      <c r="K158" s="1"/>
      <c r="L158" s="1"/>
      <c r="M158" s="1"/>
      <c r="N158" s="1"/>
      <c r="O158" s="1"/>
      <c r="P158" s="1"/>
      <c r="Q158" s="1"/>
      <c r="R158" s="1"/>
      <c r="S158" s="1"/>
      <c r="T158" s="1" t="str">
        <f ca="1">IFERROR(__xludf.DUMMYFUNCTION("""COMPUTED_VALUE"""),"व्यक्तित्व परिष्कार")</f>
        <v>व्यक्तित्व परिष्कार</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f ca="1">IFERROR(__xludf.DUMMYFUNCTION("""COMPUTED_VALUE"""),46)</f>
        <v>46</v>
      </c>
      <c r="BX158" s="1">
        <f ca="1">IFERROR(__xludf.DUMMYFUNCTION("""COMPUTED_VALUE"""),39)</f>
        <v>39</v>
      </c>
      <c r="BY158" s="1">
        <f ca="1">IFERROR(__xludf.DUMMYFUNCTION("""COMPUTED_VALUE"""),6)</f>
        <v>6</v>
      </c>
      <c r="BZ158" s="1">
        <f ca="1">IFERROR(__xludf.DUMMYFUNCTION("""COMPUTED_VALUE"""),16)</f>
        <v>16</v>
      </c>
      <c r="CA158" s="1"/>
      <c r="CB158" s="1"/>
      <c r="CC158" s="1" t="str">
        <f ca="1">IFERROR(__xludf.DUMMYFUNCTION("""COMPUTED_VALUE"""),"ઉન્નતિના ત્રણ ગુણ ચાર ચરણ : G_PP_35")</f>
        <v>ઉન્નતિના ત્રણ ગુણ ચાર ચરણ : G_PP_35</v>
      </c>
      <c r="CD158" s="3" t="str">
        <f ca="1">IFERROR(__xludf.DUMMYFUNCTION("""COMPUTED_VALUE"""),"https://vicharkrantibooks.org/productdetail?product_id=3940")</f>
        <v>https://vicharkrantibooks.org/productdetail?product_id=3940</v>
      </c>
      <c r="CE158" s="1" t="str">
        <f ca="1">IFERROR(__xludf.DUMMYFUNCTION("""COMPUTED_VALUE"""),"Audiobook : ઉન્નતિના ત્રણ ગુણ ચાર ચરણ : G_PP_35 : dave.chhaya@gmail.com : Recorded")</f>
        <v>Audiobook : ઉન્નતિના ત્રણ ગુણ ચાર ચરણ : G_PP_35 : dave.chhaya@gmail.com : Recorded</v>
      </c>
      <c r="CF158" s="1" t="str">
        <f ca="1">IFERROR(__xludf.DUMMYFUNCTION("""COMPUTED_VALUE"""),"Audiobook : ઉન્નતિના ત્રણ ગુણ ચાર ચરણ : G_PP_35 : dave.chhaya@gmail.com : Recorded")</f>
        <v>Audiobook : ઉન્નતિના ત્રણ ગુણ ચાર ચરણ : G_PP_35 : dave.chhaya@gmail.com : Recorded</v>
      </c>
      <c r="CG158" s="1" t="str">
        <f ca="1">IFERROR(__xludf.DUMMYFUNCTION("""COMPUTED_VALUE"""),"Adarniya Chhaya Deepak Dave  ji ઉન્નતિના ત્રણ ગુણ ચાર ચરણ : G_PP_35 : Allocated on 21-Jun-24 Contact Number  9879596556")</f>
        <v>Adarniya Chhaya Deepak Dave  ji ઉન્નતિના ત્રણ ગુણ ચાર ચરણ : G_PP_35 : Allocated on 21-Jun-24 Contact Number  9879596556</v>
      </c>
      <c r="CH158" s="1" t="str">
        <f ca="1">IFERROR(__xludf.DUMMYFUNCTION("""COMPUTED_VALUE"""),"dave.chhaya@gmail.com : ઉન્નતિના ત્રણ ગુણ ચાર ચરણ : G_PP_35")</f>
        <v>dave.chhaya@gmail.com : ઉન્નતિના ત્રણ ગુણ ચાર ચરણ : G_PP_35</v>
      </c>
      <c r="CI158" s="5">
        <f ca="1">IFERROR(__xludf.DUMMYFUNCTION("""COMPUTED_VALUE"""),45464.6547994907)</f>
        <v>45464.654799490701</v>
      </c>
    </row>
    <row r="159" spans="1:87" x14ac:dyDescent="0.25">
      <c r="A159" s="5">
        <f ca="1">IFERROR(__xludf.DUMMYFUNCTION("""COMPUTED_VALUE"""),45464.3998791435)</f>
        <v>45464.399879143501</v>
      </c>
      <c r="B159" s="1" t="str">
        <f ca="1">IFERROR(__xludf.DUMMYFUNCTION("""COMPUTED_VALUE"""),"kalagpatel1959@gmail.com")</f>
        <v>kalagpatel1959@gmail.com</v>
      </c>
      <c r="C159" s="1" t="str">
        <f ca="1">IFERROR(__xludf.DUMMYFUNCTION("""COMPUTED_VALUE"""),"Kala Patel ")</f>
        <v xml:space="preserve">Kala Patel </v>
      </c>
      <c r="D159" s="1">
        <f ca="1">IFERROR(__xludf.DUMMYFUNCTION("""COMPUTED_VALUE"""),9016250929)</f>
        <v>9016250929</v>
      </c>
      <c r="E159" s="1" t="str">
        <f ca="1">IFERROR(__xludf.DUMMYFUNCTION("""COMPUTED_VALUE"""),"Yes")</f>
        <v>Yes</v>
      </c>
      <c r="F159" s="1" t="str">
        <f ca="1">IFERROR(__xludf.DUMMYFUNCTION("""COMPUTED_VALUE"""),"गुजराती")</f>
        <v>गुजराती</v>
      </c>
      <c r="G159" s="1" t="str">
        <f ca="1">IFERROR(__xludf.DUMMYFUNCTION("""COMPUTED_VALUE"""),"वैज्ञानिक अध्यात्मवाद का प्रतिपादन")</f>
        <v>वैज्ञानिक अध्यात्मवाद का प्रतिपादन</v>
      </c>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f ca="1">IFERROR(__xludf.DUMMYFUNCTION("""COMPUTED_VALUE"""),34)</f>
        <v>34</v>
      </c>
      <c r="BX159" s="1">
        <f ca="1">IFERROR(__xludf.DUMMYFUNCTION("""COMPUTED_VALUE"""),34)</f>
        <v>34</v>
      </c>
      <c r="BY159" s="1">
        <f ca="1">IFERROR(__xludf.DUMMYFUNCTION("""COMPUTED_VALUE"""),4)</f>
        <v>4</v>
      </c>
      <c r="BZ159" s="1">
        <f ca="1">IFERROR(__xludf.DUMMYFUNCTION("""COMPUTED_VALUE"""),11)</f>
        <v>11</v>
      </c>
      <c r="CA159" s="1"/>
      <c r="CB159" s="1"/>
      <c r="CC159" s="1" t="str">
        <f ca="1">IFERROR(__xludf.DUMMYFUNCTION("""COMPUTED_VALUE"""),"અધ્યાત્મ એક રોકડિયો ધર્મ : G_JS_84")</f>
        <v>અધ્યાત્મ એક રોકડિયો ધર્મ : G_JS_84</v>
      </c>
      <c r="CD159" s="3" t="str">
        <f ca="1">IFERROR(__xludf.DUMMYFUNCTION("""COMPUTED_VALUE"""),"https://vicharkrantibooks.org/productdetail?book_name=GUJP0011_ADHYATM_EK_ROKADIYO_DHARM_XXYYYY&amp;product_id=3809")</f>
        <v>https://vicharkrantibooks.org/productdetail?book_name=GUJP0011_ADHYATM_EK_ROKADIYO_DHARM_XXYYYY&amp;product_id=3809</v>
      </c>
      <c r="CE159" s="1" t="str">
        <f ca="1">IFERROR(__xludf.DUMMYFUNCTION("""COMPUTED_VALUE"""),"Audiobook : અધ્યાત્મ એક રોકડિયો ધર્મ : G_JS_84 : kalagpatel1959@gmail.com : Recorded")</f>
        <v>Audiobook : અધ્યાત્મ એક રોકડિયો ધર્મ : G_JS_84 : kalagpatel1959@gmail.com : Recorded</v>
      </c>
      <c r="CF159" s="1" t="str">
        <f ca="1">IFERROR(__xludf.DUMMYFUNCTION("""COMPUTED_VALUE"""),"Audiobook : અધ્યાત્મ એક રોકડિયો ધર્મ : G_JS_84 : kalagpatel1959@gmail.com : Recorded")</f>
        <v>Audiobook : અધ્યાત્મ એક રોકડિયો ધર્મ : G_JS_84 : kalagpatel1959@gmail.com : Recorded</v>
      </c>
      <c r="CG159" s="1" t="str">
        <f ca="1">IFERROR(__xludf.DUMMYFUNCTION("""COMPUTED_VALUE"""),"Adarniya Kala Patel  ji અધ્યાત્મ એક રોકડિયો ધર્મ : G_JS_84 : Allocated on 21-Jun-24 Contact Number  9016250929")</f>
        <v>Adarniya Kala Patel  ji અધ્યાત્મ એક રોકડિયો ધર્મ : G_JS_84 : Allocated on 21-Jun-24 Contact Number  9016250929</v>
      </c>
      <c r="CH159" s="1" t="str">
        <f ca="1">IFERROR(__xludf.DUMMYFUNCTION("""COMPUTED_VALUE"""),"kalagpatel1959@gmail.com : અધ્યાત્મ એક રોકડિયો ધર્મ : G_JS_84")</f>
        <v>kalagpatel1959@gmail.com : અધ્યાત્મ એક રોકડિયો ધર્મ : G_JS_84</v>
      </c>
      <c r="CI159" s="5">
        <f ca="1">IFERROR(__xludf.DUMMYFUNCTION("""COMPUTED_VALUE"""),45464.3998791435)</f>
        <v>45464.399879143501</v>
      </c>
    </row>
    <row r="160" spans="1:87" x14ac:dyDescent="0.25">
      <c r="A160" s="5">
        <f ca="1">IFERROR(__xludf.DUMMYFUNCTION("""COMPUTED_VALUE"""),45463.698086331)</f>
        <v>45463.698086331002</v>
      </c>
      <c r="B160" s="1" t="str">
        <f ca="1">IFERROR(__xludf.DUMMYFUNCTION("""COMPUTED_VALUE"""),"pragatitiwaridsvv03@gmail.com")</f>
        <v>pragatitiwaridsvv03@gmail.com</v>
      </c>
      <c r="C160" s="1" t="str">
        <f ca="1">IFERROR(__xludf.DUMMYFUNCTION("""COMPUTED_VALUE"""),"Pragati Tiwari")</f>
        <v>Pragati Tiwari</v>
      </c>
      <c r="D160" s="1">
        <f ca="1">IFERROR(__xludf.DUMMYFUNCTION("""COMPUTED_VALUE"""),9639354243)</f>
        <v>9639354243</v>
      </c>
      <c r="E160" s="1" t="str">
        <f ca="1">IFERROR(__xludf.DUMMYFUNCTION("""COMPUTED_VALUE"""),"Yes")</f>
        <v>Yes</v>
      </c>
      <c r="F160" s="1" t="str">
        <f ca="1">IFERROR(__xludf.DUMMYFUNCTION("""COMPUTED_VALUE"""),"हिन्दी or English")</f>
        <v>हिन्दी or English</v>
      </c>
      <c r="G160" s="1" t="str">
        <f ca="1">IFERROR(__xludf.DUMMYFUNCTION("""COMPUTED_VALUE"""),"व्यक्ति निर्माण, युवा/विद्यार्थी एवं शिक्षक")</f>
        <v>व्यक्ति निर्माण, युवा/विद्यार्थी एवं शिक्षक</v>
      </c>
      <c r="H160" s="1"/>
      <c r="I160" s="1"/>
      <c r="J160" s="1"/>
      <c r="K160" s="1"/>
      <c r="L160" s="1"/>
      <c r="M160" s="1"/>
      <c r="N160" s="1"/>
      <c r="O160" s="1"/>
      <c r="P160" s="1"/>
      <c r="Q160" s="1"/>
      <c r="R160" s="1"/>
      <c r="S160" s="1"/>
      <c r="T160" s="1" t="str">
        <f ca="1">IFERROR(__xludf.DUMMYFUNCTION("""COMPUTED_VALUE"""),"व्यक्तित्व परिष्कार")</f>
        <v>व्यक्तित्व परिष्कार</v>
      </c>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f ca="1">IFERROR(__xludf.DUMMYFUNCTION("""COMPUTED_VALUE"""),1)</f>
        <v>1</v>
      </c>
      <c r="BX160" s="1">
        <f ca="1">IFERROR(__xludf.DUMMYFUNCTION("""COMPUTED_VALUE"""),0)</f>
        <v>0</v>
      </c>
      <c r="BY160" s="1">
        <f ca="1">IFERROR(__xludf.DUMMYFUNCTION("""COMPUTED_VALUE"""),1)</f>
        <v>1</v>
      </c>
      <c r="BZ160" s="1">
        <f ca="1">IFERROR(__xludf.DUMMYFUNCTION("""COMPUTED_VALUE"""),0)</f>
        <v>0</v>
      </c>
      <c r="CA160" s="1"/>
      <c r="CB160" s="1"/>
      <c r="CC160" s="1" t="str">
        <f ca="1">IFERROR(__xludf.DUMMYFUNCTION("""COMPUTED_VALUE"""),"एकाग्रता की शक्ति और उसका सुनियोजन : Rare Book")</f>
        <v>एकाग्रता की शक्ति और उसका सुनियोजन : Rare Book</v>
      </c>
      <c r="CD160" s="3" t="str">
        <f ca="1">IFERROR(__xludf.DUMMYFUNCTION("""COMPUTED_VALUE"""),"https://vicharkrantibooks.org/productdetail?book_name=HINF0098_EKAGRATA_KI_SHAKTI_AUR_USAKA_SUNIYOJAN_xxyyyy&amp;product_id=318")</f>
        <v>https://vicharkrantibooks.org/productdetail?book_name=HINF0098_EKAGRATA_KI_SHAKTI_AUR_USAKA_SUNIYOJAN_xxyyyy&amp;product_id=318</v>
      </c>
      <c r="CE160" s="1" t="str">
        <f ca="1">IFERROR(__xludf.DUMMYFUNCTION("""COMPUTED_VALUE"""),"Audiobook : एकाग्रता की शक्ति और उसका सुनियोजन : Rare Book : pragatitiwaridsvv03@gmail.com : Recorded")</f>
        <v>Audiobook : एकाग्रता की शक्ति और उसका सुनियोजन : Rare Book : pragatitiwaridsvv03@gmail.com : Recorded</v>
      </c>
      <c r="CF160" s="1" t="str">
        <f ca="1">IFERROR(__xludf.DUMMYFUNCTION("""COMPUTED_VALUE"""),"#N/A")</f>
        <v>#N/A</v>
      </c>
      <c r="CG160" s="1" t="str">
        <f ca="1">IFERROR(__xludf.DUMMYFUNCTION("""COMPUTED_VALUE"""),"Adarniya Pragati Tiwari ji एकाग्रता की शक्ति और उसका सुनियोजन : Rare Book : Allocated on 20-Jun-24 Contact Number  9639354243")</f>
        <v>Adarniya Pragati Tiwari ji एकाग्रता की शक्ति और उसका सुनियोजन : Rare Book : Allocated on 20-Jun-24 Contact Number  9639354243</v>
      </c>
      <c r="CH160" s="1" t="str">
        <f ca="1">IFERROR(__xludf.DUMMYFUNCTION("""COMPUTED_VALUE"""),"pragatitiwaridsvv03@gmail.com : एकाग्रता की शक्ति और उसका सुनियोजन : Rare Book")</f>
        <v>pragatitiwaridsvv03@gmail.com : एकाग्रता की शक्ति और उसका सुनियोजन : Rare Book</v>
      </c>
      <c r="CI160" s="5">
        <f ca="1">IFERROR(__xludf.DUMMYFUNCTION("""COMPUTED_VALUE"""),45463.698086331)</f>
        <v>45463.698086331002</v>
      </c>
    </row>
    <row r="161" spans="1:87" x14ac:dyDescent="0.25">
      <c r="A161" s="5">
        <f ca="1">IFERROR(__xludf.DUMMYFUNCTION("""COMPUTED_VALUE"""),45462.9218629629)</f>
        <v>45462.921862962903</v>
      </c>
      <c r="B161" s="1" t="str">
        <f ca="1">IFERROR(__xludf.DUMMYFUNCTION("""COMPUTED_VALUE"""),"vandana15rastogi@gmail.com")</f>
        <v>vandana15rastogi@gmail.com</v>
      </c>
      <c r="C161" s="1" t="str">
        <f ca="1">IFERROR(__xludf.DUMMYFUNCTION("""COMPUTED_VALUE"""),"Vandana Rastogi")</f>
        <v>Vandana Rastogi</v>
      </c>
      <c r="D161" s="1">
        <f ca="1">IFERROR(__xludf.DUMMYFUNCTION("""COMPUTED_VALUE"""),9359528684)</f>
        <v>9359528684</v>
      </c>
      <c r="E161" s="1" t="str">
        <f ca="1">IFERROR(__xludf.DUMMYFUNCTION("""COMPUTED_VALUE"""),"Yes")</f>
        <v>Yes</v>
      </c>
      <c r="F161" s="1" t="str">
        <f ca="1">IFERROR(__xludf.DUMMYFUNCTION("""COMPUTED_VALUE"""),"हिन्दी")</f>
        <v>हिन्दी</v>
      </c>
      <c r="G161" s="1" t="str">
        <f ca="1">IFERROR(__xludf.DUMMYFUNCTION("""COMPUTED_VALUE"""),"युग द्रष्टा पं. श्रीराम शर्मा आचार्यजी")</f>
        <v>युग द्रष्टा पं. श्रीराम शर्मा आचार्यजी</v>
      </c>
      <c r="H161" s="1"/>
      <c r="I161" s="1"/>
      <c r="J161" s="1"/>
      <c r="K161" s="1"/>
      <c r="L161" s="1"/>
      <c r="M161" s="1"/>
      <c r="N161" s="1"/>
      <c r="O161" s="1"/>
      <c r="P161" s="1" t="str">
        <f ca="1">IFERROR(__xludf.DUMMYFUNCTION("""COMPUTED_VALUE"""),"युगॠषी की अमृतवाणी")</f>
        <v>युगॠषी की अमृतवाणी</v>
      </c>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f ca="1">IFERROR(__xludf.DUMMYFUNCTION("""COMPUTED_VALUE"""),33)</f>
        <v>33</v>
      </c>
      <c r="BX161" s="1">
        <f ca="1">IFERROR(__xludf.DUMMYFUNCTION("""COMPUTED_VALUE"""),19)</f>
        <v>19</v>
      </c>
      <c r="BY161" s="1">
        <f ca="1">IFERROR(__xludf.DUMMYFUNCTION("""COMPUTED_VALUE"""),17)</f>
        <v>17</v>
      </c>
      <c r="BZ161" s="1">
        <f ca="1">IFERROR(__xludf.DUMMYFUNCTION("""COMPUTED_VALUE"""),14)</f>
        <v>14</v>
      </c>
      <c r="CA161" s="1"/>
      <c r="CB161" s="1"/>
      <c r="CC161" s="1" t="str">
        <f ca="1">IFERROR(__xludf.DUMMYFUNCTION("""COMPUTED_VALUE"""),"धर्म का तत्वदर्शन : Rare Book")</f>
        <v>धर्म का तत्वदर्शन : Rare Book</v>
      </c>
      <c r="CD161" s="3" t="str">
        <f ca="1">IFERROR(__xludf.DUMMYFUNCTION("""COMPUTED_VALUE"""),"https://vicharkrantibooks.org/productdetail?book_name=HINP0234_DHARM_KA_TATVADARSHAN_xx1981&amp;product_id=799")</f>
        <v>https://vicharkrantibooks.org/productdetail?book_name=HINP0234_DHARM_KA_TATVADARSHAN_xx1981&amp;product_id=799</v>
      </c>
      <c r="CE161" s="1" t="str">
        <f ca="1">IFERROR(__xludf.DUMMYFUNCTION("""COMPUTED_VALUE"""),"Audiobook : धर्म का तत्वदर्शन : Rare Book : vandana15rastogi@gmail.com : Recorded")</f>
        <v>Audiobook : धर्म का तत्वदर्शन : Rare Book : vandana15rastogi@gmail.com : Recorded</v>
      </c>
      <c r="CF161" s="1" t="str">
        <f ca="1">IFERROR(__xludf.DUMMYFUNCTION("""COMPUTED_VALUE"""),"Audiobook : धर्म का तत्वदर्शन : Rare Book : vandana15rastogi@gmail.com : Recorded")</f>
        <v>Audiobook : धर्म का तत्वदर्शन : Rare Book : vandana15rastogi@gmail.com : Recorded</v>
      </c>
      <c r="CG161" s="1" t="str">
        <f ca="1">IFERROR(__xludf.DUMMYFUNCTION("""COMPUTED_VALUE"""),"Adarniya Vandana Rastogi ji धर्म का तत्वदर्शन : Rare Book : Allocated on 19-Jun-24 Contact Number  9359528684")</f>
        <v>Adarniya Vandana Rastogi ji धर्म का तत्वदर्शन : Rare Book : Allocated on 19-Jun-24 Contact Number  9359528684</v>
      </c>
      <c r="CH161" s="1" t="str">
        <f ca="1">IFERROR(__xludf.DUMMYFUNCTION("""COMPUTED_VALUE"""),"vandana15rastogi@gmail.com : धर्म का तत्वदर्शन : Rare Book")</f>
        <v>vandana15rastogi@gmail.com : धर्म का तत्वदर्शन : Rare Book</v>
      </c>
      <c r="CI161" s="5">
        <f ca="1">IFERROR(__xludf.DUMMYFUNCTION("""COMPUTED_VALUE"""),45462.9218629629)</f>
        <v>45462.921862962903</v>
      </c>
    </row>
    <row r="162" spans="1:87" x14ac:dyDescent="0.25">
      <c r="A162" s="5">
        <f ca="1">IFERROR(__xludf.DUMMYFUNCTION("""COMPUTED_VALUE"""),45462.6765931481)</f>
        <v>45462.676593148099</v>
      </c>
      <c r="B162" s="1" t="str">
        <f ca="1">IFERROR(__xludf.DUMMYFUNCTION("""COMPUTED_VALUE"""),"druma4107@gmail.com")</f>
        <v>druma4107@gmail.com</v>
      </c>
      <c r="C162" s="1" t="str">
        <f ca="1">IFERROR(__xludf.DUMMYFUNCTION("""COMPUTED_VALUE"""),"Dr Uma Agrawal ")</f>
        <v xml:space="preserve">Dr Uma Agrawal </v>
      </c>
      <c r="D162" s="1">
        <f ca="1">IFERROR(__xludf.DUMMYFUNCTION("""COMPUTED_VALUE"""),9410861182)</f>
        <v>9410861182</v>
      </c>
      <c r="E162" s="1" t="str">
        <f ca="1">IFERROR(__xludf.DUMMYFUNCTION("""COMPUTED_VALUE"""),"Yes")</f>
        <v>Yes</v>
      </c>
      <c r="F162" s="1" t="str">
        <f ca="1">IFERROR(__xludf.DUMMYFUNCTION("""COMPUTED_VALUE"""),"हिन्दी")</f>
        <v>हिन्दी</v>
      </c>
      <c r="G162" s="1" t="str">
        <f ca="1">IFERROR(__xludf.DUMMYFUNCTION("""COMPUTED_VALUE"""),"समाज निर्माण")</f>
        <v>समाज निर्माण</v>
      </c>
      <c r="H162" s="1"/>
      <c r="I162" s="1"/>
      <c r="J162" s="1"/>
      <c r="K162" s="1"/>
      <c r="L162" s="1"/>
      <c r="M162" s="1"/>
      <c r="N162" s="1"/>
      <c r="O162" s="1"/>
      <c r="P162" s="1"/>
      <c r="Q162" s="1"/>
      <c r="R162" s="1"/>
      <c r="S162" s="1"/>
      <c r="T162" s="1"/>
      <c r="U162" s="1"/>
      <c r="V162" s="1" t="str">
        <f ca="1">IFERROR(__xludf.DUMMYFUNCTION("""COMPUTED_VALUE"""),"समाज निर्माण")</f>
        <v>समाज निर्माण</v>
      </c>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f ca="1">IFERROR(__xludf.DUMMYFUNCTION("""COMPUTED_VALUE"""),104)</f>
        <v>104</v>
      </c>
      <c r="BX162" s="1">
        <f ca="1">IFERROR(__xludf.DUMMYFUNCTION("""COMPUTED_VALUE"""),106)</f>
        <v>106</v>
      </c>
      <c r="BY162" s="1">
        <f ca="1">IFERROR(__xludf.DUMMYFUNCTION("""COMPUTED_VALUE"""),9)</f>
        <v>9</v>
      </c>
      <c r="BZ162" s="1">
        <f ca="1">IFERROR(__xludf.DUMMYFUNCTION("""COMPUTED_VALUE"""),43)</f>
        <v>43</v>
      </c>
      <c r="CA162" s="1"/>
      <c r="CB162" s="1"/>
      <c r="CC162" s="1" t="str">
        <f ca="1">IFERROR(__xludf.DUMMYFUNCTION("""COMPUTED_VALUE"""),"इस हानि को सभी समझें : Rare Book")</f>
        <v>इस हानि को सभी समझें : Rare Book</v>
      </c>
      <c r="CD162" s="3" t="str">
        <f ca="1">IFERROR(__xludf.DUMMYFUNCTION("""COMPUTED_VALUE"""),"https://vicharkrantibooks.org/productdetail?book_name=HINP0362_IS_HANI_KO_SABHI_SAMAJHEN_xxyyyy&amp;product_id=927")</f>
        <v>https://vicharkrantibooks.org/productdetail?book_name=HINP0362_IS_HANI_KO_SABHI_SAMAJHEN_xxyyyy&amp;product_id=927</v>
      </c>
      <c r="CE162" s="1" t="str">
        <f ca="1">IFERROR(__xludf.DUMMYFUNCTION("""COMPUTED_VALUE"""),"Audiobook : इस हानि को सभी समझें : Rare Book : druma4107@gmail.com : Recorded")</f>
        <v>Audiobook : इस हानि को सभी समझें : Rare Book : druma4107@gmail.com : Recorded</v>
      </c>
      <c r="CF162" s="1" t="str">
        <f ca="1">IFERROR(__xludf.DUMMYFUNCTION("""COMPUTED_VALUE"""),"Audiobook : इस हानि को सभी समझें : Rare Book : druma4107@gmail.com : Recorded")</f>
        <v>Audiobook : इस हानि को सभी समझें : Rare Book : druma4107@gmail.com : Recorded</v>
      </c>
      <c r="CG162" s="1" t="str">
        <f ca="1">IFERROR(__xludf.DUMMYFUNCTION("""COMPUTED_VALUE"""),"Adarniya Dr Uma Agrawal  ji इस हानि को सभी समझें : Rare Book : Allocated on 19-Jun-24 Contact Number  9410861182")</f>
        <v>Adarniya Dr Uma Agrawal  ji इस हानि को सभी समझें : Rare Book : Allocated on 19-Jun-24 Contact Number  9410861182</v>
      </c>
      <c r="CH162" s="1" t="str">
        <f ca="1">IFERROR(__xludf.DUMMYFUNCTION("""COMPUTED_VALUE"""),"druma4107@gmail.com : इस हानि को सभी समझें : Rare Book")</f>
        <v>druma4107@gmail.com : इस हानि को सभी समझें : Rare Book</v>
      </c>
      <c r="CI162" s="5">
        <f ca="1">IFERROR(__xludf.DUMMYFUNCTION("""COMPUTED_VALUE"""),45462.6765931481)</f>
        <v>45462.676593148099</v>
      </c>
    </row>
    <row r="163" spans="1:87" x14ac:dyDescent="0.25">
      <c r="A163" s="5">
        <f ca="1">IFERROR(__xludf.DUMMYFUNCTION("""COMPUTED_VALUE"""),45458.9807090856)</f>
        <v>45458.980709085597</v>
      </c>
      <c r="B163" s="1" t="str">
        <f ca="1">IFERROR(__xludf.DUMMYFUNCTION("""COMPUTED_VALUE"""),"avvmumbai@gmail.com")</f>
        <v>avvmumbai@gmail.com</v>
      </c>
      <c r="C163" s="1" t="str">
        <f ca="1">IFERROR(__xludf.DUMMYFUNCTION("""COMPUTED_VALUE"""),"Varsha Avinash kolambkar")</f>
        <v>Varsha Avinash kolambkar</v>
      </c>
      <c r="D163" s="1">
        <f ca="1">IFERROR(__xludf.DUMMYFUNCTION("""COMPUTED_VALUE"""),9322022030)</f>
        <v>9322022030</v>
      </c>
      <c r="E163" s="1" t="str">
        <f ca="1">IFERROR(__xludf.DUMMYFUNCTION("""COMPUTED_VALUE"""),"No")</f>
        <v>No</v>
      </c>
      <c r="F163" s="1" t="str">
        <f ca="1">IFERROR(__xludf.DUMMYFUNCTION("""COMPUTED_VALUE"""),"मराठी")</f>
        <v>मराठी</v>
      </c>
      <c r="G163" s="1" t="str">
        <f ca="1">IFERROR(__xludf.DUMMYFUNCTION("""COMPUTED_VALUE"""),"समग्र स्वास्थ्य")</f>
        <v>समग्र स्वास्थ्य</v>
      </c>
      <c r="H163" s="1"/>
      <c r="I163" s="1"/>
      <c r="J163" s="1"/>
      <c r="K163" s="1"/>
      <c r="L163" s="1"/>
      <c r="M163" s="1"/>
      <c r="N163" s="1"/>
      <c r="O163" s="1"/>
      <c r="P163" s="1"/>
      <c r="Q163" s="1"/>
      <c r="R163" s="1"/>
      <c r="S163" s="1"/>
      <c r="T163" s="1"/>
      <c r="U163" s="1" t="str">
        <f ca="1">IFERROR(__xludf.DUMMYFUNCTION("""COMPUTED_VALUE"""),"मानसिक स्वास्थ्य")</f>
        <v>मानसिक स्वास्थ्य</v>
      </c>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f ca="1">IFERROR(__xludf.DUMMYFUNCTION("""COMPUTED_VALUE"""),1)</f>
        <v>1</v>
      </c>
      <c r="BX163" s="1">
        <f ca="1">IFERROR(__xludf.DUMMYFUNCTION("""COMPUTED_VALUE"""),0)</f>
        <v>0</v>
      </c>
      <c r="BY163" s="1">
        <f ca="1">IFERROR(__xludf.DUMMYFUNCTION("""COMPUTED_VALUE"""),1)</f>
        <v>1</v>
      </c>
      <c r="BZ163" s="1">
        <f ca="1">IFERROR(__xludf.DUMMYFUNCTION("""COMPUTED_VALUE"""),0)</f>
        <v>0</v>
      </c>
      <c r="CA163" s="1"/>
      <c r="CB163" s="1"/>
      <c r="CC163" s="1" t="str">
        <f ca="1">IFERROR(__xludf.DUMMYFUNCTION("""COMPUTED_VALUE"""),"सफलतेची जननी संकल्प शक्ती : MR_150")</f>
        <v>सफलतेची जननी संकल्प शक्ती : MR_150</v>
      </c>
      <c r="CD163" s="3" t="str">
        <f ca="1">IFERROR(__xludf.DUMMYFUNCTION("""COMPUTED_VALUE"""),"https://vicharkrantibooks.org/productdetail?book_name=MRTP0810_SAPHALATECHI_JANANI_SANKALP_SHAKTI_XXYYYY&amp;product_id=4346")</f>
        <v>https://vicharkrantibooks.org/productdetail?book_name=MRTP0810_SAPHALATECHI_JANANI_SANKALP_SHAKTI_XXYYYY&amp;product_id=4346</v>
      </c>
      <c r="CE163" s="1" t="str">
        <f ca="1">IFERROR(__xludf.DUMMYFUNCTION("""COMPUTED_VALUE"""),"Audiobook : सफलतेची जननी संकल्प शक्ती : MR_150 : avvmumbai@gmail.com : Recorded")</f>
        <v>Audiobook : सफलतेची जननी संकल्प शक्ती : MR_150 : avvmumbai@gmail.com : Recorded</v>
      </c>
      <c r="CF163" s="1" t="str">
        <f ca="1">IFERROR(__xludf.DUMMYFUNCTION("""COMPUTED_VALUE"""),"#N/A")</f>
        <v>#N/A</v>
      </c>
      <c r="CG163" s="1" t="str">
        <f ca="1">IFERROR(__xludf.DUMMYFUNCTION("""COMPUTED_VALUE"""),"Adarniya Varsha Avinash kolambkar ji सफलतेची जननी संकल्प शक्ती : MR_150 : Allocated on 15-Jun-24 Contact Number  9322022030")</f>
        <v>Adarniya Varsha Avinash kolambkar ji सफलतेची जननी संकल्प शक्ती : MR_150 : Allocated on 15-Jun-24 Contact Number  9322022030</v>
      </c>
      <c r="CH163" s="1" t="str">
        <f ca="1">IFERROR(__xludf.DUMMYFUNCTION("""COMPUTED_VALUE"""),"avvmumbai@gmail.com : सफलतेची जननी संकल्प शक्ती : MR_150")</f>
        <v>avvmumbai@gmail.com : सफलतेची जननी संकल्प शक्ती : MR_150</v>
      </c>
      <c r="CI163" s="5">
        <f ca="1">IFERROR(__xludf.DUMMYFUNCTION("""COMPUTED_VALUE"""),45458.9807090856)</f>
        <v>45458.980709085597</v>
      </c>
    </row>
    <row r="164" spans="1:87" x14ac:dyDescent="0.25">
      <c r="A164" s="5">
        <f ca="1">IFERROR(__xludf.DUMMYFUNCTION("""COMPUTED_VALUE"""),45457.4982662384)</f>
        <v>45457.498266238399</v>
      </c>
      <c r="B164" s="1" t="str">
        <f ca="1">IFERROR(__xludf.DUMMYFUNCTION("""COMPUTED_VALUE"""),"vishwajyoti.68@gmail.com")</f>
        <v>vishwajyoti.68@gmail.com</v>
      </c>
      <c r="C164" s="1" t="str">
        <f ca="1">IFERROR(__xludf.DUMMYFUNCTION("""COMPUTED_VALUE"""),"Dr Vishwajyoti y chauhaan ")</f>
        <v xml:space="preserve">Dr Vishwajyoti y chauhaan </v>
      </c>
      <c r="D164" s="1">
        <f ca="1">IFERROR(__xludf.DUMMYFUNCTION("""COMPUTED_VALUE"""),9833580109)</f>
        <v>9833580109</v>
      </c>
      <c r="E164" s="1"/>
      <c r="F164" s="1" t="str">
        <f ca="1">IFERROR(__xludf.DUMMYFUNCTION("""COMPUTED_VALUE"""),"हिन्दी")</f>
        <v>हिन्दी</v>
      </c>
      <c r="G164" s="1" t="str">
        <f ca="1">IFERROR(__xludf.DUMMYFUNCTION("""COMPUTED_VALUE"""),"व्यक्ति निर्माण, युवा/विद्यार्थी एवं शिक्षक")</f>
        <v>व्यक्ति निर्माण, युवा/विद्यार्थी एवं शिक्षक</v>
      </c>
      <c r="H164" s="1"/>
      <c r="I164" s="1"/>
      <c r="J164" s="1"/>
      <c r="K164" s="1"/>
      <c r="L164" s="1"/>
      <c r="M164" s="1"/>
      <c r="N164" s="1"/>
      <c r="O164" s="1"/>
      <c r="P164" s="1"/>
      <c r="Q164" s="1"/>
      <c r="R164" s="1"/>
      <c r="S164" s="1"/>
      <c r="T164" s="1" t="str">
        <f ca="1">IFERROR(__xludf.DUMMYFUNCTION("""COMPUTED_VALUE"""),"व्यक्तित्व परिष्कार")</f>
        <v>व्यक्तित्व परिष्कार</v>
      </c>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f ca="1">IFERROR(__xludf.DUMMYFUNCTION("""COMPUTED_VALUE"""),2)</f>
        <v>2</v>
      </c>
      <c r="BX164" s="1">
        <f ca="1">IFERROR(__xludf.DUMMYFUNCTION("""COMPUTED_VALUE"""),0)</f>
        <v>0</v>
      </c>
      <c r="BY164" s="1">
        <f ca="1">IFERROR(__xludf.DUMMYFUNCTION("""COMPUTED_VALUE"""),2)</f>
        <v>2</v>
      </c>
      <c r="BZ164" s="1">
        <f ca="1">IFERROR(__xludf.DUMMYFUNCTION("""COMPUTED_VALUE"""),0)</f>
        <v>0</v>
      </c>
      <c r="CA164" s="1"/>
      <c r="CB164" s="1"/>
      <c r="CC164" s="1" t="str">
        <f ca="1">IFERROR(__xludf.DUMMYFUNCTION("""COMPUTED_VALUE"""),"प्रस्तुत संकट में हमारा कर्त्तव्य और उत्तरदायित्व : Rare Book")</f>
        <v>प्रस्तुत संकट में हमारा कर्त्तव्य और उत्तरदायित्व : Rare Book</v>
      </c>
      <c r="CD164" s="3" t="str">
        <f ca="1">IFERROR(__xludf.DUMMYFUNCTION("""COMPUTED_VALUE"""),"https://vicharkrantibooks.org/productdetail?book_name=HINP0674_PRASTUT_SANKAT_MEIN_HAMARA_KARTAVY_AUR_UTTARADAYITV_xxyyyy&amp;product_id=1239")</f>
        <v>https://vicharkrantibooks.org/productdetail?book_name=HINP0674_PRASTUT_SANKAT_MEIN_HAMARA_KARTAVY_AUR_UTTARADAYITV_xxyyyy&amp;product_id=1239</v>
      </c>
      <c r="CE164" s="1" t="str">
        <f ca="1">IFERROR(__xludf.DUMMYFUNCTION("""COMPUTED_VALUE"""),"Audiobook : प्रस्तुत संकट में हमारा कर्त्तव्य और उत्तरदायित्व : Rare Book : vishwajyoti.68@gmail.com : Recorded")</f>
        <v>Audiobook : प्रस्तुत संकट में हमारा कर्त्तव्य और उत्तरदायित्व : Rare Book : vishwajyoti.68@gmail.com : Recorded</v>
      </c>
      <c r="CF164" s="1" t="str">
        <f ca="1">IFERROR(__xludf.DUMMYFUNCTION("""COMPUTED_VALUE"""),"#N/A")</f>
        <v>#N/A</v>
      </c>
      <c r="CG164" s="1" t="str">
        <f ca="1">IFERROR(__xludf.DUMMYFUNCTION("""COMPUTED_VALUE"""),"Adarniya Dr Vishwajyoti y chauhaan  ji प्रस्तुत संकट में हमारा कर्त्तव्य और उत्तरदायित्व : Rare Book : Allocated on 14-Jun-24 Contact Number  9833580109")</f>
        <v>Adarniya Dr Vishwajyoti y chauhaan  ji प्रस्तुत संकट में हमारा कर्त्तव्य और उत्तरदायित्व : Rare Book : Allocated on 14-Jun-24 Contact Number  9833580109</v>
      </c>
      <c r="CH164" s="1" t="str">
        <f ca="1">IFERROR(__xludf.DUMMYFUNCTION("""COMPUTED_VALUE"""),"vishwajyoti.68@gmail.com : प्रस्तुत संकट में हमारा कर्त्तव्य और उत्तरदायित्व : Rare Book")</f>
        <v>vishwajyoti.68@gmail.com : प्रस्तुत संकट में हमारा कर्त्तव्य और उत्तरदायित्व : Rare Book</v>
      </c>
      <c r="CI164" s="5">
        <f ca="1">IFERROR(__xludf.DUMMYFUNCTION("""COMPUTED_VALUE"""),45457.4982662384)</f>
        <v>45457.498266238399</v>
      </c>
    </row>
    <row r="165" spans="1:87" x14ac:dyDescent="0.25">
      <c r="A165" s="5">
        <f ca="1">IFERROR(__xludf.DUMMYFUNCTION("""COMPUTED_VALUE"""),45455.9061669444)</f>
        <v>45455.906166944398</v>
      </c>
      <c r="B165" s="1" t="str">
        <f ca="1">IFERROR(__xludf.DUMMYFUNCTION("""COMPUTED_VALUE"""),"spmittalmumbai@gmail.com")</f>
        <v>spmittalmumbai@gmail.com</v>
      </c>
      <c r="C165" s="1" t="str">
        <f ca="1">IFERROR(__xludf.DUMMYFUNCTION("""COMPUTED_VALUE"""),"S.PMittal")</f>
        <v>S.PMittal</v>
      </c>
      <c r="D165" s="1">
        <f ca="1">IFERROR(__xludf.DUMMYFUNCTION("""COMPUTED_VALUE"""),9860003407)</f>
        <v>9860003407</v>
      </c>
      <c r="E165" s="1" t="str">
        <f ca="1">IFERROR(__xludf.DUMMYFUNCTION("""COMPUTED_VALUE"""),"Yes")</f>
        <v>Yes</v>
      </c>
      <c r="F165" s="1" t="str">
        <f ca="1">IFERROR(__xludf.DUMMYFUNCTION("""COMPUTED_VALUE"""),"हिन्दी")</f>
        <v>हिन्दी</v>
      </c>
      <c r="G165" s="1" t="str">
        <f ca="1">IFERROR(__xludf.DUMMYFUNCTION("""COMPUTED_VALUE"""),"जीवन प्रबंध")</f>
        <v>जीवन प्रबंध</v>
      </c>
      <c r="H165" s="1"/>
      <c r="I165" s="1"/>
      <c r="J165" s="1"/>
      <c r="K165" s="1"/>
      <c r="L165" s="1" t="str">
        <f ca="1">IFERROR(__xludf.DUMMYFUNCTION("""COMPUTED_VALUE"""),"मन की शक्ति एवं मनोविज्ञान")</f>
        <v>मन की शक्ति एवं मनोविज्ञान</v>
      </c>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f ca="1">IFERROR(__xludf.DUMMYFUNCTION("""COMPUTED_VALUE"""),39)</f>
        <v>39</v>
      </c>
      <c r="BX165" s="1">
        <f ca="1">IFERROR(__xludf.DUMMYFUNCTION("""COMPUTED_VALUE"""),32)</f>
        <v>32</v>
      </c>
      <c r="BY165" s="1">
        <f ca="1">IFERROR(__xludf.DUMMYFUNCTION("""COMPUTED_VALUE"""),11)</f>
        <v>11</v>
      </c>
      <c r="BZ165" s="1">
        <f ca="1">IFERROR(__xludf.DUMMYFUNCTION("""COMPUTED_VALUE"""),23)</f>
        <v>23</v>
      </c>
      <c r="CA165" s="1"/>
      <c r="CB165" s="1"/>
      <c r="CC165" s="1" t="str">
        <f ca="1">IFERROR(__xludf.DUMMYFUNCTION("""COMPUTED_VALUE"""),"मन:स्थिति से परिस्थितियों का निर्माण  : Rare Book")</f>
        <v>मन:स्थिति से परिस्थितियों का निर्माण  : Rare Book</v>
      </c>
      <c r="CD165" s="3" t="str">
        <f ca="1">IFERROR(__xludf.DUMMYFUNCTION("""COMPUTED_VALUE"""),"https://vicharkrantibooks.org/productdetail?book_name=HINP0510_MANHSTHITI_SE_PARISTHITIYON_KA_NIRMAN_xx1978&amp;product_id=1075")</f>
        <v>https://vicharkrantibooks.org/productdetail?book_name=HINP0510_MANHSTHITI_SE_PARISTHITIYON_KA_NIRMAN_xx1978&amp;product_id=1075</v>
      </c>
      <c r="CE165" s="1" t="str">
        <f ca="1">IFERROR(__xludf.DUMMYFUNCTION("""COMPUTED_VALUE"""),"Audiobook : मन:स्थिति से परिस्थितियों का निर्माण  : Rare Book : spmittalmumbai@gmail.com : Recorded")</f>
        <v>Audiobook : मन:स्थिति से परिस्थितियों का निर्माण  : Rare Book : spmittalmumbai@gmail.com : Recorded</v>
      </c>
      <c r="CF165" s="1" t="str">
        <f ca="1">IFERROR(__xludf.DUMMYFUNCTION("""COMPUTED_VALUE"""),"#N/A")</f>
        <v>#N/A</v>
      </c>
      <c r="CG165" s="1" t="str">
        <f ca="1">IFERROR(__xludf.DUMMYFUNCTION("""COMPUTED_VALUE"""),"Adarniya S.PMittal ji मन:स्थिति से परिस्थितियों का निर्माण  : Rare Book : Allocated on 12-Jun-24 Contact Number  9860003407")</f>
        <v>Adarniya S.PMittal ji मन:स्थिति से परिस्थितियों का निर्माण  : Rare Book : Allocated on 12-Jun-24 Contact Number  9860003407</v>
      </c>
      <c r="CH165" s="1" t="str">
        <f ca="1">IFERROR(__xludf.DUMMYFUNCTION("""COMPUTED_VALUE"""),"spmittalmumbai@gmail.com : मन:स्थिति से परिस्थितियों का निर्माण  : Rare Book")</f>
        <v>spmittalmumbai@gmail.com : मन:स्थिति से परिस्थितियों का निर्माण  : Rare Book</v>
      </c>
      <c r="CI165" s="5">
        <f ca="1">IFERROR(__xludf.DUMMYFUNCTION("""COMPUTED_VALUE"""),45455.9061669444)</f>
        <v>45455.906166944398</v>
      </c>
    </row>
    <row r="166" spans="1:87" x14ac:dyDescent="0.25">
      <c r="A166" s="5">
        <f ca="1">IFERROR(__xludf.DUMMYFUNCTION("""COMPUTED_VALUE"""),45455.6904414236)</f>
        <v>45455.690441423598</v>
      </c>
      <c r="B166" s="1" t="str">
        <f ca="1">IFERROR(__xludf.DUMMYFUNCTION("""COMPUTED_VALUE"""),"dave.chhaya@gmail.com")</f>
        <v>dave.chhaya@gmail.com</v>
      </c>
      <c r="C166" s="1" t="str">
        <f ca="1">IFERROR(__xludf.DUMMYFUNCTION("""COMPUTED_VALUE"""),"Chhaya Deepak Dave ")</f>
        <v xml:space="preserve">Chhaya Deepak Dave </v>
      </c>
      <c r="D166" s="1">
        <f ca="1">IFERROR(__xludf.DUMMYFUNCTION("""COMPUTED_VALUE"""),9879596556)</f>
        <v>9879596556</v>
      </c>
      <c r="E166" s="1" t="str">
        <f ca="1">IFERROR(__xludf.DUMMYFUNCTION("""COMPUTED_VALUE"""),"Yes")</f>
        <v>Yes</v>
      </c>
      <c r="F166" s="1" t="str">
        <f ca="1">IFERROR(__xludf.DUMMYFUNCTION("""COMPUTED_VALUE"""),"गुजराती")</f>
        <v>गुजराती</v>
      </c>
      <c r="G166" s="1" t="str">
        <f ca="1">IFERROR(__xludf.DUMMYFUNCTION("""COMPUTED_VALUE"""),"समाज निर्माण")</f>
        <v>समाज निर्माण</v>
      </c>
      <c r="H166" s="1"/>
      <c r="I166" s="1"/>
      <c r="J166" s="1"/>
      <c r="K166" s="1"/>
      <c r="L166" s="1"/>
      <c r="M166" s="1"/>
      <c r="N166" s="1"/>
      <c r="O166" s="1"/>
      <c r="P166" s="1"/>
      <c r="Q166" s="1"/>
      <c r="R166" s="1"/>
      <c r="S166" s="1"/>
      <c r="T166" s="1"/>
      <c r="U166" s="1"/>
      <c r="V166" s="1" t="str">
        <f ca="1">IFERROR(__xludf.DUMMYFUNCTION("""COMPUTED_VALUE"""),"समाज निर्माण")</f>
        <v>समाज निर्माण</v>
      </c>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f ca="1">IFERROR(__xludf.DUMMYFUNCTION("""COMPUTED_VALUE"""),46)</f>
        <v>46</v>
      </c>
      <c r="BX166" s="1">
        <f ca="1">IFERROR(__xludf.DUMMYFUNCTION("""COMPUTED_VALUE"""),39)</f>
        <v>39</v>
      </c>
      <c r="BY166" s="1">
        <f ca="1">IFERROR(__xludf.DUMMYFUNCTION("""COMPUTED_VALUE"""),6)</f>
        <v>6</v>
      </c>
      <c r="BZ166" s="1">
        <f ca="1">IFERROR(__xludf.DUMMYFUNCTION("""COMPUTED_VALUE"""),16)</f>
        <v>16</v>
      </c>
      <c r="CA166" s="1"/>
      <c r="CB166" s="1"/>
      <c r="CC166" s="1" t="str">
        <f ca="1">IFERROR(__xludf.DUMMYFUNCTION("""COMPUTED_VALUE"""),"આધુનિકતાની દોડમાં નારી આદર્શો ન ભૂલે : G_PP_46")</f>
        <v>આધુનિકતાની દોડમાં નારી આદર્શો ન ભૂલે : G_PP_46</v>
      </c>
      <c r="CD166" s="3" t="str">
        <f ca="1">IFERROR(__xludf.DUMMYFUNCTION("""COMPUTED_VALUE"""),"https://vicharkrantibooks.org/productdetail?product_id=3951")</f>
        <v>https://vicharkrantibooks.org/productdetail?product_id=3951</v>
      </c>
      <c r="CE166" s="1" t="str">
        <f ca="1">IFERROR(__xludf.DUMMYFUNCTION("""COMPUTED_VALUE"""),"Audiobook : આધુનિકતાની દોડમાં નારી આદર્શો ન ભૂલે : G_PP_46 : dave.chhaya@gmail.com : Recorded")</f>
        <v>Audiobook : આધુનિકતાની દોડમાં નારી આદર્શો ન ભૂલે : G_PP_46 : dave.chhaya@gmail.com : Recorded</v>
      </c>
      <c r="CF166" s="1" t="str">
        <f ca="1">IFERROR(__xludf.DUMMYFUNCTION("""COMPUTED_VALUE"""),"Audiobook : આધુનિકતાની દોડમાં નારી આદર્શો ન ભૂલે : G_PP_46 : dave.chhaya@gmail.com : Recorded")</f>
        <v>Audiobook : આધુનિકતાની દોડમાં નારી આદર્શો ન ભૂલે : G_PP_46 : dave.chhaya@gmail.com : Recorded</v>
      </c>
      <c r="CG166" s="1" t="str">
        <f ca="1">IFERROR(__xludf.DUMMYFUNCTION("""COMPUTED_VALUE"""),"Adarniya Chhaya Deepak Dave  ji આધુનિકતાની દોડમાં નારી આદર્શો ન ભૂલે : G_PP_46 : Allocated on 12-Jun-24 Contact Number  9879596556")</f>
        <v>Adarniya Chhaya Deepak Dave  ji આધુનિકતાની દોડમાં નારી આદર્શો ન ભૂલે : G_PP_46 : Allocated on 12-Jun-24 Contact Number  9879596556</v>
      </c>
      <c r="CH166" s="1" t="str">
        <f ca="1">IFERROR(__xludf.DUMMYFUNCTION("""COMPUTED_VALUE"""),"dave.chhaya@gmail.com : આધુનિકતાની દોડમાં નારી આદર્શો ન ભૂલે : G_PP_46")</f>
        <v>dave.chhaya@gmail.com : આધુનિકતાની દોડમાં નારી આદર્શો ન ભૂલે : G_PP_46</v>
      </c>
      <c r="CI166" s="5">
        <f ca="1">IFERROR(__xludf.DUMMYFUNCTION("""COMPUTED_VALUE"""),45455.6904414236)</f>
        <v>45455.690441423598</v>
      </c>
    </row>
    <row r="167" spans="1:87" x14ac:dyDescent="0.25">
      <c r="A167" s="5">
        <f ca="1">IFERROR(__xludf.DUMMYFUNCTION("""COMPUTED_VALUE"""),45454.8596639236)</f>
        <v>45454.859663923598</v>
      </c>
      <c r="B167" s="1" t="str">
        <f ca="1">IFERROR(__xludf.DUMMYFUNCTION("""COMPUTED_VALUE"""),"kalagpatel1959@gmail.com")</f>
        <v>kalagpatel1959@gmail.com</v>
      </c>
      <c r="C167" s="1" t="str">
        <f ca="1">IFERROR(__xludf.DUMMYFUNCTION("""COMPUTED_VALUE"""),"Kala Patel ")</f>
        <v xml:space="preserve">Kala Patel </v>
      </c>
      <c r="D167" s="1">
        <f ca="1">IFERROR(__xludf.DUMMYFUNCTION("""COMPUTED_VALUE"""),9016250929)</f>
        <v>9016250929</v>
      </c>
      <c r="E167" s="1" t="str">
        <f ca="1">IFERROR(__xludf.DUMMYFUNCTION("""COMPUTED_VALUE"""),"Yes")</f>
        <v>Yes</v>
      </c>
      <c r="F167" s="1" t="str">
        <f ca="1">IFERROR(__xludf.DUMMYFUNCTION("""COMPUTED_VALUE"""),"गुजराती")</f>
        <v>गुजराती</v>
      </c>
      <c r="G167" s="1" t="str">
        <f ca="1">IFERROR(__xludf.DUMMYFUNCTION("""COMPUTED_VALUE"""),"युग द्रष्टा पं. श्रीराम शर्मा आचार्यजी")</f>
        <v>युग द्रष्टा पं. श्रीराम शर्मा आचार्यजी</v>
      </c>
      <c r="H167" s="1"/>
      <c r="I167" s="1"/>
      <c r="J167" s="1"/>
      <c r="K167" s="1"/>
      <c r="L167" s="1"/>
      <c r="M167" s="1"/>
      <c r="N167" s="1"/>
      <c r="O167" s="1"/>
      <c r="P167" s="1" t="str">
        <f ca="1">IFERROR(__xludf.DUMMYFUNCTION("""COMPUTED_VALUE"""),"युगॠषी का जीवनदर्शन")</f>
        <v>युगॠषी का जीवनदर्शन</v>
      </c>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f ca="1">IFERROR(__xludf.DUMMYFUNCTION("""COMPUTED_VALUE"""),34)</f>
        <v>34</v>
      </c>
      <c r="BX167" s="1">
        <f ca="1">IFERROR(__xludf.DUMMYFUNCTION("""COMPUTED_VALUE"""),34)</f>
        <v>34</v>
      </c>
      <c r="BY167" s="1">
        <f ca="1">IFERROR(__xludf.DUMMYFUNCTION("""COMPUTED_VALUE"""),4)</f>
        <v>4</v>
      </c>
      <c r="BZ167" s="1">
        <f ca="1">IFERROR(__xludf.DUMMYFUNCTION("""COMPUTED_VALUE"""),11)</f>
        <v>11</v>
      </c>
      <c r="CA167" s="1"/>
      <c r="CB167" s="1"/>
      <c r="CC167" s="1" t="str">
        <f ca="1">IFERROR(__xludf.DUMMYFUNCTION("""COMPUTED_VALUE"""),"તપ અને યોગનાં માર્મિક પાસાં : G_JS_60")</f>
        <v>તપ અને યોગનાં માર્મિક પાસાં : G_JS_60</v>
      </c>
      <c r="CD167" s="3" t="str">
        <f ca="1">IFERROR(__xludf.DUMMYFUNCTION("""COMPUTED_VALUE"""),"https://vicharkrantibooks.org/productdetail?product_id=3785")</f>
        <v>https://vicharkrantibooks.org/productdetail?product_id=3785</v>
      </c>
      <c r="CE167" s="1" t="str">
        <f ca="1">IFERROR(__xludf.DUMMYFUNCTION("""COMPUTED_VALUE"""),"Audiobook : તપ અને યોગનાં માર્મિક પાસાં : G_JS_60 : kalagpatel1959@gmail.com : Recorded")</f>
        <v>Audiobook : તપ અને યોગનાં માર્મિક પાસાં : G_JS_60 : kalagpatel1959@gmail.com : Recorded</v>
      </c>
      <c r="CF167" s="1" t="str">
        <f ca="1">IFERROR(__xludf.DUMMYFUNCTION("""COMPUTED_VALUE"""),"Audiobook : તપ અને યોગનાં માર્મિક પાસાં : G_JS_60 : kalagpatel1959@gmail.com : Recorded")</f>
        <v>Audiobook : તપ અને યોગનાં માર્મિક પાસાં : G_JS_60 : kalagpatel1959@gmail.com : Recorded</v>
      </c>
      <c r="CG167" s="1" t="str">
        <f ca="1">IFERROR(__xludf.DUMMYFUNCTION("""COMPUTED_VALUE"""),"Adarniya Kala Patel  ji તપ અને યોગનાં માર્મિક પાસાં : G_JS_60 : Allocated on 11-Jun-24 Contact Number  9016250929")</f>
        <v>Adarniya Kala Patel  ji તપ અને યોગનાં માર્મિક પાસાં : G_JS_60 : Allocated on 11-Jun-24 Contact Number  9016250929</v>
      </c>
      <c r="CH167" s="1" t="str">
        <f ca="1">IFERROR(__xludf.DUMMYFUNCTION("""COMPUTED_VALUE"""),"kalagpatel1959@gmail.com : તપ અને યોગનાં માર્મિક પાસાં : G_JS_60")</f>
        <v>kalagpatel1959@gmail.com : તપ અને યોગનાં માર્મિક પાસાં : G_JS_60</v>
      </c>
      <c r="CI167" s="5">
        <f ca="1">IFERROR(__xludf.DUMMYFUNCTION("""COMPUTED_VALUE"""),45454.8596639236)</f>
        <v>45454.859663923598</v>
      </c>
    </row>
    <row r="168" spans="1:87" x14ac:dyDescent="0.25">
      <c r="A168" s="5">
        <f ca="1">IFERROR(__xludf.DUMMYFUNCTION("""COMPUTED_VALUE"""),45453.9740367245)</f>
        <v>45453.974036724503</v>
      </c>
      <c r="B168" s="1" t="str">
        <f ca="1">IFERROR(__xludf.DUMMYFUNCTION("""COMPUTED_VALUE"""),"druma4107@gmail.com")</f>
        <v>druma4107@gmail.com</v>
      </c>
      <c r="C168" s="1" t="str">
        <f ca="1">IFERROR(__xludf.DUMMYFUNCTION("""COMPUTED_VALUE"""),"Dr Uma Agrawal ")</f>
        <v xml:space="preserve">Dr Uma Agrawal </v>
      </c>
      <c r="D168" s="1">
        <f ca="1">IFERROR(__xludf.DUMMYFUNCTION("""COMPUTED_VALUE"""),9410861182)</f>
        <v>9410861182</v>
      </c>
      <c r="E168" s="1" t="str">
        <f ca="1">IFERROR(__xludf.DUMMYFUNCTION("""COMPUTED_VALUE"""),"Yes")</f>
        <v>Yes</v>
      </c>
      <c r="F168" s="1" t="str">
        <f ca="1">IFERROR(__xludf.DUMMYFUNCTION("""COMPUTED_VALUE"""),"हिन्दी")</f>
        <v>हिन्दी</v>
      </c>
      <c r="G168" s="1" t="str">
        <f ca="1">IFERROR(__xludf.DUMMYFUNCTION("""COMPUTED_VALUE"""),"समाज निर्माण")</f>
        <v>समाज निर्माण</v>
      </c>
      <c r="H168" s="1"/>
      <c r="I168" s="1"/>
      <c r="J168" s="1"/>
      <c r="K168" s="1"/>
      <c r="L168" s="1"/>
      <c r="M168" s="1"/>
      <c r="N168" s="1"/>
      <c r="O168" s="1"/>
      <c r="P168" s="1"/>
      <c r="Q168" s="1"/>
      <c r="R168" s="1"/>
      <c r="S168" s="1"/>
      <c r="T168" s="1"/>
      <c r="U168" s="1"/>
      <c r="V168" s="1" t="str">
        <f ca="1">IFERROR(__xludf.DUMMYFUNCTION("""COMPUTED_VALUE"""),"समाज निर्माण")</f>
        <v>समाज निर्माण</v>
      </c>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f ca="1">IFERROR(__xludf.DUMMYFUNCTION("""COMPUTED_VALUE"""),104)</f>
        <v>104</v>
      </c>
      <c r="BX168" s="1">
        <f ca="1">IFERROR(__xludf.DUMMYFUNCTION("""COMPUTED_VALUE"""),106)</f>
        <v>106</v>
      </c>
      <c r="BY168" s="1">
        <f ca="1">IFERROR(__xludf.DUMMYFUNCTION("""COMPUTED_VALUE"""),9)</f>
        <v>9</v>
      </c>
      <c r="BZ168" s="1">
        <f ca="1">IFERROR(__xludf.DUMMYFUNCTION("""COMPUTED_VALUE"""),43)</f>
        <v>43</v>
      </c>
      <c r="CA168" s="1"/>
      <c r="CB168" s="1"/>
      <c r="CC168" s="1" t="str">
        <f ca="1">IFERROR(__xludf.DUMMYFUNCTION("""COMPUTED_VALUE"""),"इस असह्य स्थिति का अंत होना ही चाहिये : Rare Book")</f>
        <v>इस असह्य स्थिति का अंत होना ही चाहिये : Rare Book</v>
      </c>
      <c r="CD168" s="3" t="str">
        <f ca="1">IFERROR(__xludf.DUMMYFUNCTION("""COMPUTED_VALUE"""),"https://vicharkrantibooks.org/productdetail?book_name=HINP0361_IS_ASAHY_STHITI_KA_ANT_HONA_HI_CHAHIE_xx1982&amp;product_id=926")</f>
        <v>https://vicharkrantibooks.org/productdetail?book_name=HINP0361_IS_ASAHY_STHITI_KA_ANT_HONA_HI_CHAHIE_xx1982&amp;product_id=926</v>
      </c>
      <c r="CE168" s="1" t="str">
        <f ca="1">IFERROR(__xludf.DUMMYFUNCTION("""COMPUTED_VALUE"""),"Audiobook : इस असह्य स्थिति का अंत होना ही चाहिये : Rare Book : druma4107@gmail.com : Recorded")</f>
        <v>Audiobook : इस असह्य स्थिति का अंत होना ही चाहिये : Rare Book : druma4107@gmail.com : Recorded</v>
      </c>
      <c r="CF168" s="1" t="str">
        <f ca="1">IFERROR(__xludf.DUMMYFUNCTION("""COMPUTED_VALUE"""),"Audiobook : इस असह्य स्थिति का अंत होना ही चाहिये : Rare Book : druma4107@gmail.com : Recorded")</f>
        <v>Audiobook : इस असह्य स्थिति का अंत होना ही चाहिये : Rare Book : druma4107@gmail.com : Recorded</v>
      </c>
      <c r="CG168" s="1" t="str">
        <f ca="1">IFERROR(__xludf.DUMMYFUNCTION("""COMPUTED_VALUE"""),"Adarniya Dr Uma Agrawal  ji इस असह्य स्थिति का अंत होना ही चाहिये : Rare Book : Allocated on 10-Jun-24 Contact Number  9410861182")</f>
        <v>Adarniya Dr Uma Agrawal  ji इस असह्य स्थिति का अंत होना ही चाहिये : Rare Book : Allocated on 10-Jun-24 Contact Number  9410861182</v>
      </c>
      <c r="CH168" s="1" t="str">
        <f ca="1">IFERROR(__xludf.DUMMYFUNCTION("""COMPUTED_VALUE"""),"druma4107@gmail.com : इस असह्य स्थिति का अंत होना ही चाहिये : Rare Book")</f>
        <v>druma4107@gmail.com : इस असह्य स्थिति का अंत होना ही चाहिये : Rare Book</v>
      </c>
      <c r="CI168" s="5">
        <f ca="1">IFERROR(__xludf.DUMMYFUNCTION("""COMPUTED_VALUE"""),45453.9740367245)</f>
        <v>45453.974036724503</v>
      </c>
    </row>
    <row r="169" spans="1:87" x14ac:dyDescent="0.25">
      <c r="A169" s="5">
        <f ca="1">IFERROR(__xludf.DUMMYFUNCTION("""COMPUTED_VALUE"""),45453.6620439699)</f>
        <v>45453.662043969904</v>
      </c>
      <c r="B169" s="1" t="str">
        <f ca="1">IFERROR(__xludf.DUMMYFUNCTION("""COMPUTED_VALUE"""),"dave.chhaya@gmail.com")</f>
        <v>dave.chhaya@gmail.com</v>
      </c>
      <c r="C169" s="1" t="str">
        <f ca="1">IFERROR(__xludf.DUMMYFUNCTION("""COMPUTED_VALUE"""),"Chhaya Deepak Dave ")</f>
        <v xml:space="preserve">Chhaya Deepak Dave </v>
      </c>
      <c r="D169" s="1">
        <f ca="1">IFERROR(__xludf.DUMMYFUNCTION("""COMPUTED_VALUE"""),9879596556)</f>
        <v>9879596556</v>
      </c>
      <c r="E169" s="1" t="str">
        <f ca="1">IFERROR(__xludf.DUMMYFUNCTION("""COMPUTED_VALUE"""),"Yes")</f>
        <v>Yes</v>
      </c>
      <c r="F169" s="1" t="str">
        <f ca="1">IFERROR(__xludf.DUMMYFUNCTION("""COMPUTED_VALUE"""),"गुजराती")</f>
        <v>गुजराती</v>
      </c>
      <c r="G169" s="1" t="str">
        <f ca="1">IFERROR(__xludf.DUMMYFUNCTION("""COMPUTED_VALUE"""),"युग परिवर्तन-विचार क्रांति")</f>
        <v>युग परिवर्तन-विचार क्रांति</v>
      </c>
      <c r="H169" s="1"/>
      <c r="I169" s="1"/>
      <c r="J169" s="1"/>
      <c r="K169" s="1"/>
      <c r="L169" s="1"/>
      <c r="M169" s="1"/>
      <c r="N169" s="1"/>
      <c r="O169" s="1"/>
      <c r="P169" s="1"/>
      <c r="Q169" s="1" t="str">
        <f ca="1">IFERROR(__xludf.DUMMYFUNCTION("""COMPUTED_VALUE"""),"विचार क्रांति")</f>
        <v>विचार क्रांति</v>
      </c>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f ca="1">IFERROR(__xludf.DUMMYFUNCTION("""COMPUTED_VALUE"""),46)</f>
        <v>46</v>
      </c>
      <c r="BX169" s="1">
        <f ca="1">IFERROR(__xludf.DUMMYFUNCTION("""COMPUTED_VALUE"""),39)</f>
        <v>39</v>
      </c>
      <c r="BY169" s="1">
        <f ca="1">IFERROR(__xludf.DUMMYFUNCTION("""COMPUTED_VALUE"""),6)</f>
        <v>6</v>
      </c>
      <c r="BZ169" s="1">
        <f ca="1">IFERROR(__xludf.DUMMYFUNCTION("""COMPUTED_VALUE"""),16)</f>
        <v>16</v>
      </c>
      <c r="CA169" s="1"/>
      <c r="CB169" s="1"/>
      <c r="CC169" s="1" t="str">
        <f ca="1">IFERROR(__xludf.DUMMYFUNCTION("""COMPUTED_VALUE"""),"આત્મહત્યા શા માટે કરવી ? : G_PP_09")</f>
        <v>આત્મહત્યા શા માટે કરવી ? : G_PP_09</v>
      </c>
      <c r="CD169" s="3" t="str">
        <f ca="1">IFERROR(__xludf.DUMMYFUNCTION("""COMPUTED_VALUE"""),"https://vicharkrantibooks.org/productdetail?product_id=3914")</f>
        <v>https://vicharkrantibooks.org/productdetail?product_id=3914</v>
      </c>
      <c r="CE169" s="1" t="str">
        <f ca="1">IFERROR(__xludf.DUMMYFUNCTION("""COMPUTED_VALUE"""),"Audiobook : આત્મહત્યા શા માટે કરવી ? : G_PP_09 : dave.chhaya@gmail.com : Recorded")</f>
        <v>Audiobook : આત્મહત્યા શા માટે કરવી ? : G_PP_09 : dave.chhaya@gmail.com : Recorded</v>
      </c>
      <c r="CF169" s="1" t="str">
        <f ca="1">IFERROR(__xludf.DUMMYFUNCTION("""COMPUTED_VALUE"""),"Audiobook : આત્મહત્યા શા માટે કરવી ? : G_PP_09 : dave.chhaya@gmail.com : Recorded")</f>
        <v>Audiobook : આત્મહત્યા શા માટે કરવી ? : G_PP_09 : dave.chhaya@gmail.com : Recorded</v>
      </c>
      <c r="CG169" s="1" t="str">
        <f ca="1">IFERROR(__xludf.DUMMYFUNCTION("""COMPUTED_VALUE"""),"Adarniya Chhaya Deepak Dave  ji આત્મહત્યા શા માટે કરવી ? : G_PP_09 : Allocated on 10-Jun-24 Contact Number  9879596556")</f>
        <v>Adarniya Chhaya Deepak Dave  ji આત્મહત્યા શા માટે કરવી ? : G_PP_09 : Allocated on 10-Jun-24 Contact Number  9879596556</v>
      </c>
      <c r="CH169" s="1" t="str">
        <f ca="1">IFERROR(__xludf.DUMMYFUNCTION("""COMPUTED_VALUE"""),"dave.chhaya@gmail.com : આત્મહત્યા શા માટે કરવી ? : G_PP_09")</f>
        <v>dave.chhaya@gmail.com : આત્મહત્યા શા માટે કરવી ? : G_PP_09</v>
      </c>
      <c r="CI169" s="5">
        <f ca="1">IFERROR(__xludf.DUMMYFUNCTION("""COMPUTED_VALUE"""),45453.6620439699)</f>
        <v>45453.662043969904</v>
      </c>
    </row>
    <row r="170" spans="1:87" x14ac:dyDescent="0.25">
      <c r="A170" s="5">
        <f ca="1">IFERROR(__xludf.DUMMYFUNCTION("""COMPUTED_VALUE"""),45452.63767228)</f>
        <v>45452.637672279998</v>
      </c>
      <c r="B170" s="1" t="str">
        <f ca="1">IFERROR(__xludf.DUMMYFUNCTION("""COMPUTED_VALUE"""),"druma4107@gmail.com")</f>
        <v>druma4107@gmail.com</v>
      </c>
      <c r="C170" s="1" t="str">
        <f ca="1">IFERROR(__xludf.DUMMYFUNCTION("""COMPUTED_VALUE"""),"Dr Uma Agrawal ")</f>
        <v xml:space="preserve">Dr Uma Agrawal </v>
      </c>
      <c r="D170" s="1">
        <f ca="1">IFERROR(__xludf.DUMMYFUNCTION("""COMPUTED_VALUE"""),9410861182)</f>
        <v>9410861182</v>
      </c>
      <c r="E170" s="1" t="str">
        <f ca="1">IFERROR(__xludf.DUMMYFUNCTION("""COMPUTED_VALUE"""),"Yes")</f>
        <v>Yes</v>
      </c>
      <c r="F170" s="1" t="str">
        <f ca="1">IFERROR(__xludf.DUMMYFUNCTION("""COMPUTED_VALUE"""),"हिन्दी")</f>
        <v>हिन्दी</v>
      </c>
      <c r="G170" s="1" t="str">
        <f ca="1">IFERROR(__xludf.DUMMYFUNCTION("""COMPUTED_VALUE"""),"समाज निर्माण")</f>
        <v>समाज निर्माण</v>
      </c>
      <c r="H170" s="1"/>
      <c r="I170" s="1"/>
      <c r="J170" s="1"/>
      <c r="K170" s="1"/>
      <c r="L170" s="1"/>
      <c r="M170" s="1"/>
      <c r="N170" s="1"/>
      <c r="O170" s="1"/>
      <c r="P170" s="1"/>
      <c r="Q170" s="1"/>
      <c r="R170" s="1"/>
      <c r="S170" s="1"/>
      <c r="T170" s="1"/>
      <c r="U170" s="1"/>
      <c r="V170" s="1" t="str">
        <f ca="1">IFERROR(__xludf.DUMMYFUNCTION("""COMPUTED_VALUE"""),"समाज निर्माण")</f>
        <v>समाज निर्माण</v>
      </c>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f ca="1">IFERROR(__xludf.DUMMYFUNCTION("""COMPUTED_VALUE"""),104)</f>
        <v>104</v>
      </c>
      <c r="BX170" s="1">
        <f ca="1">IFERROR(__xludf.DUMMYFUNCTION("""COMPUTED_VALUE"""),106)</f>
        <v>106</v>
      </c>
      <c r="BY170" s="1">
        <f ca="1">IFERROR(__xludf.DUMMYFUNCTION("""COMPUTED_VALUE"""),9)</f>
        <v>9</v>
      </c>
      <c r="BZ170" s="1">
        <f ca="1">IFERROR(__xludf.DUMMYFUNCTION("""COMPUTED_VALUE"""),43)</f>
        <v>43</v>
      </c>
      <c r="CA170" s="1"/>
      <c r="CB170" s="1"/>
      <c r="CC170" s="1" t="str">
        <f ca="1">IFERROR(__xludf.DUMMYFUNCTION("""COMPUTED_VALUE"""),"विचारशीलों को झकझोरने की चेष्टा : Rare Book")</f>
        <v>विचारशीलों को झकझोरने की चेष्टा : Rare Book</v>
      </c>
      <c r="CD170" s="3" t="str">
        <f ca="1">IFERROR(__xludf.DUMMYFUNCTION("""COMPUTED_VALUE"""),"https://vicharkrantibooks.org/productdetail?book_name=HINP0965_VICHARASHILON_KO_JHAKAJHORANE_KI_CHESHTA_xxyyyy&amp;product_id=1530")</f>
        <v>https://vicharkrantibooks.org/productdetail?book_name=HINP0965_VICHARASHILON_KO_JHAKAJHORANE_KI_CHESHTA_xxyyyy&amp;product_id=1530</v>
      </c>
      <c r="CE170" s="1" t="str">
        <f ca="1">IFERROR(__xludf.DUMMYFUNCTION("""COMPUTED_VALUE"""),"Audiobook : विचारशीलों को झकझोरने की चेष्टा : Rare Book : druma4107@gmail.com : Recorded")</f>
        <v>Audiobook : विचारशीलों को झकझोरने की चेष्टा : Rare Book : druma4107@gmail.com : Recorded</v>
      </c>
      <c r="CF170" s="1" t="str">
        <f ca="1">IFERROR(__xludf.DUMMYFUNCTION("""COMPUTED_VALUE"""),"Audiobook : विचारशीलों को झकझोरने की चेष्टा : Rare Book : druma4107@gmail.com : Recorded")</f>
        <v>Audiobook : विचारशीलों को झकझोरने की चेष्टा : Rare Book : druma4107@gmail.com : Recorded</v>
      </c>
      <c r="CG170" s="1" t="str">
        <f ca="1">IFERROR(__xludf.DUMMYFUNCTION("""COMPUTED_VALUE"""),"Adarniya Dr Uma Agrawal  ji विचारशीलों को झकझोरने की चेष्टा : Rare Book : Allocated on 09-Jun-24 Contact Number  9410861182")</f>
        <v>Adarniya Dr Uma Agrawal  ji विचारशीलों को झकझोरने की चेष्टा : Rare Book : Allocated on 09-Jun-24 Contact Number  9410861182</v>
      </c>
      <c r="CH170" s="1" t="str">
        <f ca="1">IFERROR(__xludf.DUMMYFUNCTION("""COMPUTED_VALUE"""),"druma4107@gmail.com : विचारशीलों को झकझोरने की चेष्टा : Rare Book")</f>
        <v>druma4107@gmail.com : विचारशीलों को झकझोरने की चेष्टा : Rare Book</v>
      </c>
      <c r="CI170" s="5">
        <f ca="1">IFERROR(__xludf.DUMMYFUNCTION("""COMPUTED_VALUE"""),45452.63767228)</f>
        <v>45452.637672279998</v>
      </c>
    </row>
    <row r="171" spans="1:87" x14ac:dyDescent="0.25">
      <c r="A171" s="5">
        <f ca="1">IFERROR(__xludf.DUMMYFUNCTION("""COMPUTED_VALUE"""),45452.3175800115)</f>
        <v>45452.317580011499</v>
      </c>
      <c r="B171" s="1" t="str">
        <f ca="1">IFERROR(__xludf.DUMMYFUNCTION("""COMPUTED_VALUE"""),"sanjayneha1@yahoo.com")</f>
        <v>sanjayneha1@yahoo.com</v>
      </c>
      <c r="C171" s="1" t="str">
        <f ca="1">IFERROR(__xludf.DUMMYFUNCTION("""COMPUTED_VALUE"""),"Neha Manocha")</f>
        <v>Neha Manocha</v>
      </c>
      <c r="D171" s="1">
        <f ca="1">IFERROR(__xludf.DUMMYFUNCTION("""COMPUTED_VALUE"""),16174130446)</f>
        <v>16174130446</v>
      </c>
      <c r="E171" s="1" t="str">
        <f ca="1">IFERROR(__xludf.DUMMYFUNCTION("""COMPUTED_VALUE"""),"Yes")</f>
        <v>Yes</v>
      </c>
      <c r="F171" s="1" t="str">
        <f ca="1">IFERROR(__xludf.DUMMYFUNCTION("""COMPUTED_VALUE"""),"हिन्दी or English")</f>
        <v>हिन्दी or English</v>
      </c>
      <c r="G171" s="1"/>
      <c r="H171" s="1" t="str">
        <f ca="1">IFERROR(__xludf.DUMMYFUNCTION("""COMPUTED_VALUE"""),"उपासना")</f>
        <v>उपासना</v>
      </c>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f ca="1">IFERROR(__xludf.DUMMYFUNCTION("""COMPUTED_VALUE"""),33)</f>
        <v>33</v>
      </c>
      <c r="BX171" s="1">
        <f ca="1">IFERROR(__xludf.DUMMYFUNCTION("""COMPUTED_VALUE"""),40)</f>
        <v>40</v>
      </c>
      <c r="BY171" s="1">
        <f ca="1">IFERROR(__xludf.DUMMYFUNCTION("""COMPUTED_VALUE"""),3)</f>
        <v>3</v>
      </c>
      <c r="BZ171" s="1">
        <f ca="1">IFERROR(__xludf.DUMMYFUNCTION("""COMPUTED_VALUE"""),22)</f>
        <v>22</v>
      </c>
      <c r="CA171" s="1"/>
      <c r="CB171" s="1"/>
      <c r="CC171" s="1" t="str">
        <f ca="1">IFERROR(__xludf.DUMMYFUNCTION("""COMPUTED_VALUE"""),"वॄक्ष हमारे आध्यात्मिक प्रशिक्षक : Rare Book")</f>
        <v>वॄक्ष हमारे आध्यात्मिक प्रशिक्षक : Rare Book</v>
      </c>
      <c r="CD171" s="3" t="str">
        <f ca="1">IFERROR(__xludf.DUMMYFUNCTION("""COMPUTED_VALUE"""),"https://vicharkrantibooks.org/productdetail?book_name=HINP1001_VRUKSH_HAMARE_ADHYATMIK_PRASHIKSHAK_xxyyyy&amp;product_id=1566")</f>
        <v>https://vicharkrantibooks.org/productdetail?book_name=HINP1001_VRUKSH_HAMARE_ADHYATMIK_PRASHIKSHAK_xxyyyy&amp;product_id=1566</v>
      </c>
      <c r="CE171" s="1" t="str">
        <f ca="1">IFERROR(__xludf.DUMMYFUNCTION("""COMPUTED_VALUE"""),"Audiobook : वॄक्ष हमारे आध्यात्मिक प्रशिक्षक : Rare Book : sanjayneha1@yahoo.com : Recorded")</f>
        <v>Audiobook : वॄक्ष हमारे आध्यात्मिक प्रशिक्षक : Rare Book : sanjayneha1@yahoo.com : Recorded</v>
      </c>
      <c r="CF171" s="1" t="str">
        <f ca="1">IFERROR(__xludf.DUMMYFUNCTION("""COMPUTED_VALUE"""),"Audiobook : वॄक्ष हमारे आध्यात्मिक प्रशिक्षक : Rare Book : sanjayneha1@yahoo.com : Recorded")</f>
        <v>Audiobook : वॄक्ष हमारे आध्यात्मिक प्रशिक्षक : Rare Book : sanjayneha1@yahoo.com : Recorded</v>
      </c>
      <c r="CG171" s="1" t="str">
        <f ca="1">IFERROR(__xludf.DUMMYFUNCTION("""COMPUTED_VALUE"""),"Adarniya Neha Manocha ji वॄक्ष हमारे आध्यात्मिक प्रशिक्षक : Rare Book : Allocated on 09-Jun-24 Contact Number  16174130446")</f>
        <v>Adarniya Neha Manocha ji वॄक्ष हमारे आध्यात्मिक प्रशिक्षक : Rare Book : Allocated on 09-Jun-24 Contact Number  16174130446</v>
      </c>
      <c r="CH171" s="1" t="str">
        <f ca="1">IFERROR(__xludf.DUMMYFUNCTION("""COMPUTED_VALUE"""),"sanjayneha1@yahoo.com : वॄक्ष हमारे आध्यात्मिक प्रशिक्षक : Rare Book")</f>
        <v>sanjayneha1@yahoo.com : वॄक्ष हमारे आध्यात्मिक प्रशिक्षक : Rare Book</v>
      </c>
      <c r="CI171" s="5">
        <f ca="1">IFERROR(__xludf.DUMMYFUNCTION("""COMPUTED_VALUE"""),45452.3175800115)</f>
        <v>45452.317580011499</v>
      </c>
    </row>
    <row r="172" spans="1:87" x14ac:dyDescent="0.25">
      <c r="A172" s="5">
        <f ca="1">IFERROR(__xludf.DUMMYFUNCTION("""COMPUTED_VALUE"""),45450.8119967824)</f>
        <v>45450.811996782402</v>
      </c>
      <c r="B172" s="1" t="str">
        <f ca="1">IFERROR(__xludf.DUMMYFUNCTION("""COMPUTED_VALUE"""),"kalagpatel1959@gmail.com")</f>
        <v>kalagpatel1959@gmail.com</v>
      </c>
      <c r="C172" s="1" t="str">
        <f ca="1">IFERROR(__xludf.DUMMYFUNCTION("""COMPUTED_VALUE"""),"Kala Patel ")</f>
        <v xml:space="preserve">Kala Patel </v>
      </c>
      <c r="D172" s="1">
        <f ca="1">IFERROR(__xludf.DUMMYFUNCTION("""COMPUTED_VALUE"""),9016250929)</f>
        <v>9016250929</v>
      </c>
      <c r="E172" s="1" t="str">
        <f ca="1">IFERROR(__xludf.DUMMYFUNCTION("""COMPUTED_VALUE"""),"Yes")</f>
        <v>Yes</v>
      </c>
      <c r="F172" s="1" t="str">
        <f ca="1">IFERROR(__xludf.DUMMYFUNCTION("""COMPUTED_VALUE"""),"गुजराती")</f>
        <v>गुजराती</v>
      </c>
      <c r="G172" s="1" t="str">
        <f ca="1">IFERROR(__xludf.DUMMYFUNCTION("""COMPUTED_VALUE"""),"युग द्रष्टा पं. श्रीराम शर्मा आचार्यजी")</f>
        <v>युग द्रष्टा पं. श्रीराम शर्मा आचार्यजी</v>
      </c>
      <c r="H172" s="1"/>
      <c r="I172" s="1"/>
      <c r="J172" s="1"/>
      <c r="K172" s="1"/>
      <c r="L172" s="1"/>
      <c r="M172" s="1"/>
      <c r="N172" s="1"/>
      <c r="O172" s="1"/>
      <c r="P172" s="1" t="str">
        <f ca="1">IFERROR(__xludf.DUMMYFUNCTION("""COMPUTED_VALUE"""),"युगॠषी का जीवनदर्शन")</f>
        <v>युगॠषी का जीवनदर्शन</v>
      </c>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f ca="1">IFERROR(__xludf.DUMMYFUNCTION("""COMPUTED_VALUE"""),34)</f>
        <v>34</v>
      </c>
      <c r="BX172" s="1">
        <f ca="1">IFERROR(__xludf.DUMMYFUNCTION("""COMPUTED_VALUE"""),34)</f>
        <v>34</v>
      </c>
      <c r="BY172" s="1">
        <f ca="1">IFERROR(__xludf.DUMMYFUNCTION("""COMPUTED_VALUE"""),4)</f>
        <v>4</v>
      </c>
      <c r="BZ172" s="1">
        <f ca="1">IFERROR(__xludf.DUMMYFUNCTION("""COMPUTED_VALUE"""),11)</f>
        <v>11</v>
      </c>
      <c r="CA172" s="1"/>
      <c r="CB172" s="1"/>
      <c r="CC172" s="1" t="str">
        <f ca="1">IFERROR(__xludf.DUMMYFUNCTION("""COMPUTED_VALUE"""),"મરનોત્તર શાંતિપ્રયોગ : G_YS_15")</f>
        <v>મરનોત્તર શાંતિપ્રયોગ : G_YS_15</v>
      </c>
      <c r="CD172" s="3" t="str">
        <f ca="1">IFERROR(__xludf.DUMMYFUNCTION("""COMPUTED_VALUE"""),"https://vicharkrantibooks.org/productdetail?product_id=4242")</f>
        <v>https://vicharkrantibooks.org/productdetail?product_id=4242</v>
      </c>
      <c r="CE172" s="1" t="str">
        <f ca="1">IFERROR(__xludf.DUMMYFUNCTION("""COMPUTED_VALUE"""),"Audiobook : મરનોત્તર શાંતિપ્રયોગ : G_YS_15 : kalagpatel1959@gmail.com : Recorded")</f>
        <v>Audiobook : મરનોત્તર શાંતિપ્રયોગ : G_YS_15 : kalagpatel1959@gmail.com : Recorded</v>
      </c>
      <c r="CF172" s="1" t="str">
        <f ca="1">IFERROR(__xludf.DUMMYFUNCTION("""COMPUTED_VALUE"""),"Audiobook : મરનોત્તર શાંતિપ્રયોગ : G_YS_15 : kalagpatel1959@gmail.com : Recorded")</f>
        <v>Audiobook : મરનોત્તર શાંતિપ્રયોગ : G_YS_15 : kalagpatel1959@gmail.com : Recorded</v>
      </c>
      <c r="CG172" s="1" t="str">
        <f ca="1">IFERROR(__xludf.DUMMYFUNCTION("""COMPUTED_VALUE"""),"Adarniya Kala Patel  ji મરનોત્તર શાંતિપ્રયોગ : G_YS_15 : Allocated on 07-Jun-24 Contact Number  9016250929")</f>
        <v>Adarniya Kala Patel  ji મરનોત્તર શાંતિપ્રયોગ : G_YS_15 : Allocated on 07-Jun-24 Contact Number  9016250929</v>
      </c>
      <c r="CH172" s="1" t="str">
        <f ca="1">IFERROR(__xludf.DUMMYFUNCTION("""COMPUTED_VALUE"""),"kalagpatel1959@gmail.com : મરનોત્તર શાંતિપ્રયોગ : G_YS_15")</f>
        <v>kalagpatel1959@gmail.com : મરનોત્તર શાંતિપ્રયોગ : G_YS_15</v>
      </c>
      <c r="CI172" s="5">
        <f ca="1">IFERROR(__xludf.DUMMYFUNCTION("""COMPUTED_VALUE"""),45450.8119967824)</f>
        <v>45450.811996782402</v>
      </c>
    </row>
    <row r="173" spans="1:87" x14ac:dyDescent="0.25">
      <c r="A173" s="5">
        <f ca="1">IFERROR(__xludf.DUMMYFUNCTION("""COMPUTED_VALUE"""),45450.6413622453)</f>
        <v>45450.641362245296</v>
      </c>
      <c r="B173" s="1" t="str">
        <f ca="1">IFERROR(__xludf.DUMMYFUNCTION("""COMPUTED_VALUE"""),"rbbansalriya@gmail.com")</f>
        <v>rbbansalriya@gmail.com</v>
      </c>
      <c r="C173" s="1" t="str">
        <f ca="1">IFERROR(__xludf.DUMMYFUNCTION("""COMPUTED_VALUE"""),"Riya bansal ")</f>
        <v xml:space="preserve">Riya bansal </v>
      </c>
      <c r="D173" s="1">
        <f ca="1">IFERROR(__xludf.DUMMYFUNCTION("""COMPUTED_VALUE"""),9176361023)</f>
        <v>9176361023</v>
      </c>
      <c r="E173" s="1" t="str">
        <f ca="1">IFERROR(__xludf.DUMMYFUNCTION("""COMPUTED_VALUE"""),"Yes")</f>
        <v>Yes</v>
      </c>
      <c r="F173" s="1" t="str">
        <f ca="1">IFERROR(__xludf.DUMMYFUNCTION("""COMPUTED_VALUE"""),"हिन्दी")</f>
        <v>हिन्दी</v>
      </c>
      <c r="G173" s="1" t="str">
        <f ca="1">IFERROR(__xludf.DUMMYFUNCTION("""COMPUTED_VALUE"""),"समाज निर्माण")</f>
        <v>समाज निर्माण</v>
      </c>
      <c r="H173" s="1"/>
      <c r="I173" s="1"/>
      <c r="J173" s="1"/>
      <c r="K173" s="1"/>
      <c r="L173" s="1"/>
      <c r="M173" s="1"/>
      <c r="N173" s="1"/>
      <c r="O173" s="1"/>
      <c r="P173" s="1"/>
      <c r="Q173" s="1"/>
      <c r="R173" s="1"/>
      <c r="S173" s="1"/>
      <c r="T173" s="1"/>
      <c r="U173" s="1"/>
      <c r="V173" s="1" t="str">
        <f ca="1">IFERROR(__xludf.DUMMYFUNCTION("""COMPUTED_VALUE"""),"आदर्श विवाहों का प्रचलन")</f>
        <v>आदर्श विवाहों का प्रचलन</v>
      </c>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f ca="1">IFERROR(__xludf.DUMMYFUNCTION("""COMPUTED_VALUE"""),54)</f>
        <v>54</v>
      </c>
      <c r="BX173" s="1">
        <f ca="1">IFERROR(__xludf.DUMMYFUNCTION("""COMPUTED_VALUE"""),55)</f>
        <v>55</v>
      </c>
      <c r="BY173" s="1">
        <f ca="1">IFERROR(__xludf.DUMMYFUNCTION("""COMPUTED_VALUE"""),9)</f>
        <v>9</v>
      </c>
      <c r="BZ173" s="1">
        <f ca="1">IFERROR(__xludf.DUMMYFUNCTION("""COMPUTED_VALUE"""),43)</f>
        <v>43</v>
      </c>
      <c r="CA173" s="1"/>
      <c r="CB173" s="1"/>
      <c r="CC173" s="1" t="str">
        <f ca="1">IFERROR(__xludf.DUMMYFUNCTION("""COMPUTED_VALUE"""),"भिक्षा व्यवसाय समाज का कलंक : Rare Book")</f>
        <v>भिक्षा व्यवसाय समाज का कलंक : Rare Book</v>
      </c>
      <c r="CD173" s="3" t="str">
        <f ca="1">IFERROR(__xludf.DUMMYFUNCTION("""COMPUTED_VALUE"""),"https://vicharkrantibooks.org/productdetail?book_name=HINP0165_BHIKSHA_VYAVASAY_SAMAJ_KA_KALANK_xxyyyy&amp;product_id=730")</f>
        <v>https://vicharkrantibooks.org/productdetail?book_name=HINP0165_BHIKSHA_VYAVASAY_SAMAJ_KA_KALANK_xxyyyy&amp;product_id=730</v>
      </c>
      <c r="CE173" s="1" t="str">
        <f ca="1">IFERROR(__xludf.DUMMYFUNCTION("""COMPUTED_VALUE"""),"Audiobook : भिक्षा व्यवसाय समाज का कलंक : Rare Book : rbbansalriya@gmail.com : Recorded")</f>
        <v>Audiobook : भिक्षा व्यवसाय समाज का कलंक : Rare Book : rbbansalriya@gmail.com : Recorded</v>
      </c>
      <c r="CF173" s="1" t="str">
        <f ca="1">IFERROR(__xludf.DUMMYFUNCTION("""COMPUTED_VALUE"""),"Audiobook : भिक्षा व्यवसाय समाज का कलंक : Rare Book : rbbansalriya@gmail.com : Recorded")</f>
        <v>Audiobook : भिक्षा व्यवसाय समाज का कलंक : Rare Book : rbbansalriya@gmail.com : Recorded</v>
      </c>
      <c r="CG173" s="1" t="str">
        <f ca="1">IFERROR(__xludf.DUMMYFUNCTION("""COMPUTED_VALUE"""),"Adarniya Riya bansal  ji भिक्षा व्यवसाय समाज का कलंक : Rare Book : Allocated on 07-Jun-24 Contact Number  9176361023")</f>
        <v>Adarniya Riya bansal  ji भिक्षा व्यवसाय समाज का कलंक : Rare Book : Allocated on 07-Jun-24 Contact Number  9176361023</v>
      </c>
      <c r="CH173" s="1" t="str">
        <f ca="1">IFERROR(__xludf.DUMMYFUNCTION("""COMPUTED_VALUE"""),"rbbansalriya@gmail.com : भिक्षा व्यवसाय समाज का कलंक : Rare Book")</f>
        <v>rbbansalriya@gmail.com : भिक्षा व्यवसाय समाज का कलंक : Rare Book</v>
      </c>
      <c r="CI173" s="5">
        <f ca="1">IFERROR(__xludf.DUMMYFUNCTION("""COMPUTED_VALUE"""),45450.6413622453)</f>
        <v>45450.641362245296</v>
      </c>
    </row>
    <row r="174" spans="1:87" x14ac:dyDescent="0.25">
      <c r="A174" s="5">
        <f ca="1">IFERROR(__xludf.DUMMYFUNCTION("""COMPUTED_VALUE"""),45450.5984525231)</f>
        <v>45450.598452523103</v>
      </c>
      <c r="B174" s="1" t="str">
        <f ca="1">IFERROR(__xludf.DUMMYFUNCTION("""COMPUTED_VALUE"""),"rajniverma24.vns@gmail.com")</f>
        <v>rajniverma24.vns@gmail.com</v>
      </c>
      <c r="C174" s="1" t="str">
        <f ca="1">IFERROR(__xludf.DUMMYFUNCTION("""COMPUTED_VALUE"""),"Rajni varma")</f>
        <v>Rajni varma</v>
      </c>
      <c r="D174" s="1">
        <f ca="1">IFERROR(__xludf.DUMMYFUNCTION("""COMPUTED_VALUE"""),9335661433)</f>
        <v>9335661433</v>
      </c>
      <c r="E174" s="1" t="str">
        <f ca="1">IFERROR(__xludf.DUMMYFUNCTION("""COMPUTED_VALUE"""),"No")</f>
        <v>No</v>
      </c>
      <c r="F174" s="1" t="str">
        <f ca="1">IFERROR(__xludf.DUMMYFUNCTION("""COMPUTED_VALUE"""),"हिन्दी")</f>
        <v>हिन्दी</v>
      </c>
      <c r="G174" s="1" t="str">
        <f ca="1">IFERROR(__xludf.DUMMYFUNCTION("""COMPUTED_VALUE"""),"भारतीय संस्कृति")</f>
        <v>भारतीय संस्कृति</v>
      </c>
      <c r="H174" s="1"/>
      <c r="I174" s="1"/>
      <c r="J174" s="1"/>
      <c r="K174" s="1"/>
      <c r="L174" s="1"/>
      <c r="M174" s="1"/>
      <c r="N174" s="1"/>
      <c r="O174" s="1" t="str">
        <f ca="1">IFERROR(__xludf.DUMMYFUNCTION("""COMPUTED_VALUE"""),"भारतीय संस्कृति")</f>
        <v>भारतीय संस्कृति</v>
      </c>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f ca="1">IFERROR(__xludf.DUMMYFUNCTION("""COMPUTED_VALUE"""),9)</f>
        <v>9</v>
      </c>
      <c r="BX174" s="1">
        <f ca="1">IFERROR(__xludf.DUMMYFUNCTION("""COMPUTED_VALUE"""),6)</f>
        <v>6</v>
      </c>
      <c r="BY174" s="1">
        <f ca="1">IFERROR(__xludf.DUMMYFUNCTION("""COMPUTED_VALUE"""),3)</f>
        <v>3</v>
      </c>
      <c r="BZ174" s="1">
        <f ca="1">IFERROR(__xludf.DUMMYFUNCTION("""COMPUTED_VALUE"""),1)</f>
        <v>1</v>
      </c>
      <c r="CA174" s="1"/>
      <c r="CB174" s="1"/>
      <c r="CC174" s="1" t="str">
        <f ca="1">IFERROR(__xludf.DUMMYFUNCTION("""COMPUTED_VALUE"""),"भारतीय संस्कृति एक जीवन दर्शन (पॉकेट) : Rare Book")</f>
        <v>भारतीय संस्कृति एक जीवन दर्शन (पॉकेट) : Rare Book</v>
      </c>
      <c r="CD174" s="3" t="str">
        <f ca="1">IFERROR(__xludf.DUMMYFUNCTION("""COMPUTED_VALUE"""),"https://vicharkrantibooks.org/productdetail?book_name=HINP0150_BHARATIY_SANSKRUTI_EK_JIVAN_DARSHAN%20(POCKET)_xxyyyy&amp;product_id=715")</f>
        <v>https://vicharkrantibooks.org/productdetail?book_name=HINP0150_BHARATIY_SANSKRUTI_EK_JIVAN_DARSHAN%20(POCKET)_xxyyyy&amp;product_id=715</v>
      </c>
      <c r="CE174" s="1" t="str">
        <f ca="1">IFERROR(__xludf.DUMMYFUNCTION("""COMPUTED_VALUE"""),"Audiobook : भारतीय संस्कृति एक जीवन दर्शन (पॉकेट) : Rare Book : rajniverma24.vns@gmail.com : Recorded")</f>
        <v>Audiobook : भारतीय संस्कृति एक जीवन दर्शन (पॉकेट) : Rare Book : rajniverma24.vns@gmail.com : Recorded</v>
      </c>
      <c r="CF174" s="1" t="str">
        <f ca="1">IFERROR(__xludf.DUMMYFUNCTION("""COMPUTED_VALUE"""),"Audiobook : भारतीय संस्कृति एक जीवन दर्शन (पॉकेट) : Rare Book : rajniverma24.vns@gmail.com : Recorded")</f>
        <v>Audiobook : भारतीय संस्कृति एक जीवन दर्शन (पॉकेट) : Rare Book : rajniverma24.vns@gmail.com : Recorded</v>
      </c>
      <c r="CG174" s="1" t="str">
        <f ca="1">IFERROR(__xludf.DUMMYFUNCTION("""COMPUTED_VALUE"""),"Adarniya Rajni varma ji भारतीय संस्कृति एक जीवन दर्शन (पॉकेट) : Rare Book : Allocated on 07-Jun-24 Contact Number  9335661433")</f>
        <v>Adarniya Rajni varma ji भारतीय संस्कृति एक जीवन दर्शन (पॉकेट) : Rare Book : Allocated on 07-Jun-24 Contact Number  9335661433</v>
      </c>
      <c r="CH174" s="1" t="str">
        <f ca="1">IFERROR(__xludf.DUMMYFUNCTION("""COMPUTED_VALUE"""),"rajniverma24.vns@gmail.com : DEVASANSKRUTI EBOM BIGYANA")</f>
        <v>rajniverma24.vns@gmail.com : DEVASANSKRUTI EBOM BIGYANA</v>
      </c>
      <c r="CI174" s="5">
        <f ca="1">IFERROR(__xludf.DUMMYFUNCTION("""COMPUTED_VALUE"""),45450.5984525231)</f>
        <v>45450.598452523103</v>
      </c>
    </row>
    <row r="175" spans="1:87" x14ac:dyDescent="0.25">
      <c r="A175" s="5">
        <f ca="1">IFERROR(__xludf.DUMMYFUNCTION("""COMPUTED_VALUE"""),45450.5701056018)</f>
        <v>45450.570105601801</v>
      </c>
      <c r="B175" s="1" t="str">
        <f ca="1">IFERROR(__xludf.DUMMYFUNCTION("""COMPUTED_VALUE"""),"premlatadevi4669@gmail.com")</f>
        <v>premlatadevi4669@gmail.com</v>
      </c>
      <c r="C175" s="1" t="str">
        <f ca="1">IFERROR(__xludf.DUMMYFUNCTION("""COMPUTED_VALUE"""),"Premlata barnwal ")</f>
        <v xml:space="preserve">Premlata barnwal </v>
      </c>
      <c r="D175" s="1">
        <f ca="1">IFERROR(__xludf.DUMMYFUNCTION("""COMPUTED_VALUE"""),9372282030)</f>
        <v>9372282030</v>
      </c>
      <c r="E175" s="1" t="str">
        <f ca="1">IFERROR(__xludf.DUMMYFUNCTION("""COMPUTED_VALUE"""),"Yes")</f>
        <v>Yes</v>
      </c>
      <c r="F175" s="1" t="str">
        <f ca="1">IFERROR(__xludf.DUMMYFUNCTION("""COMPUTED_VALUE"""),"हिन्दी")</f>
        <v>हिन्दी</v>
      </c>
      <c r="G175" s="1" t="str">
        <f ca="1">IFERROR(__xludf.DUMMYFUNCTION("""COMPUTED_VALUE"""),"परिवार निर्माण")</f>
        <v>परिवार निर्माण</v>
      </c>
      <c r="H175" s="1"/>
      <c r="I175" s="1"/>
      <c r="J175" s="1"/>
      <c r="K175" s="1"/>
      <c r="L175" s="1"/>
      <c r="M175" s="1" t="str">
        <f ca="1">IFERROR(__xludf.DUMMYFUNCTION("""COMPUTED_VALUE"""),"दाम्पत्य जीवन")</f>
        <v>दाम्पत्य जीवन</v>
      </c>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f ca="1">IFERROR(__xludf.DUMMYFUNCTION("""COMPUTED_VALUE"""),13)</f>
        <v>13</v>
      </c>
      <c r="BX175" s="1">
        <f ca="1">IFERROR(__xludf.DUMMYFUNCTION("""COMPUTED_VALUE"""),10)</f>
        <v>10</v>
      </c>
      <c r="BY175" s="1">
        <f ca="1">IFERROR(__xludf.DUMMYFUNCTION("""COMPUTED_VALUE"""),7)</f>
        <v>7</v>
      </c>
      <c r="BZ175" s="1">
        <f ca="1">IFERROR(__xludf.DUMMYFUNCTION("""COMPUTED_VALUE"""),2)</f>
        <v>2</v>
      </c>
      <c r="CA175" s="1"/>
      <c r="CB175" s="1"/>
      <c r="CC175" s="1" t="str">
        <f ca="1">IFERROR(__xludf.DUMMYFUNCTION("""COMPUTED_VALUE"""),"लार्जर फैमिली सहकारिता का एक अनुपम प्रयोग : Rare Book")</f>
        <v>लार्जर फैमिली सहकारिता का एक अनुपम प्रयोग : Rare Book</v>
      </c>
      <c r="CD175" s="3" t="str">
        <f ca="1">IFERROR(__xludf.DUMMYFUNCTION("""COMPUTED_VALUE"""),"https://vicharkrantibooks.org/productdetail?book_name=HINP0455_LARGER_FAMILY_SAHAKARITA_KA_EK_ANUPAM_PRAYOG_xx1982&amp;product_id=1020")</f>
        <v>https://vicharkrantibooks.org/productdetail?book_name=HINP0455_LARGER_FAMILY_SAHAKARITA_KA_EK_ANUPAM_PRAYOG_xx1982&amp;product_id=1020</v>
      </c>
      <c r="CE175" s="1" t="str">
        <f ca="1">IFERROR(__xludf.DUMMYFUNCTION("""COMPUTED_VALUE"""),"Audiobook : लार्जर फैमिली सहकारिता का एक अनुपम प्रयोग : Rare Book : premlatadevi4669@gmail.com : Recorded")</f>
        <v>Audiobook : लार्जर फैमिली सहकारिता का एक अनुपम प्रयोग : Rare Book : premlatadevi4669@gmail.com : Recorded</v>
      </c>
      <c r="CF175" s="1" t="str">
        <f ca="1">IFERROR(__xludf.DUMMYFUNCTION("""COMPUTED_VALUE"""),"Audiobook : लार्जर फैमिली सहकारिता का एक अनुपम प्रयोग : Rare Book : premlatadevi4669@gmail.com : Recorded")</f>
        <v>Audiobook : लार्जर फैमिली सहकारिता का एक अनुपम प्रयोग : Rare Book : premlatadevi4669@gmail.com : Recorded</v>
      </c>
      <c r="CG175" s="1" t="str">
        <f ca="1">IFERROR(__xludf.DUMMYFUNCTION("""COMPUTED_VALUE"""),"Adarniya Premlata barnwal  ji लार्जर फैमिली सहकारिता का एक अनुपम प्रयोग : Rare Book : Allocated on 07-Jun-24 Contact Number  9372282030")</f>
        <v>Adarniya Premlata barnwal  ji लार्जर फैमिली सहकारिता का एक अनुपम प्रयोग : Rare Book : Allocated on 07-Jun-24 Contact Number  9372282030</v>
      </c>
      <c r="CH175" s="1" t="str">
        <f ca="1">IFERROR(__xludf.DUMMYFUNCTION("""COMPUTED_VALUE"""),"premlatadevi4669@gmail.com : અધ્યાત્મ એક પ્રકારનું યુદ્ધ : G_JS_91")</f>
        <v>premlatadevi4669@gmail.com : અધ્યાત્મ એક પ્રકારનું યુદ્ધ : G_JS_91</v>
      </c>
      <c r="CI175" s="5">
        <f ca="1">IFERROR(__xludf.DUMMYFUNCTION("""COMPUTED_VALUE"""),45450.5701056018)</f>
        <v>45450.570105601801</v>
      </c>
    </row>
    <row r="176" spans="1:87" x14ac:dyDescent="0.25">
      <c r="A176" s="5">
        <f ca="1">IFERROR(__xludf.DUMMYFUNCTION("""COMPUTED_VALUE"""),45450.4417874537)</f>
        <v>45450.441787453703</v>
      </c>
      <c r="B176" s="1" t="str">
        <f ca="1">IFERROR(__xludf.DUMMYFUNCTION("""COMPUTED_VALUE"""),"pmukhi1967@gmail.com")</f>
        <v>pmukhi1967@gmail.com</v>
      </c>
      <c r="C176" s="1" t="str">
        <f ca="1">IFERROR(__xludf.DUMMYFUNCTION("""COMPUTED_VALUE"""),"Padmini mukhi")</f>
        <v>Padmini mukhi</v>
      </c>
      <c r="D176" s="1">
        <f ca="1">IFERROR(__xludf.DUMMYFUNCTION("""COMPUTED_VALUE"""),9711972245)</f>
        <v>9711972245</v>
      </c>
      <c r="E176" s="1" t="str">
        <f ca="1">IFERROR(__xludf.DUMMYFUNCTION("""COMPUTED_VALUE"""),"Yes")</f>
        <v>Yes</v>
      </c>
      <c r="F176" s="1" t="str">
        <f ca="1">IFERROR(__xludf.DUMMYFUNCTION("""COMPUTED_VALUE"""),"ओड़िया")</f>
        <v>ओड़िया</v>
      </c>
      <c r="G176" s="1" t="str">
        <f ca="1">IFERROR(__xludf.DUMMYFUNCTION("""COMPUTED_VALUE"""),"अध्यात्म, धर्म एवं दर्शन")</f>
        <v>अध्यात्म, धर्म एवं दर्शन</v>
      </c>
      <c r="H176" s="1" t="str">
        <f ca="1">IFERROR(__xludf.DUMMYFUNCTION("""COMPUTED_VALUE"""),"उपासना")</f>
        <v>उपासना</v>
      </c>
      <c r="I176" s="1"/>
      <c r="J176" s="1"/>
      <c r="K176" s="1"/>
      <c r="L176" s="1"/>
      <c r="M176" s="1"/>
      <c r="N176" s="1"/>
      <c r="O176" s="1"/>
      <c r="P176" s="1"/>
      <c r="Q176" s="1" t="str">
        <f ca="1">IFERROR(__xludf.DUMMYFUNCTION("""COMPUTED_VALUE"""),"युग निर्माण योजना एवं युग परिवर्तन")</f>
        <v>युग निर्माण योजना एवं युग परिवर्तन</v>
      </c>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f ca="1">IFERROR(__xludf.DUMMYFUNCTION("""COMPUTED_VALUE"""),4)</f>
        <v>4</v>
      </c>
      <c r="BX176" s="1">
        <f ca="1">IFERROR(__xludf.DUMMYFUNCTION("""COMPUTED_VALUE"""),2)</f>
        <v>2</v>
      </c>
      <c r="BY176" s="1">
        <f ca="1">IFERROR(__xludf.DUMMYFUNCTION("""COMPUTED_VALUE"""),2)</f>
        <v>2</v>
      </c>
      <c r="BZ176" s="1">
        <f ca="1">IFERROR(__xludf.DUMMYFUNCTION("""COMPUTED_VALUE"""),0)</f>
        <v>0</v>
      </c>
      <c r="CA176" s="1"/>
      <c r="CB176" s="1"/>
      <c r="CC176" s="1" t="str">
        <f ca="1">IFERROR(__xludf.DUMMYFUNCTION("""COMPUTED_VALUE"""),"DEVASANSKRUTI EBOM BIGYANA")</f>
        <v>DEVASANSKRUTI EBOM BIGYANA</v>
      </c>
      <c r="CD176" s="3" t="str">
        <f ca="1">IFERROR(__xludf.DUMMYFUNCTION("""COMPUTED_VALUE"""),"https://drive.google.com/file/d/1SIgP7GfPxKuvAKxJGbOGIMZLu6j4iT_3/view?usp=sharing")</f>
        <v>https://drive.google.com/file/d/1SIgP7GfPxKuvAKxJGbOGIMZLu6j4iT_3/view?usp=sharing</v>
      </c>
      <c r="CE176" s="1" t="str">
        <f ca="1">IFERROR(__xludf.DUMMYFUNCTION("""COMPUTED_VALUE"""),"Audiobook : DEVASANSKRUTI EBOM BIGYANA : pmukhi1967@gmail.com : Recorded")</f>
        <v>Audiobook : DEVASANSKRUTI EBOM BIGYANA : pmukhi1967@gmail.com : Recorded</v>
      </c>
      <c r="CF176" s="1" t="str">
        <f ca="1">IFERROR(__xludf.DUMMYFUNCTION("""COMPUTED_VALUE"""),"#N/A")</f>
        <v>#N/A</v>
      </c>
      <c r="CG176" s="1" t="str">
        <f ca="1">IFERROR(__xludf.DUMMYFUNCTION("""COMPUTED_VALUE"""),"Adarniya Padmini mukhi ji DEVASANSKRUTI EBOM BIGYANA : Allocated on 07-Jun-24 Contact Number  9711972245")</f>
        <v>Adarniya Padmini mukhi ji DEVASANSKRUTI EBOM BIGYANA : Allocated on 07-Jun-24 Contact Number  9711972245</v>
      </c>
      <c r="CH176" s="1" t="str">
        <f ca="1">IFERROR(__xludf.DUMMYFUNCTION("""COMPUTED_VALUE"""),"pmukhi1967@gmail.com : DEVASANSKRUTI EBOM BIGYANA")</f>
        <v>pmukhi1967@gmail.com : DEVASANSKRUTI EBOM BIGYANA</v>
      </c>
      <c r="CI176" s="5">
        <f ca="1">IFERROR(__xludf.DUMMYFUNCTION("""COMPUTED_VALUE"""),45450.4417874537)</f>
        <v>45450.441787453703</v>
      </c>
    </row>
    <row r="177" spans="1:87" x14ac:dyDescent="0.25">
      <c r="A177" s="5">
        <f ca="1">IFERROR(__xludf.DUMMYFUNCTION("""COMPUTED_VALUE"""),45448.8467757407)</f>
        <v>45448.846775740698</v>
      </c>
      <c r="B177" s="1" t="str">
        <f ca="1">IFERROR(__xludf.DUMMYFUNCTION("""COMPUTED_VALUE"""),"kalagpatel1959@gmail.com")</f>
        <v>kalagpatel1959@gmail.com</v>
      </c>
      <c r="C177" s="1" t="str">
        <f ca="1">IFERROR(__xludf.DUMMYFUNCTION("""COMPUTED_VALUE"""),"Kala Patel ")</f>
        <v xml:space="preserve">Kala Patel </v>
      </c>
      <c r="D177" s="1">
        <f ca="1">IFERROR(__xludf.DUMMYFUNCTION("""COMPUTED_VALUE"""),9016250929)</f>
        <v>9016250929</v>
      </c>
      <c r="E177" s="1" t="str">
        <f ca="1">IFERROR(__xludf.DUMMYFUNCTION("""COMPUTED_VALUE"""),"Yes")</f>
        <v>Yes</v>
      </c>
      <c r="F177" s="1" t="str">
        <f ca="1">IFERROR(__xludf.DUMMYFUNCTION("""COMPUTED_VALUE"""),"गुजराती")</f>
        <v>गुजराती</v>
      </c>
      <c r="G177" s="1" t="str">
        <f ca="1">IFERROR(__xludf.DUMMYFUNCTION("""COMPUTED_VALUE"""),"जीवन प्रबंध")</f>
        <v>जीवन प्रबंध</v>
      </c>
      <c r="H177" s="1"/>
      <c r="I177" s="1"/>
      <c r="J177" s="1"/>
      <c r="K177" s="1"/>
      <c r="L177" s="1" t="str">
        <f ca="1">IFERROR(__xludf.DUMMYFUNCTION("""COMPUTED_VALUE"""),"मन की शक्ति एवं मनोविज्ञान")</f>
        <v>मन की शक्ति एवं मनोविज्ञान</v>
      </c>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f ca="1">IFERROR(__xludf.DUMMYFUNCTION("""COMPUTED_VALUE"""),34)</f>
        <v>34</v>
      </c>
      <c r="BX177" s="1">
        <f ca="1">IFERROR(__xludf.DUMMYFUNCTION("""COMPUTED_VALUE"""),34)</f>
        <v>34</v>
      </c>
      <c r="BY177" s="1">
        <f ca="1">IFERROR(__xludf.DUMMYFUNCTION("""COMPUTED_VALUE"""),4)</f>
        <v>4</v>
      </c>
      <c r="BZ177" s="1">
        <f ca="1">IFERROR(__xludf.DUMMYFUNCTION("""COMPUTED_VALUE"""),11)</f>
        <v>11</v>
      </c>
      <c r="CA177" s="1"/>
      <c r="CB177" s="1"/>
      <c r="CC177" s="1" t="str">
        <f ca="1">IFERROR(__xludf.DUMMYFUNCTION("""COMPUTED_VALUE"""),"અધ્યાત્મ એક પ્રકારનું યુદ્ધ : G_JS_91")</f>
        <v>અધ્યાત્મ એક પ્રકારનું યુદ્ધ : G_JS_91</v>
      </c>
      <c r="CD177" s="3" t="str">
        <f ca="1">IFERROR(__xludf.DUMMYFUNCTION("""COMPUTED_VALUE"""),"https://vicharkrantibooks.org/productdetail?book_name=GUJP0012_ADHYATM_EK_PRAKARNU_YUDDH_XXYYYY&amp;product_id=3816")</f>
        <v>https://vicharkrantibooks.org/productdetail?book_name=GUJP0012_ADHYATM_EK_PRAKARNU_YUDDH_XXYYYY&amp;product_id=3816</v>
      </c>
      <c r="CE177" s="1" t="str">
        <f ca="1">IFERROR(__xludf.DUMMYFUNCTION("""COMPUTED_VALUE"""),"Audiobook : અધ્યાત્મ એક પ્રકારનું યુદ્ધ : G_JS_91 : kalagpatel1959@gmail.com : Recorded")</f>
        <v>Audiobook : અધ્યાત્મ એક પ્રકારનું યુદ્ધ : G_JS_91 : kalagpatel1959@gmail.com : Recorded</v>
      </c>
      <c r="CF177" s="1" t="str">
        <f ca="1">IFERROR(__xludf.DUMMYFUNCTION("""COMPUTED_VALUE"""),"Audiobook : અધ્યાત્મ એક પ્રકારનું યુદ્ધ : G_JS_91 : kalagpatel1959@gmail.com : Recorded")</f>
        <v>Audiobook : અધ્યાત્મ એક પ્રકારનું યુદ્ધ : G_JS_91 : kalagpatel1959@gmail.com : Recorded</v>
      </c>
      <c r="CG177" s="1" t="str">
        <f ca="1">IFERROR(__xludf.DUMMYFUNCTION("""COMPUTED_VALUE"""),"Adarniya Kala Patel  ji અધ્યાત્મ એક પ્રકારનું યુદ્ધ : G_JS_91 : Allocated on 05-Jun-24 Contact Number  9016250929")</f>
        <v>Adarniya Kala Patel  ji અધ્યાત્મ એક પ્રકારનું યુદ્ધ : G_JS_91 : Allocated on 05-Jun-24 Contact Number  9016250929</v>
      </c>
      <c r="CH177" s="1" t="str">
        <f ca="1">IFERROR(__xludf.DUMMYFUNCTION("""COMPUTED_VALUE"""),"#REF!")</f>
        <v>#REF!</v>
      </c>
      <c r="CI177" s="5">
        <f ca="1">IFERROR(__xludf.DUMMYFUNCTION("""COMPUTED_VALUE"""),45448.8467757407)</f>
        <v>45448.846775740698</v>
      </c>
    </row>
    <row r="178" spans="1:87" x14ac:dyDescent="0.25">
      <c r="A178" s="5">
        <f ca="1">IFERROR(__xludf.DUMMYFUNCTION("""COMPUTED_VALUE"""),45448.6905215162)</f>
        <v>45448.690521516197</v>
      </c>
      <c r="B178" s="1" t="str">
        <f ca="1">IFERROR(__xludf.DUMMYFUNCTION("""COMPUTED_VALUE"""),"druma4107@gmail.com")</f>
        <v>druma4107@gmail.com</v>
      </c>
      <c r="C178" s="1" t="str">
        <f ca="1">IFERROR(__xludf.DUMMYFUNCTION("""COMPUTED_VALUE"""),"Dr Uma Agrawal ")</f>
        <v xml:space="preserve">Dr Uma Agrawal </v>
      </c>
      <c r="D178" s="1">
        <f ca="1">IFERROR(__xludf.DUMMYFUNCTION("""COMPUTED_VALUE"""),9410861182)</f>
        <v>9410861182</v>
      </c>
      <c r="E178" s="1" t="str">
        <f ca="1">IFERROR(__xludf.DUMMYFUNCTION("""COMPUTED_VALUE"""),"Yes")</f>
        <v>Yes</v>
      </c>
      <c r="F178" s="1" t="str">
        <f ca="1">IFERROR(__xludf.DUMMYFUNCTION("""COMPUTED_VALUE"""),"हिन्दी")</f>
        <v>हिन्दी</v>
      </c>
      <c r="G178" s="1" t="str">
        <f ca="1">IFERROR(__xludf.DUMMYFUNCTION("""COMPUTED_VALUE"""),"व्यक्ति निर्माण, युवा/विद्यार्थी एवं शिक्षक")</f>
        <v>व्यक्ति निर्माण, युवा/विद्यार्थी एवं शिक्षक</v>
      </c>
      <c r="H178" s="1"/>
      <c r="I178" s="1"/>
      <c r="J178" s="1"/>
      <c r="K178" s="1"/>
      <c r="L178" s="1"/>
      <c r="M178" s="1"/>
      <c r="N178" s="1"/>
      <c r="O178" s="1"/>
      <c r="P178" s="1"/>
      <c r="Q178" s="1"/>
      <c r="R178" s="1"/>
      <c r="S178" s="1"/>
      <c r="T178" s="1" t="str">
        <f ca="1">IFERROR(__xludf.DUMMYFUNCTION("""COMPUTED_VALUE"""),"व्यक्तित्व परिष्कार")</f>
        <v>व्यक्तित्व परिष्कार</v>
      </c>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f ca="1">IFERROR(__xludf.DUMMYFUNCTION("""COMPUTED_VALUE"""),104)</f>
        <v>104</v>
      </c>
      <c r="BX178" s="1">
        <f ca="1">IFERROR(__xludf.DUMMYFUNCTION("""COMPUTED_VALUE"""),106)</f>
        <v>106</v>
      </c>
      <c r="BY178" s="1">
        <f ca="1">IFERROR(__xludf.DUMMYFUNCTION("""COMPUTED_VALUE"""),9)</f>
        <v>9</v>
      </c>
      <c r="BZ178" s="1">
        <f ca="1">IFERROR(__xludf.DUMMYFUNCTION("""COMPUTED_VALUE"""),43)</f>
        <v>43</v>
      </c>
      <c r="CA178" s="1"/>
      <c r="CB178" s="1"/>
      <c r="CC178" s="1" t="str">
        <f ca="1">IFERROR(__xludf.DUMMYFUNCTION("""COMPUTED_VALUE"""),"आकांक्षायें नियंत्रित एवं सोद्देश्य हों : Rare Book")</f>
        <v>आकांक्षायें नियंत्रित एवं सोद्देश्य हों : Rare Book</v>
      </c>
      <c r="CD178" s="3" t="str">
        <f ca="1">IFERROR(__xludf.DUMMYFUNCTION("""COMPUTED_VALUE"""),"https://vicharkrantibooks.org/productdetail?book_name=HINP0035_AKANKSHAEN_NIYANTRIT_AUR_SODDESHY_HO_xx1982&amp;product_id=600")</f>
        <v>https://vicharkrantibooks.org/productdetail?book_name=HINP0035_AKANKSHAEN_NIYANTRIT_AUR_SODDESHY_HO_xx1982&amp;product_id=600</v>
      </c>
      <c r="CE178" s="1" t="str">
        <f ca="1">IFERROR(__xludf.DUMMYFUNCTION("""COMPUTED_VALUE"""),"Audiobook : आकांक्षायें नियंत्रित एवं सोद्देश्य हों : Rare Book : druma4107@gmail.com : Recorded")</f>
        <v>Audiobook : आकांक्षायें नियंत्रित एवं सोद्देश्य हों : Rare Book : druma4107@gmail.com : Recorded</v>
      </c>
      <c r="CF178" s="1" t="str">
        <f ca="1">IFERROR(__xludf.DUMMYFUNCTION("""COMPUTED_VALUE"""),"Audiobook : आकांक्षायें नियंत्रित एवं सोद्देश्य हों : Rare Book : druma4107@gmail.com : Recorded")</f>
        <v>Audiobook : आकांक्षायें नियंत्रित एवं सोद्देश्य हों : Rare Book : druma4107@gmail.com : Recorded</v>
      </c>
      <c r="CG178" s="1" t="str">
        <f ca="1">IFERROR(__xludf.DUMMYFUNCTION("""COMPUTED_VALUE"""),"Adarniya Dr Uma Agrawal  ji आकांक्षायें नियंत्रित एवं सोद्देश्य हों : Rare Book : Allocated on 05-Jun-24 Contact Number  9410861182")</f>
        <v>Adarniya Dr Uma Agrawal  ji आकांक्षायें नियंत्रित एवं सोद्देश्य हों : Rare Book : Allocated on 05-Jun-24 Contact Number  9410861182</v>
      </c>
      <c r="CH178" s="1" t="str">
        <f ca="1">IFERROR(__xludf.DUMMYFUNCTION("""COMPUTED_VALUE"""),"druma4107@gmail.com : आकांक्षायें नियंत्रित एवं सोद्देश्य हों : Rare Book")</f>
        <v>druma4107@gmail.com : आकांक्षायें नियंत्रित एवं सोद्देश्य हों : Rare Book</v>
      </c>
      <c r="CI178" s="5">
        <f ca="1">IFERROR(__xludf.DUMMYFUNCTION("""COMPUTED_VALUE"""),45448.6905215162)</f>
        <v>45448.690521516197</v>
      </c>
    </row>
    <row r="179" spans="1:87" x14ac:dyDescent="0.25">
      <c r="A179" s="5">
        <f ca="1">IFERROR(__xludf.DUMMYFUNCTION("""COMPUTED_VALUE"""),45448.6576052662)</f>
        <v>45448.657605266199</v>
      </c>
      <c r="B179" s="1" t="str">
        <f ca="1">IFERROR(__xludf.DUMMYFUNCTION("""COMPUTED_VALUE"""),"rbbansalriya@gmail.com")</f>
        <v>rbbansalriya@gmail.com</v>
      </c>
      <c r="C179" s="1" t="str">
        <f ca="1">IFERROR(__xludf.DUMMYFUNCTION("""COMPUTED_VALUE"""),"Riya bansal ")</f>
        <v xml:space="preserve">Riya bansal </v>
      </c>
      <c r="D179" s="1">
        <f ca="1">IFERROR(__xludf.DUMMYFUNCTION("""COMPUTED_VALUE"""),9176361023)</f>
        <v>9176361023</v>
      </c>
      <c r="E179" s="1" t="str">
        <f ca="1">IFERROR(__xludf.DUMMYFUNCTION("""COMPUTED_VALUE"""),"Yes")</f>
        <v>Yes</v>
      </c>
      <c r="F179" s="1" t="str">
        <f ca="1">IFERROR(__xludf.DUMMYFUNCTION("""COMPUTED_VALUE"""),"हिन्दी")</f>
        <v>हिन्दी</v>
      </c>
      <c r="G179" s="1" t="str">
        <f ca="1">IFERROR(__xludf.DUMMYFUNCTION("""COMPUTED_VALUE"""),"समाज निर्माण")</f>
        <v>समाज निर्माण</v>
      </c>
      <c r="H179" s="1"/>
      <c r="I179" s="1"/>
      <c r="J179" s="1"/>
      <c r="K179" s="1"/>
      <c r="L179" s="1"/>
      <c r="M179" s="1"/>
      <c r="N179" s="1"/>
      <c r="O179" s="1"/>
      <c r="P179" s="1"/>
      <c r="Q179" s="1"/>
      <c r="R179" s="1"/>
      <c r="S179" s="1"/>
      <c r="T179" s="1"/>
      <c r="U179" s="1"/>
      <c r="V179" s="1" t="str">
        <f ca="1">IFERROR(__xludf.DUMMYFUNCTION("""COMPUTED_VALUE"""),"आदर्श विवाहों का प्रचलन")</f>
        <v>आदर्श विवाहों का प्रचलन</v>
      </c>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f ca="1">IFERROR(__xludf.DUMMYFUNCTION("""COMPUTED_VALUE"""),54)</f>
        <v>54</v>
      </c>
      <c r="BX179" s="1">
        <f ca="1">IFERROR(__xludf.DUMMYFUNCTION("""COMPUTED_VALUE"""),55)</f>
        <v>55</v>
      </c>
      <c r="BY179" s="1">
        <f ca="1">IFERROR(__xludf.DUMMYFUNCTION("""COMPUTED_VALUE"""),9)</f>
        <v>9</v>
      </c>
      <c r="BZ179" s="1">
        <f ca="1">IFERROR(__xludf.DUMMYFUNCTION("""COMPUTED_VALUE"""),43)</f>
        <v>43</v>
      </c>
      <c r="CA179" s="1"/>
      <c r="CB179" s="1"/>
      <c r="CC179" s="1" t="str">
        <f ca="1">IFERROR(__xludf.DUMMYFUNCTION("""COMPUTED_VALUE"""),"समाज का ऋण चुकाएँ : Rare Book")</f>
        <v>समाज का ऋण चुकाएँ : Rare Book</v>
      </c>
      <c r="CD179" s="3" t="str">
        <f ca="1">IFERROR(__xludf.DUMMYFUNCTION("""COMPUTED_VALUE"""),"https://vicharkrantibooks.org/productdetail?book_name=HINP1093_SAMAJ_KA_RUN_CHUKAEN_xxyyyy&amp;product_id=1658")</f>
        <v>https://vicharkrantibooks.org/productdetail?book_name=HINP1093_SAMAJ_KA_RUN_CHUKAEN_xxyyyy&amp;product_id=1658</v>
      </c>
      <c r="CE179" s="1" t="str">
        <f ca="1">IFERROR(__xludf.DUMMYFUNCTION("""COMPUTED_VALUE"""),"Audiobook : समाज का ऋण चुकाएँ : Rare Book : rbbansalriya@gmail.com : Recorded")</f>
        <v>Audiobook : समाज का ऋण चुकाएँ : Rare Book : rbbansalriya@gmail.com : Recorded</v>
      </c>
      <c r="CF179" s="1" t="str">
        <f ca="1">IFERROR(__xludf.DUMMYFUNCTION("""COMPUTED_VALUE"""),"Audiobook : समाज का ऋण चुकाएँ : Rare Book : rbbansalriya@gmail.com : Recorded")</f>
        <v>Audiobook : समाज का ऋण चुकाएँ : Rare Book : rbbansalriya@gmail.com : Recorded</v>
      </c>
      <c r="CG179" s="1" t="str">
        <f ca="1">IFERROR(__xludf.DUMMYFUNCTION("""COMPUTED_VALUE"""),"Adarniya Riya bansal  ji समाज का ऋण चुकाएँ : Rare Book : Allocated on 05-Jun-24 Contact Number  9176361023")</f>
        <v>Adarniya Riya bansal  ji समाज का ऋण चुकाएँ : Rare Book : Allocated on 05-Jun-24 Contact Number  9176361023</v>
      </c>
      <c r="CH179" s="1" t="str">
        <f ca="1">IFERROR(__xludf.DUMMYFUNCTION("""COMPUTED_VALUE"""),"rbbansalriya@gmail.com : समाज का ऋण चुकाएँ : Rare Book")</f>
        <v>rbbansalriya@gmail.com : समाज का ऋण चुकाएँ : Rare Book</v>
      </c>
      <c r="CI179" s="5">
        <f ca="1">IFERROR(__xludf.DUMMYFUNCTION("""COMPUTED_VALUE"""),45448.6576052662)</f>
        <v>45448.657605266199</v>
      </c>
    </row>
    <row r="180" spans="1:87" x14ac:dyDescent="0.25">
      <c r="A180" s="5">
        <f ca="1">IFERROR(__xludf.DUMMYFUNCTION("""COMPUTED_VALUE"""),45447.7430749884)</f>
        <v>45447.743074988401</v>
      </c>
      <c r="B180" s="1" t="str">
        <f ca="1">IFERROR(__xludf.DUMMYFUNCTION("""COMPUTED_VALUE"""),"rekhabhagat2511@gmail.com")</f>
        <v>rekhabhagat2511@gmail.com</v>
      </c>
      <c r="C180" s="1" t="str">
        <f ca="1">IFERROR(__xludf.DUMMYFUNCTION("""COMPUTED_VALUE"""),"Rekha Bhagat ")</f>
        <v xml:space="preserve">Rekha Bhagat </v>
      </c>
      <c r="D180" s="1">
        <f ca="1">IFERROR(__xludf.DUMMYFUNCTION("""COMPUTED_VALUE"""),9424811235)</f>
        <v>9424811235</v>
      </c>
      <c r="E180" s="1" t="str">
        <f ca="1">IFERROR(__xludf.DUMMYFUNCTION("""COMPUTED_VALUE"""),"Yes")</f>
        <v>Yes</v>
      </c>
      <c r="F180" s="1" t="str">
        <f ca="1">IFERROR(__xludf.DUMMYFUNCTION("""COMPUTED_VALUE"""),"हिन्दी")</f>
        <v>हिन्दी</v>
      </c>
      <c r="G180" s="1" t="str">
        <f ca="1">IFERROR(__xludf.DUMMYFUNCTION("""COMPUTED_VALUE"""),"समग्र स्वास्थ्य")</f>
        <v>समग्र स्वास्थ्य</v>
      </c>
      <c r="H180" s="1"/>
      <c r="I180" s="1"/>
      <c r="J180" s="1"/>
      <c r="K180" s="1"/>
      <c r="L180" s="1"/>
      <c r="M180" s="1"/>
      <c r="N180" s="1"/>
      <c r="O180" s="1"/>
      <c r="P180" s="1"/>
      <c r="Q180" s="1"/>
      <c r="R180" s="1"/>
      <c r="S180" s="1"/>
      <c r="T180" s="1"/>
      <c r="U180" s="1" t="str">
        <f ca="1">IFERROR(__xludf.DUMMYFUNCTION("""COMPUTED_VALUE"""),"मानसिक स्वास्थ्य")</f>
        <v>मानसिक स्वास्थ्य</v>
      </c>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f ca="1">IFERROR(__xludf.DUMMYFUNCTION("""COMPUTED_VALUE"""),19)</f>
        <v>19</v>
      </c>
      <c r="BX180" s="1">
        <f ca="1">IFERROR(__xludf.DUMMYFUNCTION("""COMPUTED_VALUE"""),11)</f>
        <v>11</v>
      </c>
      <c r="BY180" s="1">
        <f ca="1">IFERROR(__xludf.DUMMYFUNCTION("""COMPUTED_VALUE"""),8)</f>
        <v>8</v>
      </c>
      <c r="BZ180" s="1">
        <f ca="1">IFERROR(__xludf.DUMMYFUNCTION("""COMPUTED_VALUE"""),4)</f>
        <v>4</v>
      </c>
      <c r="CA180" s="1"/>
      <c r="CB180" s="1"/>
      <c r="CC180" s="1" t="str">
        <f ca="1">IFERROR(__xludf.DUMMYFUNCTION("""COMPUTED_VALUE"""),"सादगी और नियमितता दीर्घजीवन के दो आधार : Rare Book")</f>
        <v>सादगी और नियमितता दीर्घजीवन के दो आधार : Rare Book</v>
      </c>
      <c r="CD180" s="3" t="str">
        <f ca="1">IFERROR(__xludf.DUMMYFUNCTION("""COMPUTED_VALUE"""),"https://vicharkrantibooks.org/productdetail?book_name=HINP0731_SADAGI_AUR_NIYAMITATA_DIRGHAJIVAN_KE_DO_ADHAR_xx1982&amp;product_id=1296")</f>
        <v>https://vicharkrantibooks.org/productdetail?book_name=HINP0731_SADAGI_AUR_NIYAMITATA_DIRGHAJIVAN_KE_DO_ADHAR_xx1982&amp;product_id=1296</v>
      </c>
      <c r="CE180" s="1" t="str">
        <f ca="1">IFERROR(__xludf.DUMMYFUNCTION("""COMPUTED_VALUE"""),"Audiobook : सादगी और नियमितता दीर्घजीवन के दो आधार : Rare Book : rekhabhagat2511@gmail.com : Recorded")</f>
        <v>Audiobook : सादगी और नियमितता दीर्घजीवन के दो आधार : Rare Book : rekhabhagat2511@gmail.com : Recorded</v>
      </c>
      <c r="CF180" s="1" t="str">
        <f ca="1">IFERROR(__xludf.DUMMYFUNCTION("""COMPUTED_VALUE"""),"Audiobook : सादगी और नियमितता दीर्घजीवन के दो आधार : Rare Book : rekhabhagat2511@gmail.com : Recorded")</f>
        <v>Audiobook : सादगी और नियमितता दीर्घजीवन के दो आधार : Rare Book : rekhabhagat2511@gmail.com : Recorded</v>
      </c>
      <c r="CG180" s="1" t="str">
        <f ca="1">IFERROR(__xludf.DUMMYFUNCTION("""COMPUTED_VALUE"""),"Adarniya Rekha Bhagat  ji सादगी और नियमितता दीर्घजीवन के दो आधार : Rare Book : Allocated on 04-Jun-24 Contact Number  9424811235")</f>
        <v>Adarniya Rekha Bhagat  ji सादगी और नियमितता दीर्घजीवन के दो आधार : Rare Book : Allocated on 04-Jun-24 Contact Number  9424811235</v>
      </c>
      <c r="CH180" s="1" t="str">
        <f ca="1">IFERROR(__xludf.DUMMYFUNCTION("""COMPUTED_VALUE"""),"rekhabhagat2511@gmail.com : सादगी और नियमितता दीर्घजीवन के दो आधार : Rare Book")</f>
        <v>rekhabhagat2511@gmail.com : सादगी और नियमितता दीर्घजीवन के दो आधार : Rare Book</v>
      </c>
      <c r="CI180" s="5">
        <f ca="1">IFERROR(__xludf.DUMMYFUNCTION("""COMPUTED_VALUE"""),45447.7430749884)</f>
        <v>45447.743074988401</v>
      </c>
    </row>
    <row r="181" spans="1:87" x14ac:dyDescent="0.25">
      <c r="A181" s="5">
        <f ca="1">IFERROR(__xludf.DUMMYFUNCTION("""COMPUTED_VALUE"""),45447.394352118)</f>
        <v>45447.394352117997</v>
      </c>
      <c r="B181" s="1" t="str">
        <f ca="1">IFERROR(__xludf.DUMMYFUNCTION("""COMPUTED_VALUE"""),"kalagpatel1959@gmail.com")</f>
        <v>kalagpatel1959@gmail.com</v>
      </c>
      <c r="C181" s="1" t="str">
        <f ca="1">IFERROR(__xludf.DUMMYFUNCTION("""COMPUTED_VALUE"""),"Kala Patel ")</f>
        <v xml:space="preserve">Kala Patel </v>
      </c>
      <c r="D181" s="1">
        <f ca="1">IFERROR(__xludf.DUMMYFUNCTION("""COMPUTED_VALUE"""),9016250929)</f>
        <v>9016250929</v>
      </c>
      <c r="E181" s="1" t="str">
        <f ca="1">IFERROR(__xludf.DUMMYFUNCTION("""COMPUTED_VALUE"""),"Yes")</f>
        <v>Yes</v>
      </c>
      <c r="F181" s="1" t="str">
        <f ca="1">IFERROR(__xludf.DUMMYFUNCTION("""COMPUTED_VALUE"""),"गुजराती")</f>
        <v>गुजराती</v>
      </c>
      <c r="G181" s="1" t="str">
        <f ca="1">IFERROR(__xludf.DUMMYFUNCTION("""COMPUTED_VALUE"""),"राष्ट्र निर्माण")</f>
        <v>राष्ट्र निर्माण</v>
      </c>
      <c r="H181" s="1"/>
      <c r="I181" s="1"/>
      <c r="J181" s="1"/>
      <c r="K181" s="1"/>
      <c r="L181" s="1"/>
      <c r="M181" s="1"/>
      <c r="N181" s="1"/>
      <c r="O181" s="1"/>
      <c r="P181" s="1"/>
      <c r="Q181" s="1"/>
      <c r="R181" s="1" t="str">
        <f ca="1">IFERROR(__xludf.DUMMYFUNCTION("""COMPUTED_VALUE"""),"राष्ट्र निर्माण")</f>
        <v>राष्ट्र निर्माण</v>
      </c>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f ca="1">IFERROR(__xludf.DUMMYFUNCTION("""COMPUTED_VALUE"""),34)</f>
        <v>34</v>
      </c>
      <c r="BX181" s="1">
        <f ca="1">IFERROR(__xludf.DUMMYFUNCTION("""COMPUTED_VALUE"""),34)</f>
        <v>34</v>
      </c>
      <c r="BY181" s="1">
        <f ca="1">IFERROR(__xludf.DUMMYFUNCTION("""COMPUTED_VALUE"""),4)</f>
        <v>4</v>
      </c>
      <c r="BZ181" s="1">
        <f ca="1">IFERROR(__xludf.DUMMYFUNCTION("""COMPUTED_VALUE"""),11)</f>
        <v>11</v>
      </c>
      <c r="CA181" s="1"/>
      <c r="CB181" s="1"/>
      <c r="CC181" s="1" t="str">
        <f ca="1">IFERROR(__xludf.DUMMYFUNCTION("""COMPUTED_VALUE"""),"નારીને વિકાસની તક આપો : G_PP_22")</f>
        <v>નારીને વિકાસની તક આપો : G_PP_22</v>
      </c>
      <c r="CD181" s="3" t="str">
        <f ca="1">IFERROR(__xludf.DUMMYFUNCTION("""COMPUTED_VALUE"""),"https://vicharkrantibooks.org/productdetail?product_id=3927")</f>
        <v>https://vicharkrantibooks.org/productdetail?product_id=3927</v>
      </c>
      <c r="CE181" s="1" t="str">
        <f ca="1">IFERROR(__xludf.DUMMYFUNCTION("""COMPUTED_VALUE"""),"Audiobook : નારીને વિકાસની તક આપો : G_PP_22 : kalagpatel1959@gmail.com : Recorded")</f>
        <v>Audiobook : નારીને વિકાસની તક આપો : G_PP_22 : kalagpatel1959@gmail.com : Recorded</v>
      </c>
      <c r="CF181" s="1" t="str">
        <f ca="1">IFERROR(__xludf.DUMMYFUNCTION("""COMPUTED_VALUE"""),"Audiobook : નારીને વિકાસની તક આપો : G_PP_22 : kalagpatel1959@gmail.com : Recorded")</f>
        <v>Audiobook : નારીને વિકાસની તક આપો : G_PP_22 : kalagpatel1959@gmail.com : Recorded</v>
      </c>
      <c r="CG181" s="1" t="str">
        <f ca="1">IFERROR(__xludf.DUMMYFUNCTION("""COMPUTED_VALUE"""),"Adarniya Kala Patel  ji નારીને વિકાસની તક આપો : G_PP_22 : Allocated on 04-Jun-24 Contact Number  9016250929")</f>
        <v>Adarniya Kala Patel  ji નારીને વિકાસની તક આપો : G_PP_22 : Allocated on 04-Jun-24 Contact Number  9016250929</v>
      </c>
      <c r="CH181" s="1" t="str">
        <f ca="1">IFERROR(__xludf.DUMMYFUNCTION("""COMPUTED_VALUE"""),"kalagpatel1959@gmail.com : નારીને વિકાસની તક આપો : G_PP_22")</f>
        <v>kalagpatel1959@gmail.com : નારીને વિકાસની તક આપો : G_PP_22</v>
      </c>
      <c r="CI181" s="5">
        <f ca="1">IFERROR(__xludf.DUMMYFUNCTION("""COMPUTED_VALUE"""),45447.394352118)</f>
        <v>45447.394352117997</v>
      </c>
    </row>
    <row r="182" spans="1:87" x14ac:dyDescent="0.25">
      <c r="A182" s="5">
        <f ca="1">IFERROR(__xludf.DUMMYFUNCTION("""COMPUTED_VALUE"""),45446.7444080902)</f>
        <v>45446.744408090199</v>
      </c>
      <c r="B182" s="1" t="str">
        <f ca="1">IFERROR(__xludf.DUMMYFUNCTION("""COMPUTED_VALUE"""),"ankurpausenlearn@gmail.com")</f>
        <v>ankurpausenlearn@gmail.com</v>
      </c>
      <c r="C182" s="1" t="str">
        <f ca="1">IFERROR(__xludf.DUMMYFUNCTION("""COMPUTED_VALUE"""),"Ankur Mehta")</f>
        <v>Ankur Mehta</v>
      </c>
      <c r="D182" s="1">
        <f ca="1">IFERROR(__xludf.DUMMYFUNCTION("""COMPUTED_VALUE"""),9011048159)</f>
        <v>9011048159</v>
      </c>
      <c r="E182" s="1" t="str">
        <f ca="1">IFERROR(__xludf.DUMMYFUNCTION("""COMPUTED_VALUE"""),"No")</f>
        <v>No</v>
      </c>
      <c r="F182" s="1" t="str">
        <f ca="1">IFERROR(__xludf.DUMMYFUNCTION("""COMPUTED_VALUE"""),"हिन्दी")</f>
        <v>हिन्दी</v>
      </c>
      <c r="G182" s="1" t="str">
        <f ca="1">IFERROR(__xludf.DUMMYFUNCTION("""COMPUTED_VALUE"""),"अध्यात्म, धर्म एवं दर्शन")</f>
        <v>अध्यात्म, धर्म एवं दर्शन</v>
      </c>
      <c r="H182" s="1" t="str">
        <f ca="1">IFERROR(__xludf.DUMMYFUNCTION("""COMPUTED_VALUE"""),"साधना")</f>
        <v>साधना</v>
      </c>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f ca="1">IFERROR(__xludf.DUMMYFUNCTION("""COMPUTED_VALUE"""),1)</f>
        <v>1</v>
      </c>
      <c r="BX182" s="1">
        <f ca="1">IFERROR(__xludf.DUMMYFUNCTION("""COMPUTED_VALUE"""),0)</f>
        <v>0</v>
      </c>
      <c r="BY182" s="1">
        <f ca="1">IFERROR(__xludf.DUMMYFUNCTION("""COMPUTED_VALUE"""),1)</f>
        <v>1</v>
      </c>
      <c r="BZ182" s="1">
        <f ca="1">IFERROR(__xludf.DUMMYFUNCTION("""COMPUTED_VALUE"""),0)</f>
        <v>0</v>
      </c>
      <c r="CA182" s="1"/>
      <c r="CB182" s="1"/>
      <c r="CC182" s="1" t="str">
        <f ca="1">IFERROR(__xludf.DUMMYFUNCTION("""COMPUTED_VALUE"""),"महाकाल का घोंसला शांतिकुंज : H_SC_09")</f>
        <v>महाकाल का घोंसला शांतिकुंज : H_SC_09</v>
      </c>
      <c r="CD182" s="3" t="str">
        <f ca="1">IFERROR(__xludf.DUMMYFUNCTION("""COMPUTED_VALUE"""),"https://vicharkrantibooks.org/productdetail?book_name=HINP0465_MAHAKAL_KA_GHONSALA_SHANTIKUNJ_xxyyyy&amp;product_id=1030")</f>
        <v>https://vicharkrantibooks.org/productdetail?book_name=HINP0465_MAHAKAL_KA_GHONSALA_SHANTIKUNJ_xxyyyy&amp;product_id=1030</v>
      </c>
      <c r="CE182" s="1" t="str">
        <f ca="1">IFERROR(__xludf.DUMMYFUNCTION("""COMPUTED_VALUE"""),"Audiobook : महाकाल का घोंसला शांतिकुंज : H_SC_09 : ankurpausenlearn@gmail.com : Recorded")</f>
        <v>Audiobook : महाकाल का घोंसला शांतिकुंज : H_SC_09 : ankurpausenlearn@gmail.com : Recorded</v>
      </c>
      <c r="CF182" s="1" t="str">
        <f ca="1">IFERROR(__xludf.DUMMYFUNCTION("""COMPUTED_VALUE"""),"#N/A")</f>
        <v>#N/A</v>
      </c>
      <c r="CG182" s="1" t="str">
        <f ca="1">IFERROR(__xludf.DUMMYFUNCTION("""COMPUTED_VALUE"""),"Adarniya Ankur Mehta ji महाकाल का घोंसला शांतिकुंज : H_SC_09 : Allocated on 03-Jun-24 Contact Number  9011048159")</f>
        <v>Adarniya Ankur Mehta ji महाकाल का घोंसला शांतिकुंज : H_SC_09 : Allocated on 03-Jun-24 Contact Number  9011048159</v>
      </c>
      <c r="CH182" s="1" t="str">
        <f ca="1">IFERROR(__xludf.DUMMYFUNCTION("""COMPUTED_VALUE"""),"ankurpausenlearn@gmail.com : महाकाल का घोंसला शांतिकुंज : H_SC_09")</f>
        <v>ankurpausenlearn@gmail.com : महाकाल का घोंसला शांतिकुंज : H_SC_09</v>
      </c>
      <c r="CI182" s="5">
        <f ca="1">IFERROR(__xludf.DUMMYFUNCTION("""COMPUTED_VALUE"""),45446.7444080902)</f>
        <v>45446.744408090199</v>
      </c>
    </row>
    <row r="183" spans="1:87" x14ac:dyDescent="0.25">
      <c r="A183" s="5">
        <f ca="1">IFERROR(__xludf.DUMMYFUNCTION("""COMPUTED_VALUE"""),45446.6295419213)</f>
        <v>45446.629541921298</v>
      </c>
      <c r="B183" s="1" t="str">
        <f ca="1">IFERROR(__xludf.DUMMYFUNCTION("""COMPUTED_VALUE"""),"vedikarangani@gmail.com")</f>
        <v>vedikarangani@gmail.com</v>
      </c>
      <c r="C183" s="1" t="str">
        <f ca="1">IFERROR(__xludf.DUMMYFUNCTION("""COMPUTED_VALUE"""),"Vedika")</f>
        <v>Vedika</v>
      </c>
      <c r="D183" s="1">
        <f ca="1">IFERROR(__xludf.DUMMYFUNCTION("""COMPUTED_VALUE"""),8160470521)</f>
        <v>8160470521</v>
      </c>
      <c r="E183" s="1" t="str">
        <f ca="1">IFERROR(__xludf.DUMMYFUNCTION("""COMPUTED_VALUE"""),"No")</f>
        <v>No</v>
      </c>
      <c r="F183" s="1" t="str">
        <f ca="1">IFERROR(__xludf.DUMMYFUNCTION("""COMPUTED_VALUE"""),"गुजराती")</f>
        <v>गुजराती</v>
      </c>
      <c r="G183" s="1" t="str">
        <f ca="1">IFERROR(__xludf.DUMMYFUNCTION("""COMPUTED_VALUE"""),"युग द्रष्टा पं. श्रीराम शर्मा आचार्यजी")</f>
        <v>युग द्रष्टा पं. श्रीराम शर्मा आचार्यजी</v>
      </c>
      <c r="H183" s="1"/>
      <c r="I183" s="1"/>
      <c r="J183" s="1"/>
      <c r="K183" s="1"/>
      <c r="L183" s="1"/>
      <c r="M183" s="1"/>
      <c r="N183" s="1"/>
      <c r="O183" s="1"/>
      <c r="P183" s="1" t="str">
        <f ca="1">IFERROR(__xludf.DUMMYFUNCTION("""COMPUTED_VALUE"""),"युगॠषी का जीवनदर्शन")</f>
        <v>युगॠषी का जीवनदर्शन</v>
      </c>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f ca="1">IFERROR(__xludf.DUMMYFUNCTION("""COMPUTED_VALUE"""),1)</f>
        <v>1</v>
      </c>
      <c r="BX183" s="1">
        <f ca="1">IFERROR(__xludf.DUMMYFUNCTION("""COMPUTED_VALUE"""),0)</f>
        <v>0</v>
      </c>
      <c r="BY183" s="1">
        <f ca="1">IFERROR(__xludf.DUMMYFUNCTION("""COMPUTED_VALUE"""),1)</f>
        <v>1</v>
      </c>
      <c r="BZ183" s="1">
        <f ca="1">IFERROR(__xludf.DUMMYFUNCTION("""COMPUTED_VALUE"""),0)</f>
        <v>0</v>
      </c>
      <c r="CA183" s="1"/>
      <c r="CB183" s="1"/>
      <c r="CC183" s="1" t="str">
        <f ca="1">IFERROR(__xludf.DUMMYFUNCTION("""COMPUTED_VALUE"""),"પ્રત્યેક ઘર બને દેવમંદિર અને જ્ઞાનમંદિર : G_JS_56")</f>
        <v>પ્રત્યેક ઘર બને દેવમંદિર અને જ્ઞાનમંદિર : G_JS_56</v>
      </c>
      <c r="CD183" s="3" t="str">
        <f ca="1">IFERROR(__xludf.DUMMYFUNCTION("""COMPUTED_VALUE"""),"https://vicharkrantibooks.org/productdetail?product_id=3781")</f>
        <v>https://vicharkrantibooks.org/productdetail?product_id=3781</v>
      </c>
      <c r="CE183" s="1" t="str">
        <f ca="1">IFERROR(__xludf.DUMMYFUNCTION("""COMPUTED_VALUE"""),"Audiobook : પ્રત્યેક ઘર બને દેવમંદિર અને જ્ઞાનમંદિર : G_JS_56 : vedikarangani@gmail.com : Recorded")</f>
        <v>Audiobook : પ્રત્યેક ઘર બને દેવમંદિર અને જ્ઞાનમંદિર : G_JS_56 : vedikarangani@gmail.com : Recorded</v>
      </c>
      <c r="CF183" s="1" t="str">
        <f ca="1">IFERROR(__xludf.DUMMYFUNCTION("""COMPUTED_VALUE"""),"#N/A")</f>
        <v>#N/A</v>
      </c>
      <c r="CG183" s="1" t="str">
        <f ca="1">IFERROR(__xludf.DUMMYFUNCTION("""COMPUTED_VALUE"""),"Adarniya Vedika ji પ્રત્યેક ઘર બને દેવમંદિર અને જ્ઞાનમંદિર : G_JS_56 : Allocated on 03-Jun-24 Contact Number  8160470521")</f>
        <v>Adarniya Vedika ji પ્રત્યેક ઘર બને દેવમંદિર અને જ્ઞાનમંદિર : G_JS_56 : Allocated on 03-Jun-24 Contact Number  8160470521</v>
      </c>
      <c r="CH183" s="1" t="str">
        <f ca="1">IFERROR(__xludf.DUMMYFUNCTION("""COMPUTED_VALUE"""),"vedikarangani@gmail.com : પ્રત્યેક ઘર બને દેવમંદિર અને જ્ઞાનમંદિર : G_JS_56")</f>
        <v>vedikarangani@gmail.com : પ્રત્યેક ઘર બને દેવમંદિર અને જ્ઞાનમંદિર : G_JS_56</v>
      </c>
      <c r="CI183" s="5">
        <f ca="1">IFERROR(__xludf.DUMMYFUNCTION("""COMPUTED_VALUE"""),45446.6295419213)</f>
        <v>45446.629541921298</v>
      </c>
    </row>
    <row r="184" spans="1:87" x14ac:dyDescent="0.25">
      <c r="A184" s="5">
        <f ca="1">IFERROR(__xludf.DUMMYFUNCTION("""COMPUTED_VALUE"""),45445.9387816435)</f>
        <v>45445.938781643497</v>
      </c>
      <c r="B184" s="1" t="str">
        <f ca="1">IFERROR(__xludf.DUMMYFUNCTION("""COMPUTED_VALUE"""),"nksaxena.yoga@gmail.com")</f>
        <v>nksaxena.yoga@gmail.com</v>
      </c>
      <c r="C184" s="1" t="str">
        <f ca="1">IFERROR(__xludf.DUMMYFUNCTION("""COMPUTED_VALUE"""),"Narendra Kumar Saxena ")</f>
        <v xml:space="preserve">Narendra Kumar Saxena </v>
      </c>
      <c r="D184" s="1" t="str">
        <f ca="1">IFERROR(__xludf.DUMMYFUNCTION("""COMPUTED_VALUE"""),"08826499188")</f>
        <v>08826499188</v>
      </c>
      <c r="E184" s="1" t="str">
        <f ca="1">IFERROR(__xludf.DUMMYFUNCTION("""COMPUTED_VALUE"""),"Yes")</f>
        <v>Yes</v>
      </c>
      <c r="F184" s="1" t="str">
        <f ca="1">IFERROR(__xludf.DUMMYFUNCTION("""COMPUTED_VALUE"""),"हिन्दी")</f>
        <v>हिन्दी</v>
      </c>
      <c r="G184" s="1" t="str">
        <f ca="1">IFERROR(__xludf.DUMMYFUNCTION("""COMPUTED_VALUE"""),"राष्ट्र निर्माण")</f>
        <v>राष्ट्र निर्माण</v>
      </c>
      <c r="H184" s="1"/>
      <c r="I184" s="1"/>
      <c r="J184" s="1"/>
      <c r="K184" s="1"/>
      <c r="L184" s="1"/>
      <c r="M184" s="1"/>
      <c r="N184" s="1"/>
      <c r="O184" s="1"/>
      <c r="P184" s="1"/>
      <c r="Q184" s="1"/>
      <c r="R184" s="1" t="str">
        <f ca="1">IFERROR(__xludf.DUMMYFUNCTION("""COMPUTED_VALUE"""),"सार्थक एवं समग्र शिक्षा")</f>
        <v>सार्थक एवं समग्र शिक्षा</v>
      </c>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f ca="1">IFERROR(__xludf.DUMMYFUNCTION("""COMPUTED_VALUE"""),29)</f>
        <v>29</v>
      </c>
      <c r="BX184" s="1">
        <f ca="1">IFERROR(__xludf.DUMMYFUNCTION("""COMPUTED_VALUE"""),30)</f>
        <v>30</v>
      </c>
      <c r="BY184" s="1">
        <f ca="1">IFERROR(__xludf.DUMMYFUNCTION("""COMPUTED_VALUE"""),3)</f>
        <v>3</v>
      </c>
      <c r="BZ184" s="1">
        <f ca="1">IFERROR(__xludf.DUMMYFUNCTION("""COMPUTED_VALUE"""),25)</f>
        <v>25</v>
      </c>
      <c r="CA184" s="1"/>
      <c r="CB184" s="1"/>
      <c r="CC184" s="1" t="str">
        <f ca="1">IFERROR(__xludf.DUMMYFUNCTION("""COMPUTED_VALUE"""),"बजट बना कर खर्च करें : Rare Book")</f>
        <v>बजट बना कर खर्च करें : Rare Book</v>
      </c>
      <c r="CD184" s="3" t="str">
        <f ca="1">IFERROR(__xludf.DUMMYFUNCTION("""COMPUTED_VALUE"""),"https://vicharkrantibooks.org/productdetail?book_name=HINP0586_BAJAT_BANA_KAR_KHARCH_KAREN_xx1981&amp;product_id=1151")</f>
        <v>https://vicharkrantibooks.org/productdetail?book_name=HINP0586_BAJAT_BANA_KAR_KHARCH_KAREN_xx1981&amp;product_id=1151</v>
      </c>
      <c r="CE184" s="1" t="str">
        <f ca="1">IFERROR(__xludf.DUMMYFUNCTION("""COMPUTED_VALUE"""),"Audiobook : बजट बना कर खर्च करें : Rare Book : nksaxena.yoga@gmail.com : Recorded")</f>
        <v>Audiobook : बजट बना कर खर्च करें : Rare Book : nksaxena.yoga@gmail.com : Recorded</v>
      </c>
      <c r="CF184" s="1" t="str">
        <f ca="1">IFERROR(__xludf.DUMMYFUNCTION("""COMPUTED_VALUE"""),"#N/A")</f>
        <v>#N/A</v>
      </c>
      <c r="CG184" s="1" t="str">
        <f ca="1">IFERROR(__xludf.DUMMYFUNCTION("""COMPUTED_VALUE"""),"Adarniya Narendra Kumar Saxena  ji बजट बना कर खर्च करें : Rare Book : Allocated on 02-Jun-24 Contact Number  08826499188")</f>
        <v>Adarniya Narendra Kumar Saxena  ji बजट बना कर खर्च करें : Rare Book : Allocated on 02-Jun-24 Contact Number  08826499188</v>
      </c>
      <c r="CH184" s="1" t="str">
        <f ca="1">IFERROR(__xludf.DUMMYFUNCTION("""COMPUTED_VALUE"""),"nksaxena.yoga@gmail.com : बजट बना कर खर्च करें : Rare Book")</f>
        <v>nksaxena.yoga@gmail.com : बजट बना कर खर्च करें : Rare Book</v>
      </c>
      <c r="CI184" s="5">
        <f ca="1">IFERROR(__xludf.DUMMYFUNCTION("""COMPUTED_VALUE"""),45445.9387816435)</f>
        <v>45445.938781643497</v>
      </c>
    </row>
    <row r="185" spans="1:87" x14ac:dyDescent="0.25">
      <c r="A185" s="5">
        <f ca="1">IFERROR(__xludf.DUMMYFUNCTION("""COMPUTED_VALUE"""),45445.6654472685)</f>
        <v>45445.665447268497</v>
      </c>
      <c r="B185" s="1" t="str">
        <f ca="1">IFERROR(__xludf.DUMMYFUNCTION("""COMPUTED_VALUE"""),"alok001@gmail.com")</f>
        <v>alok001@gmail.com</v>
      </c>
      <c r="C185" s="1" t="str">
        <f ca="1">IFERROR(__xludf.DUMMYFUNCTION("""COMPUTED_VALUE"""),"Alok")</f>
        <v>Alok</v>
      </c>
      <c r="D185" s="1">
        <f ca="1">IFERROR(__xludf.DUMMYFUNCTION("""COMPUTED_VALUE"""),9560033814)</f>
        <v>9560033814</v>
      </c>
      <c r="E185" s="1" t="str">
        <f ca="1">IFERROR(__xludf.DUMMYFUNCTION("""COMPUTED_VALUE"""),"Yes")</f>
        <v>Yes</v>
      </c>
      <c r="F185" s="1" t="str">
        <f ca="1">IFERROR(__xludf.DUMMYFUNCTION("""COMPUTED_VALUE"""),"हिन्दी")</f>
        <v>हिन्दी</v>
      </c>
      <c r="G185" s="1" t="str">
        <f ca="1">IFERROR(__xludf.DUMMYFUNCTION("""COMPUTED_VALUE"""),"अध्यात्म, धर्म एवं दर्शन")</f>
        <v>अध्यात्म, धर्म एवं दर्शन</v>
      </c>
      <c r="H185" s="1" t="str">
        <f ca="1">IFERROR(__xludf.DUMMYFUNCTION("""COMPUTED_VALUE"""),"अध्यात्म, धर्म एवं आस्तिकता")</f>
        <v>अध्यात्म, धर्म एवं आस्तिकता</v>
      </c>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f ca="1">IFERROR(__xludf.DUMMYFUNCTION("""COMPUTED_VALUE"""),1)</f>
        <v>1</v>
      </c>
      <c r="BX185" s="1">
        <f ca="1">IFERROR(__xludf.DUMMYFUNCTION("""COMPUTED_VALUE"""),33)</f>
        <v>33</v>
      </c>
      <c r="BY185" s="1">
        <f ca="1">IFERROR(__xludf.DUMMYFUNCTION("""COMPUTED_VALUE"""),1)</f>
        <v>1</v>
      </c>
      <c r="BZ185" s="1">
        <f ca="1">IFERROR(__xludf.DUMMYFUNCTION("""COMPUTED_VALUE"""),11)</f>
        <v>11</v>
      </c>
      <c r="CA185" s="1"/>
      <c r="CB185" s="1"/>
      <c r="CC185" s="1" t="str">
        <f ca="1">IFERROR(__xludf.DUMMYFUNCTION("""COMPUTED_VALUE"""),"आत्मिक प्रगति के तीन सोपान : Rare Book")</f>
        <v>आत्मिक प्रगति के तीन सोपान : Rare Book</v>
      </c>
      <c r="CD185" s="3" t="str">
        <f ca="1">IFERROR(__xludf.DUMMYFUNCTION("""COMPUTED_VALUE"""),"https://vicharkrantibooks.org/productdetail?book_name=HINF0051_ATMIK_PRAGATI_KE_TIN_SOPAN_xxyyyy&amp;product_id=271")</f>
        <v>https://vicharkrantibooks.org/productdetail?book_name=HINF0051_ATMIK_PRAGATI_KE_TIN_SOPAN_xxyyyy&amp;product_id=271</v>
      </c>
      <c r="CE185" s="1" t="str">
        <f ca="1">IFERROR(__xludf.DUMMYFUNCTION("""COMPUTED_VALUE"""),"Audiobook : आत्मिक प्रगति के तीन सोपान : Rare Book : alok001@gmail.com : Recorded")</f>
        <v>Audiobook : आत्मिक प्रगति के तीन सोपान : Rare Book : alok001@gmail.com : Recorded</v>
      </c>
      <c r="CF185" s="1" t="str">
        <f ca="1">IFERROR(__xludf.DUMMYFUNCTION("""COMPUTED_VALUE"""),"#N/A")</f>
        <v>#N/A</v>
      </c>
      <c r="CG185" s="1" t="str">
        <f ca="1">IFERROR(__xludf.DUMMYFUNCTION("""COMPUTED_VALUE"""),"Adarniya Alok ji आत्मिक प्रगति के तीन सोपान : Rare Book : Allocated on 02-Jun-24 Contact Number  9560033814")</f>
        <v>Adarniya Alok ji आत्मिक प्रगति के तीन सोपान : Rare Book : Allocated on 02-Jun-24 Contact Number  9560033814</v>
      </c>
      <c r="CH185" s="1" t="str">
        <f ca="1">IFERROR(__xludf.DUMMYFUNCTION("""COMPUTED_VALUE"""),"alok001@gmail.com : आत्मिक प्रगति के तीन सोपान : Rare Book")</f>
        <v>alok001@gmail.com : आत्मिक प्रगति के तीन सोपान : Rare Book</v>
      </c>
      <c r="CI185" s="5">
        <f ca="1">IFERROR(__xludf.DUMMYFUNCTION("""COMPUTED_VALUE"""),45445.6654472685)</f>
        <v>45445.665447268497</v>
      </c>
    </row>
    <row r="186" spans="1:87" x14ac:dyDescent="0.25">
      <c r="A186" s="5">
        <f ca="1">IFERROR(__xludf.DUMMYFUNCTION("""COMPUTED_VALUE"""),45445.4467283449)</f>
        <v>45445.446728344898</v>
      </c>
      <c r="B186" s="1" t="str">
        <f ca="1">IFERROR(__xludf.DUMMYFUNCTION("""COMPUTED_VALUE"""),"pmukhi1967@gmail.com")</f>
        <v>pmukhi1967@gmail.com</v>
      </c>
      <c r="C186" s="1" t="str">
        <f ca="1">IFERROR(__xludf.DUMMYFUNCTION("""COMPUTED_VALUE"""),"Padmini Mukhi ")</f>
        <v xml:space="preserve">Padmini Mukhi </v>
      </c>
      <c r="D186" s="1">
        <f ca="1">IFERROR(__xludf.DUMMYFUNCTION("""COMPUTED_VALUE"""),9711972245)</f>
        <v>9711972245</v>
      </c>
      <c r="E186" s="1" t="str">
        <f ca="1">IFERROR(__xludf.DUMMYFUNCTION("""COMPUTED_VALUE"""),"Yes")</f>
        <v>Yes</v>
      </c>
      <c r="F186" s="1" t="str">
        <f ca="1">IFERROR(__xludf.DUMMYFUNCTION("""COMPUTED_VALUE"""),"ओड़िया")</f>
        <v>ओड़िया</v>
      </c>
      <c r="G186" s="1" t="str">
        <f ca="1">IFERROR(__xludf.DUMMYFUNCTION("""COMPUTED_VALUE"""),"अध्यात्म, धर्म एवं दर्शन")</f>
        <v>अध्यात्म, धर्म एवं दर्शन</v>
      </c>
      <c r="H186" s="1" t="str">
        <f ca="1">IFERROR(__xludf.DUMMYFUNCTION("""COMPUTED_VALUE"""),"अध्यात्म, धर्म एवं आस्तिकता")</f>
        <v>अध्यात्म, धर्म एवं आस्तिकता</v>
      </c>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f ca="1">IFERROR(__xludf.DUMMYFUNCTION("""COMPUTED_VALUE"""),4)</f>
        <v>4</v>
      </c>
      <c r="BX186" s="1">
        <f ca="1">IFERROR(__xludf.DUMMYFUNCTION("""COMPUTED_VALUE"""),2)</f>
        <v>2</v>
      </c>
      <c r="BY186" s="1">
        <f ca="1">IFERROR(__xludf.DUMMYFUNCTION("""COMPUTED_VALUE"""),2)</f>
        <v>2</v>
      </c>
      <c r="BZ186" s="1">
        <f ca="1">IFERROR(__xludf.DUMMYFUNCTION("""COMPUTED_VALUE"""),0)</f>
        <v>0</v>
      </c>
      <c r="CA186" s="1"/>
      <c r="CB186" s="1"/>
      <c r="CC186" s="1" t="str">
        <f ca="1">IFERROR(__xludf.DUMMYFUNCTION("""COMPUTED_VALUE"""),"JUGA DEBATA NKA APIL")</f>
        <v>JUGA DEBATA NKA APIL</v>
      </c>
      <c r="CD186" s="3" t="str">
        <f ca="1">IFERROR(__xludf.DUMMYFUNCTION("""COMPUTED_VALUE"""),"https://drive.google.com/file/d/11t-nT0lO5qFfF_4h3WZHb8-GkdCOK-93/view?usp=sharing")</f>
        <v>https://drive.google.com/file/d/11t-nT0lO5qFfF_4h3WZHb8-GkdCOK-93/view?usp=sharing</v>
      </c>
      <c r="CE186" s="1" t="str">
        <f ca="1">IFERROR(__xludf.DUMMYFUNCTION("""COMPUTED_VALUE"""),"Audiobook : JUGA DEBATA NKA APIL : pmukhi1967@gmail.com : Recorded")</f>
        <v>Audiobook : JUGA DEBATA NKA APIL : pmukhi1967@gmail.com : Recorded</v>
      </c>
      <c r="CF186" s="1" t="str">
        <f ca="1">IFERROR(__xludf.DUMMYFUNCTION("""COMPUTED_VALUE"""),"Audiobook : JUGA DEBATA NKA APIL : pmukhi1967@gmail.com : Recorded")</f>
        <v>Audiobook : JUGA DEBATA NKA APIL : pmukhi1967@gmail.com : Recorded</v>
      </c>
      <c r="CG186" s="1" t="str">
        <f ca="1">IFERROR(__xludf.DUMMYFUNCTION("""COMPUTED_VALUE"""),"Adarniya Padmini Mukhi  ji JUGA DEBATA NKA APIL : Allocated on 02-Jun-24 Contact Number  9711972245")</f>
        <v>Adarniya Padmini Mukhi  ji JUGA DEBATA NKA APIL : Allocated on 02-Jun-24 Contact Number  9711972245</v>
      </c>
      <c r="CH186" s="1" t="str">
        <f ca="1">IFERROR(__xludf.DUMMYFUNCTION("""COMPUTED_VALUE"""),"pmukhi1967@gmail.com : JUGA DEBATA NKA APIL")</f>
        <v>pmukhi1967@gmail.com : JUGA DEBATA NKA APIL</v>
      </c>
      <c r="CI186" s="5">
        <f ca="1">IFERROR(__xludf.DUMMYFUNCTION("""COMPUTED_VALUE"""),45445.4467283449)</f>
        <v>45445.446728344898</v>
      </c>
    </row>
    <row r="187" spans="1:87" x14ac:dyDescent="0.25">
      <c r="A187" s="5">
        <f ca="1">IFERROR(__xludf.DUMMYFUNCTION("""COMPUTED_VALUE"""),45445.3031656828)</f>
        <v>45445.303165682803</v>
      </c>
      <c r="B187" s="1" t="str">
        <f ca="1">IFERROR(__xludf.DUMMYFUNCTION("""COMPUTED_VALUE"""),"kalagpatel1959@gmail.com")</f>
        <v>kalagpatel1959@gmail.com</v>
      </c>
      <c r="C187" s="1" t="str">
        <f ca="1">IFERROR(__xludf.DUMMYFUNCTION("""COMPUTED_VALUE"""),"Kala Patel ")</f>
        <v xml:space="preserve">Kala Patel </v>
      </c>
      <c r="D187" s="1">
        <f ca="1">IFERROR(__xludf.DUMMYFUNCTION("""COMPUTED_VALUE"""),9016250929)</f>
        <v>9016250929</v>
      </c>
      <c r="E187" s="1" t="str">
        <f ca="1">IFERROR(__xludf.DUMMYFUNCTION("""COMPUTED_VALUE"""),"Yes")</f>
        <v>Yes</v>
      </c>
      <c r="F187" s="1" t="str">
        <f ca="1">IFERROR(__xludf.DUMMYFUNCTION("""COMPUTED_VALUE"""),"गुजराती")</f>
        <v>गुजराती</v>
      </c>
      <c r="G187" s="1" t="str">
        <f ca="1">IFERROR(__xludf.DUMMYFUNCTION("""COMPUTED_VALUE"""),"जीवन प्रबंध")</f>
        <v>जीवन प्रबंध</v>
      </c>
      <c r="H187" s="1"/>
      <c r="I187" s="1"/>
      <c r="J187" s="1"/>
      <c r="K187" s="1"/>
      <c r="L187" s="1" t="str">
        <f ca="1">IFERROR(__xludf.DUMMYFUNCTION("""COMPUTED_VALUE"""),"मानव जीवन की गरिमा")</f>
        <v>मानव जीवन की गरिमा</v>
      </c>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f ca="1">IFERROR(__xludf.DUMMYFUNCTION("""COMPUTED_VALUE"""),34)</f>
        <v>34</v>
      </c>
      <c r="BX187" s="1">
        <f ca="1">IFERROR(__xludf.DUMMYFUNCTION("""COMPUTED_VALUE"""),34)</f>
        <v>34</v>
      </c>
      <c r="BY187" s="1">
        <f ca="1">IFERROR(__xludf.DUMMYFUNCTION("""COMPUTED_VALUE"""),4)</f>
        <v>4</v>
      </c>
      <c r="BZ187" s="1">
        <f ca="1">IFERROR(__xludf.DUMMYFUNCTION("""COMPUTED_VALUE"""),11)</f>
        <v>11</v>
      </c>
      <c r="CA187" s="1"/>
      <c r="CB187" s="1"/>
      <c r="CC187" s="1" t="str">
        <f ca="1">IFERROR(__xludf.DUMMYFUNCTION("""COMPUTED_VALUE"""),"આધ્યાત્મનો મર્મ સમજો : G_JS_42")</f>
        <v>આધ્યાત્મનો મર્મ સમજો : G_JS_42</v>
      </c>
      <c r="CD187" s="3" t="str">
        <f ca="1">IFERROR(__xludf.DUMMYFUNCTION("""COMPUTED_VALUE"""),"https://vicharkrantibooks.org/productdetail?product_id=3767")</f>
        <v>https://vicharkrantibooks.org/productdetail?product_id=3767</v>
      </c>
      <c r="CE187" s="1" t="str">
        <f ca="1">IFERROR(__xludf.DUMMYFUNCTION("""COMPUTED_VALUE"""),"Audiobook : આધ્યાત્મનો મર્મ સમજો : G_JS_42 : kalagpatel1959@gmail.com : Recorded")</f>
        <v>Audiobook : આધ્યાત્મનો મર્મ સમજો : G_JS_42 : kalagpatel1959@gmail.com : Recorded</v>
      </c>
      <c r="CF187" s="1" t="str">
        <f ca="1">IFERROR(__xludf.DUMMYFUNCTION("""COMPUTED_VALUE"""),"Audiobook : આધ્યાત્મનો મર્મ સમજો : G_JS_42 : kalagpatel1959@gmail.com : Recorded")</f>
        <v>Audiobook : આધ્યાત્મનો મર્મ સમજો : G_JS_42 : kalagpatel1959@gmail.com : Recorded</v>
      </c>
      <c r="CG187" s="1" t="str">
        <f ca="1">IFERROR(__xludf.DUMMYFUNCTION("""COMPUTED_VALUE"""),"Adarniya Kala Patel  ji આધ્યાત્મનો મર્મ સમજો : G_JS_42 : Allocated on 02-Jun-24 Contact Number  9016250929")</f>
        <v>Adarniya Kala Patel  ji આધ્યાત્મનો મર્મ સમજો : G_JS_42 : Allocated on 02-Jun-24 Contact Number  9016250929</v>
      </c>
      <c r="CH187" s="1" t="str">
        <f ca="1">IFERROR(__xludf.DUMMYFUNCTION("""COMPUTED_VALUE"""),"kalagpatel1959@gmail.com : આધ્યાત્મનો મર્મ સમજો : G_JS_42")</f>
        <v>kalagpatel1959@gmail.com : આધ્યાત્મનો મર્મ સમજો : G_JS_42</v>
      </c>
      <c r="CI187" s="5">
        <f ca="1">IFERROR(__xludf.DUMMYFUNCTION("""COMPUTED_VALUE"""),45445.3031656828)</f>
        <v>45445.303165682803</v>
      </c>
    </row>
    <row r="188" spans="1:87" x14ac:dyDescent="0.25">
      <c r="A188" s="5">
        <f ca="1">IFERROR(__xludf.DUMMYFUNCTION("""COMPUTED_VALUE"""),45444.7072620486)</f>
        <v>45444.7072620486</v>
      </c>
      <c r="B188" s="1" t="str">
        <f ca="1">IFERROR(__xludf.DUMMYFUNCTION("""COMPUTED_VALUE"""),"druma4107@gmail.com")</f>
        <v>druma4107@gmail.com</v>
      </c>
      <c r="C188" s="1" t="str">
        <f ca="1">IFERROR(__xludf.DUMMYFUNCTION("""COMPUTED_VALUE"""),"Dr Uma Agrawal ")</f>
        <v xml:space="preserve">Dr Uma Agrawal </v>
      </c>
      <c r="D188" s="1">
        <f ca="1">IFERROR(__xludf.DUMMYFUNCTION("""COMPUTED_VALUE"""),9410861182)</f>
        <v>9410861182</v>
      </c>
      <c r="E188" s="1" t="str">
        <f ca="1">IFERROR(__xludf.DUMMYFUNCTION("""COMPUTED_VALUE"""),"Yes")</f>
        <v>Yes</v>
      </c>
      <c r="F188" s="1" t="str">
        <f ca="1">IFERROR(__xludf.DUMMYFUNCTION("""COMPUTED_VALUE"""),"हिन्दी")</f>
        <v>हिन्दी</v>
      </c>
      <c r="G188" s="1" t="str">
        <f ca="1">IFERROR(__xludf.DUMMYFUNCTION("""COMPUTED_VALUE"""),"अध्यात्म, धर्म एवं दर्शन")</f>
        <v>अध्यात्म, धर्म एवं दर्शन</v>
      </c>
      <c r="H188" s="1" t="str">
        <f ca="1">IFERROR(__xludf.DUMMYFUNCTION("""COMPUTED_VALUE"""),"साधना")</f>
        <v>साधना</v>
      </c>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f ca="1">IFERROR(__xludf.DUMMYFUNCTION("""COMPUTED_VALUE"""),104)</f>
        <v>104</v>
      </c>
      <c r="BX188" s="1">
        <f ca="1">IFERROR(__xludf.DUMMYFUNCTION("""COMPUTED_VALUE"""),106)</f>
        <v>106</v>
      </c>
      <c r="BY188" s="1">
        <f ca="1">IFERROR(__xludf.DUMMYFUNCTION("""COMPUTED_VALUE"""),9)</f>
        <v>9</v>
      </c>
      <c r="BZ188" s="1">
        <f ca="1">IFERROR(__xludf.DUMMYFUNCTION("""COMPUTED_VALUE"""),43)</f>
        <v>43</v>
      </c>
      <c r="CA188" s="1"/>
      <c r="CB188" s="1"/>
      <c r="CC188" s="1" t="str">
        <f ca="1">IFERROR(__xludf.DUMMYFUNCTION("""COMPUTED_VALUE"""),"देवत्व का उदय युग साधना द्धारा : Rare Book")</f>
        <v>देवत्व का उदय युग साधना द्धारा : Rare Book</v>
      </c>
      <c r="CD188" s="3" t="str">
        <f ca="1">IFERROR(__xludf.DUMMYFUNCTION("""COMPUTED_VALUE"""),"https://vicharkrantibooks.org/productdetail?book_name=HINP0223_DEVATV_KA_UDAY_YUG_SADHANA_DVARA_xx1982&amp;product_id=788")</f>
        <v>https://vicharkrantibooks.org/productdetail?book_name=HINP0223_DEVATV_KA_UDAY_YUG_SADHANA_DVARA_xx1982&amp;product_id=788</v>
      </c>
      <c r="CE188" s="1" t="str">
        <f ca="1">IFERROR(__xludf.DUMMYFUNCTION("""COMPUTED_VALUE"""),"Audiobook : देवत्व का उदय युग साधना द्धारा : Rare Book : druma4107@gmail.com : Recorded")</f>
        <v>Audiobook : देवत्व का उदय युग साधना द्धारा : Rare Book : druma4107@gmail.com : Recorded</v>
      </c>
      <c r="CF188" s="1" t="str">
        <f ca="1">IFERROR(__xludf.DUMMYFUNCTION("""COMPUTED_VALUE"""),"Audiobook : देवत्व का उदय युग साधना द्धारा : Rare Book : druma4107@gmail.com : Recorded")</f>
        <v>Audiobook : देवत्व का उदय युग साधना द्धारा : Rare Book : druma4107@gmail.com : Recorded</v>
      </c>
      <c r="CG188" s="1" t="str">
        <f ca="1">IFERROR(__xludf.DUMMYFUNCTION("""COMPUTED_VALUE"""),"Adarniya Dr Uma Agrawal  ji देवत्व का उदय युग साधना द्धारा : Rare Book : Allocated on 01-Jun-24 Contact Number  9410861182")</f>
        <v>Adarniya Dr Uma Agrawal  ji देवत्व का उदय युग साधना द्धारा : Rare Book : Allocated on 01-Jun-24 Contact Number  9410861182</v>
      </c>
      <c r="CH188" s="1" t="str">
        <f ca="1">IFERROR(__xludf.DUMMYFUNCTION("""COMPUTED_VALUE"""),"druma4107@gmail.com : देवत्व का उदय युग साधना द्धारा : Rare Book")</f>
        <v>druma4107@gmail.com : देवत्व का उदय युग साधना द्धारा : Rare Book</v>
      </c>
      <c r="CI188" s="5">
        <f ca="1">IFERROR(__xludf.DUMMYFUNCTION("""COMPUTED_VALUE"""),45444.7072620486)</f>
        <v>45444.7072620486</v>
      </c>
    </row>
    <row r="189" spans="1:87" x14ac:dyDescent="0.25">
      <c r="A189" s="5">
        <f ca="1">IFERROR(__xludf.DUMMYFUNCTION("""COMPUTED_VALUE"""),45444.0076861574)</f>
        <v>45444.007686157398</v>
      </c>
      <c r="B189" s="1" t="str">
        <f ca="1">IFERROR(__xludf.DUMMYFUNCTION("""COMPUTED_VALUE"""),"dave.chhaya@gmail.com")</f>
        <v>dave.chhaya@gmail.com</v>
      </c>
      <c r="C189" s="1" t="str">
        <f ca="1">IFERROR(__xludf.DUMMYFUNCTION("""COMPUTED_VALUE"""),"Chhaya Deepak Dave ")</f>
        <v xml:space="preserve">Chhaya Deepak Dave </v>
      </c>
      <c r="D189" s="1">
        <f ca="1">IFERROR(__xludf.DUMMYFUNCTION("""COMPUTED_VALUE"""),9879596556)</f>
        <v>9879596556</v>
      </c>
      <c r="E189" s="1" t="str">
        <f ca="1">IFERROR(__xludf.DUMMYFUNCTION("""COMPUTED_VALUE"""),"Yes")</f>
        <v>Yes</v>
      </c>
      <c r="F189" s="1" t="str">
        <f ca="1">IFERROR(__xludf.DUMMYFUNCTION("""COMPUTED_VALUE"""),"गुजराती")</f>
        <v>गुजराती</v>
      </c>
      <c r="G189" s="1" t="str">
        <f ca="1">IFERROR(__xludf.DUMMYFUNCTION("""COMPUTED_VALUE"""),"समग्र स्वास्थ्य")</f>
        <v>समग्र स्वास्थ्य</v>
      </c>
      <c r="H189" s="1"/>
      <c r="I189" s="1"/>
      <c r="J189" s="1"/>
      <c r="K189" s="1"/>
      <c r="L189" s="1"/>
      <c r="M189" s="1"/>
      <c r="N189" s="1"/>
      <c r="O189" s="1"/>
      <c r="P189" s="1"/>
      <c r="Q189" s="1"/>
      <c r="R189" s="1"/>
      <c r="S189" s="1"/>
      <c r="T189" s="1"/>
      <c r="U189" s="1" t="str">
        <f ca="1">IFERROR(__xludf.DUMMYFUNCTION("""COMPUTED_VALUE"""),"आहार-विहार एवं उपवास")</f>
        <v>आहार-विहार एवं उपवास</v>
      </c>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f ca="1">IFERROR(__xludf.DUMMYFUNCTION("""COMPUTED_VALUE"""),46)</f>
        <v>46</v>
      </c>
      <c r="BX189" s="1">
        <f ca="1">IFERROR(__xludf.DUMMYFUNCTION("""COMPUTED_VALUE"""),39)</f>
        <v>39</v>
      </c>
      <c r="BY189" s="1">
        <f ca="1">IFERROR(__xludf.DUMMYFUNCTION("""COMPUTED_VALUE"""),6)</f>
        <v>6</v>
      </c>
      <c r="BZ189" s="1">
        <f ca="1">IFERROR(__xludf.DUMMYFUNCTION("""COMPUTED_VALUE"""),16)</f>
        <v>16</v>
      </c>
      <c r="CA189" s="1"/>
      <c r="CB189" s="1"/>
      <c r="CC189" s="1" t="str">
        <f ca="1">IFERROR(__xludf.DUMMYFUNCTION("""COMPUTED_VALUE"""),"નારી દરેક ક્ષેત્રમાં આગળ વધે : G_PP_43")</f>
        <v>નારી દરેક ક્ષેત્રમાં આગળ વધે : G_PP_43</v>
      </c>
      <c r="CD189" s="3" t="str">
        <f ca="1">IFERROR(__xludf.DUMMYFUNCTION("""COMPUTED_VALUE"""),"https://vicharkrantibooks.org/productdetail?product_id=3948")</f>
        <v>https://vicharkrantibooks.org/productdetail?product_id=3948</v>
      </c>
      <c r="CE189" s="1" t="str">
        <f ca="1">IFERROR(__xludf.DUMMYFUNCTION("""COMPUTED_VALUE"""),"Audiobook : નારી દરેક ક્ષેત્રમાં આગળ વધે : G_PP_43 : dave.chhaya@gmail.com : Recorded")</f>
        <v>Audiobook : નારી દરેક ક્ષેત્રમાં આગળ વધે : G_PP_43 : dave.chhaya@gmail.com : Recorded</v>
      </c>
      <c r="CF189" s="1" t="str">
        <f ca="1">IFERROR(__xludf.DUMMYFUNCTION("""COMPUTED_VALUE"""),"#N/A")</f>
        <v>#N/A</v>
      </c>
      <c r="CG189" s="1" t="str">
        <f ca="1">IFERROR(__xludf.DUMMYFUNCTION("""COMPUTED_VALUE"""),"Adarniya Chhaya Deepak Dave  ji નારી દરેક ક્ષેત્રમાં આગળ વધે : G_PP_43 : Allocated on 01-Jun-24 Contact Number  9879596556")</f>
        <v>Adarniya Chhaya Deepak Dave  ji નારી દરેક ક્ષેત્રમાં આગળ વધે : G_PP_43 : Allocated on 01-Jun-24 Contact Number  9879596556</v>
      </c>
      <c r="CH189" s="1" t="str">
        <f ca="1">IFERROR(__xludf.DUMMYFUNCTION("""COMPUTED_VALUE"""),"dave.chhaya@gmail.com : નારી દરેક ક્ષેત્રમાં આગળ વધે : G_PP_43")</f>
        <v>dave.chhaya@gmail.com : નારી દરેક ક્ષેત્રમાં આગળ વધે : G_PP_43</v>
      </c>
      <c r="CI189" s="5">
        <f ca="1">IFERROR(__xludf.DUMMYFUNCTION("""COMPUTED_VALUE"""),45444.0076861574)</f>
        <v>45444.007686157398</v>
      </c>
    </row>
    <row r="190" spans="1:87" x14ac:dyDescent="0.25">
      <c r="A190" s="5">
        <f ca="1">IFERROR(__xludf.DUMMYFUNCTION("""COMPUTED_VALUE"""),45443.7979785995)</f>
        <v>45443.797978599498</v>
      </c>
      <c r="B190" s="1" t="str">
        <f ca="1">IFERROR(__xludf.DUMMYFUNCTION("""COMPUTED_VALUE"""),"sarojchandak664@gmail.com")</f>
        <v>sarojchandak664@gmail.com</v>
      </c>
      <c r="C190" s="1" t="str">
        <f ca="1">IFERROR(__xludf.DUMMYFUNCTION("""COMPUTED_VALUE"""),"सौ सरोज  लालचंद चाडंक")</f>
        <v>सौ सरोज  लालचंद चाडंक</v>
      </c>
      <c r="D190" s="1">
        <f ca="1">IFERROR(__xludf.DUMMYFUNCTION("""COMPUTED_VALUE"""),9665283828)</f>
        <v>9665283828</v>
      </c>
      <c r="E190" s="1" t="str">
        <f ca="1">IFERROR(__xludf.DUMMYFUNCTION("""COMPUTED_VALUE"""),"Yes")</f>
        <v>Yes</v>
      </c>
      <c r="F190" s="1" t="str">
        <f ca="1">IFERROR(__xludf.DUMMYFUNCTION("""COMPUTED_VALUE"""),"हिन्दी")</f>
        <v>हिन्दी</v>
      </c>
      <c r="G190" s="1" t="str">
        <f ca="1">IFERROR(__xludf.DUMMYFUNCTION("""COMPUTED_VALUE"""),"गायत्री परिवार")</f>
        <v>गायत्री परिवार</v>
      </c>
      <c r="H190" s="1"/>
      <c r="I190" s="1"/>
      <c r="J190" s="1" t="str">
        <f ca="1">IFERROR(__xludf.DUMMYFUNCTION("""COMPUTED_VALUE"""),"प्रमुख संस्थान, प्रकाशन एवं आंदोलन")</f>
        <v>प्रमुख संस्थान, प्रकाशन एवं आंदोलन</v>
      </c>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f ca="1">IFERROR(__xludf.DUMMYFUNCTION("""COMPUTED_VALUE"""),2)</f>
        <v>2</v>
      </c>
      <c r="BX190" s="1">
        <f ca="1">IFERROR(__xludf.DUMMYFUNCTION("""COMPUTED_VALUE"""),0)</f>
        <v>0</v>
      </c>
      <c r="BY190" s="1">
        <f ca="1">IFERROR(__xludf.DUMMYFUNCTION("""COMPUTED_VALUE"""),2)</f>
        <v>2</v>
      </c>
      <c r="BZ190" s="1">
        <f ca="1">IFERROR(__xludf.DUMMYFUNCTION("""COMPUTED_VALUE"""),0)</f>
        <v>0</v>
      </c>
      <c r="CA190" s="1"/>
      <c r="CB190" s="1"/>
      <c r="CC190" s="1" t="str">
        <f ca="1">IFERROR(__xludf.DUMMYFUNCTION("""COMPUTED_VALUE"""),"Sample")</f>
        <v>Sample</v>
      </c>
      <c r="CD190" s="1" t="str">
        <f ca="1">IFERROR(__xludf.DUMMYFUNCTION("""COMPUTED_VALUE"""),"#N/A")</f>
        <v>#N/A</v>
      </c>
      <c r="CE190" s="1" t="str">
        <f ca="1">IFERROR(__xludf.DUMMYFUNCTION("""COMPUTED_VALUE"""),"Audiobook : Sample : sarojchandak664@gmail.com : Recorded")</f>
        <v>Audiobook : Sample : sarojchandak664@gmail.com : Recorded</v>
      </c>
      <c r="CF190" s="1" t="str">
        <f ca="1">IFERROR(__xludf.DUMMYFUNCTION("""COMPUTED_VALUE"""),"#N/A")</f>
        <v>#N/A</v>
      </c>
      <c r="CG190" s="1" t="str">
        <f ca="1">IFERROR(__xludf.DUMMYFUNCTION("""COMPUTED_VALUE"""),"Adarniya सौ सरोज  लालचंद चाडंक ji Sample : Allocated on 31-May-24 Contact Number  9665283828")</f>
        <v>Adarniya सौ सरोज  लालचंद चाडंक ji Sample : Allocated on 31-May-24 Contact Number  9665283828</v>
      </c>
      <c r="CH190" s="1" t="str">
        <f ca="1">IFERROR(__xludf.DUMMYFUNCTION("""COMPUTED_VALUE"""),"sarojchandak664@gmail.com : Sample")</f>
        <v>sarojchandak664@gmail.com : Sample</v>
      </c>
      <c r="CI190" s="5">
        <f ca="1">IFERROR(__xludf.DUMMYFUNCTION("""COMPUTED_VALUE"""),45443.7979785995)</f>
        <v>45443.797978599498</v>
      </c>
    </row>
    <row r="191" spans="1:87" x14ac:dyDescent="0.25">
      <c r="A191" s="5">
        <f ca="1">IFERROR(__xludf.DUMMYFUNCTION("""COMPUTED_VALUE"""),45443.5929098611)</f>
        <v>45443.592909861101</v>
      </c>
      <c r="B191" s="1" t="str">
        <f ca="1">IFERROR(__xludf.DUMMYFUNCTION("""COMPUTED_VALUE"""),"premlatadevi4669@gmail.com")</f>
        <v>premlatadevi4669@gmail.com</v>
      </c>
      <c r="C191" s="1" t="str">
        <f ca="1">IFERROR(__xludf.DUMMYFUNCTION("""COMPUTED_VALUE"""),"Premlata barnwal ")</f>
        <v xml:space="preserve">Premlata barnwal </v>
      </c>
      <c r="D191" s="1">
        <f ca="1">IFERROR(__xludf.DUMMYFUNCTION("""COMPUTED_VALUE"""),9372282030)</f>
        <v>9372282030</v>
      </c>
      <c r="E191" s="1" t="str">
        <f ca="1">IFERROR(__xludf.DUMMYFUNCTION("""COMPUTED_VALUE"""),"Yes")</f>
        <v>Yes</v>
      </c>
      <c r="F191" s="1" t="str">
        <f ca="1">IFERROR(__xludf.DUMMYFUNCTION("""COMPUTED_VALUE"""),"हिन्दी")</f>
        <v>हिन्दी</v>
      </c>
      <c r="G191" s="1" t="str">
        <f ca="1">IFERROR(__xludf.DUMMYFUNCTION("""COMPUTED_VALUE"""),"परिवार निर्माण का कोई भी पुस्तक ")</f>
        <v xml:space="preserve">परिवार निर्माण का कोई भी पुस्तक </v>
      </c>
      <c r="H191" s="1" t="str">
        <f ca="1">IFERROR(__xludf.DUMMYFUNCTION("""COMPUTED_VALUE"""),"आत्मज्ञान एवं आत्मनिर्माण")</f>
        <v>आत्मज्ञान एवं आत्मनिर्माण</v>
      </c>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f ca="1">IFERROR(__xludf.DUMMYFUNCTION("""COMPUTED_VALUE"""),13)</f>
        <v>13</v>
      </c>
      <c r="BX191" s="1">
        <f ca="1">IFERROR(__xludf.DUMMYFUNCTION("""COMPUTED_VALUE"""),10)</f>
        <v>10</v>
      </c>
      <c r="BY191" s="1">
        <f ca="1">IFERROR(__xludf.DUMMYFUNCTION("""COMPUTED_VALUE"""),7)</f>
        <v>7</v>
      </c>
      <c r="BZ191" s="1">
        <f ca="1">IFERROR(__xludf.DUMMYFUNCTION("""COMPUTED_VALUE"""),2)</f>
        <v>2</v>
      </c>
      <c r="CA191" s="1"/>
      <c r="CB191" s="1"/>
      <c r="CC191" s="1" t="str">
        <f ca="1">IFERROR(__xludf.DUMMYFUNCTION("""COMPUTED_VALUE"""),"बालकों में सत्प्रवॄत्तियों का बीजारोपण : Rare Book")</f>
        <v>बालकों में सत्प्रवॄत्तियों का बीजारोपण : Rare Book</v>
      </c>
      <c r="CD191" s="3" t="str">
        <f ca="1">IFERROR(__xludf.DUMMYFUNCTION("""COMPUTED_VALUE"""),"https://vicharkrantibooks.org/productdetail?book_name=HINP0130_BALAKON_MEIN_SATPRAVRUTTIYON_KA_BIJAROPAN_xx1981&amp;product_id=695")</f>
        <v>https://vicharkrantibooks.org/productdetail?book_name=HINP0130_BALAKON_MEIN_SATPRAVRUTTIYON_KA_BIJAROPAN_xx1981&amp;product_id=695</v>
      </c>
      <c r="CE191" s="1" t="str">
        <f ca="1">IFERROR(__xludf.DUMMYFUNCTION("""COMPUTED_VALUE"""),"Audiobook : बालकों में सत्प्रवॄत्तियों का बीजारोपण : Rare Book : premlatadevi4669@gmail.com : Recorded")</f>
        <v>Audiobook : बालकों में सत्प्रवॄत्तियों का बीजारोपण : Rare Book : premlatadevi4669@gmail.com : Recorded</v>
      </c>
      <c r="CF191" s="1" t="str">
        <f ca="1">IFERROR(__xludf.DUMMYFUNCTION("""COMPUTED_VALUE"""),"#N/A")</f>
        <v>#N/A</v>
      </c>
      <c r="CG191" s="1" t="str">
        <f ca="1">IFERROR(__xludf.DUMMYFUNCTION("""COMPUTED_VALUE"""),"Adarniya Premlata barnwal  ji बालकों में सत्प्रवॄत्तियों का बीजारोपण : Rare Book : Allocated on 31-May-24 Contact Number  9372282030")</f>
        <v>Adarniya Premlata barnwal  ji बालकों में सत्प्रवॄत्तियों का बीजारोपण : Rare Book : Allocated on 31-May-24 Contact Number  9372282030</v>
      </c>
      <c r="CH191" s="1" t="str">
        <f ca="1">IFERROR(__xludf.DUMMYFUNCTION("""COMPUTED_VALUE"""),"premlatadevi4669@gmail.com : बालकों में सत्प्रवॄत्तियों का बीजारोपण : Rare Book")</f>
        <v>premlatadevi4669@gmail.com : बालकों में सत्प्रवॄत्तियों का बीजारोपण : Rare Book</v>
      </c>
      <c r="CI191" s="5">
        <f ca="1">IFERROR(__xludf.DUMMYFUNCTION("""COMPUTED_VALUE"""),45443.5929098611)</f>
        <v>45443.592909861101</v>
      </c>
    </row>
    <row r="192" spans="1:87" x14ac:dyDescent="0.25">
      <c r="A192" s="5">
        <f ca="1">IFERROR(__xludf.DUMMYFUNCTION("""COMPUTED_VALUE"""),45443.5611786111)</f>
        <v>45443.561178611097</v>
      </c>
      <c r="B192" s="1" t="str">
        <f ca="1">IFERROR(__xludf.DUMMYFUNCTION("""COMPUTED_VALUE"""),"kalagpatel1959@gmail.com")</f>
        <v>kalagpatel1959@gmail.com</v>
      </c>
      <c r="C192" s="1" t="str">
        <f ca="1">IFERROR(__xludf.DUMMYFUNCTION("""COMPUTED_VALUE"""),"Kala Patel ")</f>
        <v xml:space="preserve">Kala Patel </v>
      </c>
      <c r="D192" s="1">
        <f ca="1">IFERROR(__xludf.DUMMYFUNCTION("""COMPUTED_VALUE"""),9016250929)</f>
        <v>9016250929</v>
      </c>
      <c r="E192" s="1" t="str">
        <f ca="1">IFERROR(__xludf.DUMMYFUNCTION("""COMPUTED_VALUE"""),"Yes")</f>
        <v>Yes</v>
      </c>
      <c r="F192" s="1" t="str">
        <f ca="1">IFERROR(__xludf.DUMMYFUNCTION("""COMPUTED_VALUE"""),"गुजराती")</f>
        <v>गुजराती</v>
      </c>
      <c r="G192" s="1" t="str">
        <f ca="1">IFERROR(__xludf.DUMMYFUNCTION("""COMPUTED_VALUE"""),"गायत्री परिवार")</f>
        <v>गायत्री परिवार</v>
      </c>
      <c r="H192" s="1"/>
      <c r="I192" s="1"/>
      <c r="J192" s="1" t="str">
        <f ca="1">IFERROR(__xludf.DUMMYFUNCTION("""COMPUTED_VALUE"""),"सृजन शिल्पियों की योजनाबद्ध कार्य पद्धति")</f>
        <v>सृजन शिल्पियों की योजनाबद्ध कार्य पद्धति</v>
      </c>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f ca="1">IFERROR(__xludf.DUMMYFUNCTION("""COMPUTED_VALUE"""),34)</f>
        <v>34</v>
      </c>
      <c r="BX192" s="1">
        <f ca="1">IFERROR(__xludf.DUMMYFUNCTION("""COMPUTED_VALUE"""),34)</f>
        <v>34</v>
      </c>
      <c r="BY192" s="1">
        <f ca="1">IFERROR(__xludf.DUMMYFUNCTION("""COMPUTED_VALUE"""),4)</f>
        <v>4</v>
      </c>
      <c r="BZ192" s="1">
        <f ca="1">IFERROR(__xludf.DUMMYFUNCTION("""COMPUTED_VALUE"""),11)</f>
        <v>11</v>
      </c>
      <c r="CA192" s="1"/>
      <c r="CB192" s="1"/>
      <c r="CC192" s="1" t="str">
        <f ca="1">IFERROR(__xludf.DUMMYFUNCTION("""COMPUTED_VALUE"""),"નિશ્ચિત ફળદાયી જીવન સાધના : G_PP_38")</f>
        <v>નિશ્ચિત ફળદાયી જીવન સાધના : G_PP_38</v>
      </c>
      <c r="CD192" s="3" t="str">
        <f ca="1">IFERROR(__xludf.DUMMYFUNCTION("""COMPUTED_VALUE"""),"https://vicharkrantibooks.org/productdetail?product_id=3943")</f>
        <v>https://vicharkrantibooks.org/productdetail?product_id=3943</v>
      </c>
      <c r="CE192" s="1" t="str">
        <f ca="1">IFERROR(__xludf.DUMMYFUNCTION("""COMPUTED_VALUE"""),"Audiobook : નિશ્ચિત ફળદાયી જીવન સાધના : G_PP_38 : kalagpatel1959@gmail.com : Recorded")</f>
        <v>Audiobook : નિશ્ચિત ફળદાયી જીવન સાધના : G_PP_38 : kalagpatel1959@gmail.com : Recorded</v>
      </c>
      <c r="CF192" s="1" t="str">
        <f ca="1">IFERROR(__xludf.DUMMYFUNCTION("""COMPUTED_VALUE"""),"Audiobook : નિશ્ચિત ફળદાયી જીવન સાધના : G_PP_38 : kalagpatel1959@gmail.com : Recorded")</f>
        <v>Audiobook : નિશ્ચિત ફળદાયી જીવન સાધના : G_PP_38 : kalagpatel1959@gmail.com : Recorded</v>
      </c>
      <c r="CG192" s="1" t="str">
        <f ca="1">IFERROR(__xludf.DUMMYFUNCTION("""COMPUTED_VALUE"""),"Adarniya Kala Patel  ji નિશ્ચિત ફળદાયી જીવન સાધના : G_PP_38 : Allocated on 31-May-24 Contact Number  9016250929")</f>
        <v>Adarniya Kala Patel  ji નિશ્ચિત ફળદાયી જીવન સાધના : G_PP_38 : Allocated on 31-May-24 Contact Number  9016250929</v>
      </c>
      <c r="CH192" s="1" t="str">
        <f ca="1">IFERROR(__xludf.DUMMYFUNCTION("""COMPUTED_VALUE"""),"kalagpatel1959@gmail.com : નિશ્ચિત ફળદાયી જીવન સાધના : G_PP_38")</f>
        <v>kalagpatel1959@gmail.com : નિશ્ચિત ફળદાયી જીવન સાધના : G_PP_38</v>
      </c>
      <c r="CI192" s="5">
        <f ca="1">IFERROR(__xludf.DUMMYFUNCTION("""COMPUTED_VALUE"""),45443.5611786111)</f>
        <v>45443.561178611097</v>
      </c>
    </row>
    <row r="193" spans="1:87" x14ac:dyDescent="0.25">
      <c r="A193" s="5">
        <f ca="1">IFERROR(__xludf.DUMMYFUNCTION("""COMPUTED_VALUE"""),45442.3320803819)</f>
        <v>45442.332080381901</v>
      </c>
      <c r="B193" s="1" t="str">
        <f ca="1">IFERROR(__xludf.DUMMYFUNCTION("""COMPUTED_VALUE"""),"kalagpatel1959@gmail.com")</f>
        <v>kalagpatel1959@gmail.com</v>
      </c>
      <c r="C193" s="1" t="str">
        <f ca="1">IFERROR(__xludf.DUMMYFUNCTION("""COMPUTED_VALUE"""),"Kala Patel ")</f>
        <v xml:space="preserve">Kala Patel </v>
      </c>
      <c r="D193" s="1">
        <f ca="1">IFERROR(__xludf.DUMMYFUNCTION("""COMPUTED_VALUE"""),9016250929)</f>
        <v>9016250929</v>
      </c>
      <c r="E193" s="1" t="str">
        <f ca="1">IFERROR(__xludf.DUMMYFUNCTION("""COMPUTED_VALUE"""),"Yes")</f>
        <v>Yes</v>
      </c>
      <c r="F193" s="1" t="str">
        <f ca="1">IFERROR(__xludf.DUMMYFUNCTION("""COMPUTED_VALUE"""),"गुजराती")</f>
        <v>गुजराती</v>
      </c>
      <c r="G193" s="1" t="str">
        <f ca="1">IFERROR(__xludf.DUMMYFUNCTION("""COMPUTED_VALUE"""),"गायत्री परिवार")</f>
        <v>गायत्री परिवार</v>
      </c>
      <c r="H193" s="1"/>
      <c r="I193" s="1"/>
      <c r="J193" s="1" t="str">
        <f ca="1">IFERROR(__xludf.DUMMYFUNCTION("""COMPUTED_VALUE"""),"सृजन शिल्पियों की योजनाबद्ध कार्य पद्धति")</f>
        <v>सृजन शिल्पियों की योजनाबद्ध कार्य पद्धति</v>
      </c>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f ca="1">IFERROR(__xludf.DUMMYFUNCTION("""COMPUTED_VALUE"""),34)</f>
        <v>34</v>
      </c>
      <c r="BX193" s="1">
        <f ca="1">IFERROR(__xludf.DUMMYFUNCTION("""COMPUTED_VALUE"""),34)</f>
        <v>34</v>
      </c>
      <c r="BY193" s="1">
        <f ca="1">IFERROR(__xludf.DUMMYFUNCTION("""COMPUTED_VALUE"""),4)</f>
        <v>4</v>
      </c>
      <c r="BZ193" s="1">
        <f ca="1">IFERROR(__xludf.DUMMYFUNCTION("""COMPUTED_VALUE"""),11)</f>
        <v>11</v>
      </c>
      <c r="CA193" s="1"/>
      <c r="CB193" s="1"/>
      <c r="CC193" s="1" t="str">
        <f ca="1">IFERROR(__xludf.DUMMYFUNCTION("""COMPUTED_VALUE"""),"બાળકોના વ્યક્તિત્વનો વિકાસ કેવી રીતે કરવો ? : G_JS_07")</f>
        <v>બાળકોના વ્યક્તિત્વનો વિકાસ કેવી રીતે કરવો ? : G_JS_07</v>
      </c>
      <c r="CD193" s="3" t="str">
        <f ca="1">IFERROR(__xludf.DUMMYFUNCTION("""COMPUTED_VALUE"""),"https://vicharkrantibooks.org/productdetail?product_id=3731")</f>
        <v>https://vicharkrantibooks.org/productdetail?product_id=3731</v>
      </c>
      <c r="CE193" s="1" t="str">
        <f ca="1">IFERROR(__xludf.DUMMYFUNCTION("""COMPUTED_VALUE"""),"Audiobook : બાળકોના વ્યક્તિત્વનો વિકાસ કેવી રીતે કરવો ? : G_JS_07 : kalagpatel1959@gmail.com : Recorded")</f>
        <v>Audiobook : બાળકોના વ્યક્તિત્વનો વિકાસ કેવી રીતે કરવો ? : G_JS_07 : kalagpatel1959@gmail.com : Recorded</v>
      </c>
      <c r="CF193" s="1" t="str">
        <f ca="1">IFERROR(__xludf.DUMMYFUNCTION("""COMPUTED_VALUE"""),"#N/A")</f>
        <v>#N/A</v>
      </c>
      <c r="CG193" s="1" t="str">
        <f ca="1">IFERROR(__xludf.DUMMYFUNCTION("""COMPUTED_VALUE"""),"Adarniya Kala Patel  ji બાળકોના વ્યક્તિત્વનો વિકાસ કેવી રીતે કરવો ? : G_JS_07 : Allocated on 30-May-24 Contact Number  9016250929")</f>
        <v>Adarniya Kala Patel  ji બાળકોના વ્યક્તિત્વનો વિકાસ કેવી રીતે કરવો ? : G_JS_07 : Allocated on 30-May-24 Contact Number  9016250929</v>
      </c>
      <c r="CH193" s="1" t="str">
        <f ca="1">IFERROR(__xludf.DUMMYFUNCTION("""COMPUTED_VALUE"""),"kalagpatel1959@gmail.com : બાળકોના વ્યક્તિત્વનો વિકાસ કેવી રીતે કરવો ? : G_JS_07")</f>
        <v>kalagpatel1959@gmail.com : બાળકોના વ્યક્તિત્વનો વિકાસ કેવી રીતે કરવો ? : G_JS_07</v>
      </c>
      <c r="CI193" s="5">
        <f ca="1">IFERROR(__xludf.DUMMYFUNCTION("""COMPUTED_VALUE"""),45442.3320803819)</f>
        <v>45442.332080381901</v>
      </c>
    </row>
    <row r="194" spans="1:87" x14ac:dyDescent="0.25">
      <c r="A194" s="5">
        <f ca="1">IFERROR(__xludf.DUMMYFUNCTION("""COMPUTED_VALUE"""),45441.8864323611)</f>
        <v>45441.886432361098</v>
      </c>
      <c r="B194" s="1" t="str">
        <f ca="1">IFERROR(__xludf.DUMMYFUNCTION("""COMPUTED_VALUE"""),"spmittalmumbai@gmail.com")</f>
        <v>spmittalmumbai@gmail.com</v>
      </c>
      <c r="C194" s="1" t="str">
        <f ca="1">IFERROR(__xludf.DUMMYFUNCTION("""COMPUTED_VALUE"""),"S.P.Mittal")</f>
        <v>S.P.Mittal</v>
      </c>
      <c r="D194" s="1">
        <f ca="1">IFERROR(__xludf.DUMMYFUNCTION("""COMPUTED_VALUE"""),9860003407)</f>
        <v>9860003407</v>
      </c>
      <c r="E194" s="1" t="str">
        <f ca="1">IFERROR(__xludf.DUMMYFUNCTION("""COMPUTED_VALUE"""),"Yes")</f>
        <v>Yes</v>
      </c>
      <c r="F194" s="1" t="str">
        <f ca="1">IFERROR(__xludf.DUMMYFUNCTION("""COMPUTED_VALUE"""),"हिन्दी")</f>
        <v>हिन्दी</v>
      </c>
      <c r="G194" s="1" t="str">
        <f ca="1">IFERROR(__xludf.DUMMYFUNCTION("""COMPUTED_VALUE"""),"जीवन प्रबंध")</f>
        <v>जीवन प्रबंध</v>
      </c>
      <c r="H194" s="1"/>
      <c r="I194" s="1"/>
      <c r="J194" s="1"/>
      <c r="K194" s="1"/>
      <c r="L194" s="1" t="str">
        <f ca="1">IFERROR(__xludf.DUMMYFUNCTION("""COMPUTED_VALUE"""),"जीवन साधना")</f>
        <v>जीवन साधना</v>
      </c>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f ca="1">IFERROR(__xludf.DUMMYFUNCTION("""COMPUTED_VALUE"""),39)</f>
        <v>39</v>
      </c>
      <c r="BX194" s="1">
        <f ca="1">IFERROR(__xludf.DUMMYFUNCTION("""COMPUTED_VALUE"""),32)</f>
        <v>32</v>
      </c>
      <c r="BY194" s="1">
        <f ca="1">IFERROR(__xludf.DUMMYFUNCTION("""COMPUTED_VALUE"""),11)</f>
        <v>11</v>
      </c>
      <c r="BZ194" s="1">
        <f ca="1">IFERROR(__xludf.DUMMYFUNCTION("""COMPUTED_VALUE"""),23)</f>
        <v>23</v>
      </c>
      <c r="CA194" s="1"/>
      <c r="CB194" s="1"/>
      <c r="CC194" s="1" t="str">
        <f ca="1">IFERROR(__xludf.DUMMYFUNCTION("""COMPUTED_VALUE"""),"मनोबल बढ़ाएं : Rare Book")</f>
        <v>मनोबल बढ़ाएं : Rare Book</v>
      </c>
      <c r="CD194" s="3" t="str">
        <f ca="1">IFERROR(__xludf.DUMMYFUNCTION("""COMPUTED_VALUE"""),"https://vicharkrantibooks.org/productdetail?book_name=HINP0513_MANOBAL_BADHAEN_xxyyyy&amp;product_id=1078")</f>
        <v>https://vicharkrantibooks.org/productdetail?book_name=HINP0513_MANOBAL_BADHAEN_xxyyyy&amp;product_id=1078</v>
      </c>
      <c r="CE194" s="1" t="str">
        <f ca="1">IFERROR(__xludf.DUMMYFUNCTION("""COMPUTED_VALUE"""),"Audiobook : मनोबल बढ़ाएं : Rare Book : spmittalmumbai@gmail.com : Recorded")</f>
        <v>Audiobook : मनोबल बढ़ाएं : Rare Book : spmittalmumbai@gmail.com : Recorded</v>
      </c>
      <c r="CF194" s="1" t="str">
        <f ca="1">IFERROR(__xludf.DUMMYFUNCTION("""COMPUTED_VALUE"""),"Audiobook : मनोबल बढ़ाएं : Rare Book : spmittalmumbai@gmail.com : Recorded")</f>
        <v>Audiobook : मनोबल बढ़ाएं : Rare Book : spmittalmumbai@gmail.com : Recorded</v>
      </c>
      <c r="CG194" s="1" t="str">
        <f ca="1">IFERROR(__xludf.DUMMYFUNCTION("""COMPUTED_VALUE"""),"Adarniya S.P.Mittal ji मनोबल बढ़ाएं : Rare Book : Allocated on 29-May-24 Contact Number  9860003407")</f>
        <v>Adarniya S.P.Mittal ji मनोबल बढ़ाएं : Rare Book : Allocated on 29-May-24 Contact Number  9860003407</v>
      </c>
      <c r="CH194" s="1" t="str">
        <f ca="1">IFERROR(__xludf.DUMMYFUNCTION("""COMPUTED_VALUE"""),"spmittalmumbai@gmail.com : मनोबल बढ़ाएं : Rare Book")</f>
        <v>spmittalmumbai@gmail.com : मनोबल बढ़ाएं : Rare Book</v>
      </c>
      <c r="CI194" s="5">
        <f ca="1">IFERROR(__xludf.DUMMYFUNCTION("""COMPUTED_VALUE"""),45441.8864323611)</f>
        <v>45441.886432361098</v>
      </c>
    </row>
    <row r="195" spans="1:87" x14ac:dyDescent="0.25">
      <c r="A195" s="5">
        <f ca="1">IFERROR(__xludf.DUMMYFUNCTION("""COMPUTED_VALUE"""),45441.7444732638)</f>
        <v>45441.744473263803</v>
      </c>
      <c r="B195" s="1" t="str">
        <f ca="1">IFERROR(__xludf.DUMMYFUNCTION("""COMPUTED_VALUE"""),"premlatadevi4669@gmail.com")</f>
        <v>premlatadevi4669@gmail.com</v>
      </c>
      <c r="C195" s="1" t="str">
        <f ca="1">IFERROR(__xludf.DUMMYFUNCTION("""COMPUTED_VALUE"""),"Premlata barnwal ")</f>
        <v xml:space="preserve">Premlata barnwal </v>
      </c>
      <c r="D195" s="1">
        <f ca="1">IFERROR(__xludf.DUMMYFUNCTION("""COMPUTED_VALUE"""),93722820308)</f>
        <v>93722820308</v>
      </c>
      <c r="E195" s="1" t="str">
        <f ca="1">IFERROR(__xludf.DUMMYFUNCTION("""COMPUTED_VALUE"""),"Yes")</f>
        <v>Yes</v>
      </c>
      <c r="F195" s="1" t="str">
        <f ca="1">IFERROR(__xludf.DUMMYFUNCTION("""COMPUTED_VALUE"""),"हिन्दी")</f>
        <v>हिन्दी</v>
      </c>
      <c r="G195" s="1" t="str">
        <f ca="1">IFERROR(__xludf.DUMMYFUNCTION("""COMPUTED_VALUE"""),"परिवार निर्माण")</f>
        <v>परिवार निर्माण</v>
      </c>
      <c r="H195" s="1"/>
      <c r="I195" s="1"/>
      <c r="J195" s="1"/>
      <c r="K195" s="1"/>
      <c r="L195" s="1"/>
      <c r="M195" s="1" t="str">
        <f ca="1">IFERROR(__xludf.DUMMYFUNCTION("""COMPUTED_VALUE"""),"बाल मनोविज्ञान")</f>
        <v>बाल मनोविज्ञान</v>
      </c>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f ca="1">IFERROR(__xludf.DUMMYFUNCTION("""COMPUTED_VALUE"""),13)</f>
        <v>13</v>
      </c>
      <c r="BX195" s="1">
        <f ca="1">IFERROR(__xludf.DUMMYFUNCTION("""COMPUTED_VALUE"""),10)</f>
        <v>10</v>
      </c>
      <c r="BY195" s="1">
        <f ca="1">IFERROR(__xludf.DUMMYFUNCTION("""COMPUTED_VALUE"""),7)</f>
        <v>7</v>
      </c>
      <c r="BZ195" s="1">
        <f ca="1">IFERROR(__xludf.DUMMYFUNCTION("""COMPUTED_VALUE"""),2)</f>
        <v>2</v>
      </c>
      <c r="CA195" s="1"/>
      <c r="CB195" s="1"/>
      <c r="CC195" s="1" t="str">
        <f ca="1">IFERROR(__xludf.DUMMYFUNCTION("""COMPUTED_VALUE"""),"गौ की उत्पत्ति और उसका महत्व : Rare Book")</f>
        <v>गौ की उत्पत्ति और उसका महत्व : Rare Book</v>
      </c>
      <c r="CD195" s="3" t="str">
        <f ca="1">IFERROR(__xludf.DUMMYFUNCTION("""COMPUTED_VALUE"""),"https://vicharkrantibooks.org/productdetail?book_name=HINP0275_GAU_KI_UTPATTI_AUR_USAKA_MAHATV_xxyyyy&amp;product_id=840")</f>
        <v>https://vicharkrantibooks.org/productdetail?book_name=HINP0275_GAU_KI_UTPATTI_AUR_USAKA_MAHATV_xxyyyy&amp;product_id=840</v>
      </c>
      <c r="CE195" s="1" t="str">
        <f ca="1">IFERROR(__xludf.DUMMYFUNCTION("""COMPUTED_VALUE"""),"Audiobook : गौ की उत्पत्ति और उसका महत्व : Rare Book : premlatadevi4669@gmail.com : Recorded")</f>
        <v>Audiobook : गौ की उत्पत्ति और उसका महत्व : Rare Book : premlatadevi4669@gmail.com : Recorded</v>
      </c>
      <c r="CF195" s="1" t="str">
        <f ca="1">IFERROR(__xludf.DUMMYFUNCTION("""COMPUTED_VALUE"""),"#N/A")</f>
        <v>#N/A</v>
      </c>
      <c r="CG195" s="1" t="str">
        <f ca="1">IFERROR(__xludf.DUMMYFUNCTION("""COMPUTED_VALUE"""),"Adarniya Premlata barnwal  ji गौ की उत्पत्ति और उसका महत्व : Rare Book : Allocated on 29-May-24 Contact Number  93722820308")</f>
        <v>Adarniya Premlata barnwal  ji गौ की उत्पत्ति और उसका महत्व : Rare Book : Allocated on 29-May-24 Contact Number  93722820308</v>
      </c>
      <c r="CH195" s="1" t="str">
        <f ca="1">IFERROR(__xludf.DUMMYFUNCTION("""COMPUTED_VALUE"""),"premlatadevi4669@gmail.com : गौ की उत्पत्ति और उसका महत्व : Rare Book")</f>
        <v>premlatadevi4669@gmail.com : गौ की उत्पत्ति और उसका महत्व : Rare Book</v>
      </c>
      <c r="CI195" s="5">
        <f ca="1">IFERROR(__xludf.DUMMYFUNCTION("""COMPUTED_VALUE"""),45441.7444732638)</f>
        <v>45441.744473263803</v>
      </c>
    </row>
    <row r="196" spans="1:87" x14ac:dyDescent="0.25">
      <c r="A196" s="5">
        <f ca="1">IFERROR(__xludf.DUMMYFUNCTION("""COMPUTED_VALUE"""),45440.2649469097)</f>
        <v>45440.264946909701</v>
      </c>
      <c r="B196" s="1" t="str">
        <f ca="1">IFERROR(__xludf.DUMMYFUNCTION("""COMPUTED_VALUE"""),"druma4107@gmail.com")</f>
        <v>druma4107@gmail.com</v>
      </c>
      <c r="C196" s="1" t="str">
        <f ca="1">IFERROR(__xludf.DUMMYFUNCTION("""COMPUTED_VALUE"""),"Dr Uma Agrawal")</f>
        <v>Dr Uma Agrawal</v>
      </c>
      <c r="D196" s="1">
        <f ca="1">IFERROR(__xludf.DUMMYFUNCTION("""COMPUTED_VALUE"""),9410861182)</f>
        <v>9410861182</v>
      </c>
      <c r="E196" s="1" t="str">
        <f ca="1">IFERROR(__xludf.DUMMYFUNCTION("""COMPUTED_VALUE"""),"Yes")</f>
        <v>Yes</v>
      </c>
      <c r="F196" s="1" t="str">
        <f ca="1">IFERROR(__xludf.DUMMYFUNCTION("""COMPUTED_VALUE"""),"हिन्दी")</f>
        <v>हिन्दी</v>
      </c>
      <c r="G196" s="1" t="str">
        <f ca="1">IFERROR(__xludf.DUMMYFUNCTION("""COMPUTED_VALUE"""),"समाज निर्माण")</f>
        <v>समाज निर्माण</v>
      </c>
      <c r="H196" s="1"/>
      <c r="I196" s="1"/>
      <c r="J196" s="1"/>
      <c r="K196" s="1"/>
      <c r="L196" s="1"/>
      <c r="M196" s="1"/>
      <c r="N196" s="1"/>
      <c r="O196" s="1"/>
      <c r="P196" s="1"/>
      <c r="Q196" s="1"/>
      <c r="R196" s="1"/>
      <c r="S196" s="1"/>
      <c r="T196" s="1"/>
      <c r="U196" s="1"/>
      <c r="V196" s="1" t="str">
        <f ca="1">IFERROR(__xludf.DUMMYFUNCTION("""COMPUTED_VALUE"""),"समाज निर्माण")</f>
        <v>समाज निर्माण</v>
      </c>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f ca="1">IFERROR(__xludf.DUMMYFUNCTION("""COMPUTED_VALUE"""),104)</f>
        <v>104</v>
      </c>
      <c r="BX196" s="1">
        <f ca="1">IFERROR(__xludf.DUMMYFUNCTION("""COMPUTED_VALUE"""),106)</f>
        <v>106</v>
      </c>
      <c r="BY196" s="1">
        <f ca="1">IFERROR(__xludf.DUMMYFUNCTION("""COMPUTED_VALUE"""),9)</f>
        <v>9</v>
      </c>
      <c r="BZ196" s="1">
        <f ca="1">IFERROR(__xludf.DUMMYFUNCTION("""COMPUTED_VALUE"""),43)</f>
        <v>43</v>
      </c>
      <c r="CA196" s="1"/>
      <c r="CB196" s="1"/>
      <c r="CC196" s="1" t="str">
        <f ca="1">IFERROR(__xludf.DUMMYFUNCTION("""COMPUTED_VALUE"""),"आततायी उद्दंडता का डटकर मुकाबला किया जाए : Rare Book")</f>
        <v>आततायी उद्दंडता का डटकर मुकाबला किया जाए : Rare Book</v>
      </c>
      <c r="CD196" s="3" t="str">
        <f ca="1">IFERROR(__xludf.DUMMYFUNCTION("""COMPUTED_VALUE"""),"https://vicharkrantibooks.org/productdetail?book_name=HINP0088_ATATAYI_UDDANDATA_KA_DATAKAR_MUKABALA_KIYA_JAE_xxyyyy&amp;product_id=653")</f>
        <v>https://vicharkrantibooks.org/productdetail?book_name=HINP0088_ATATAYI_UDDANDATA_KA_DATAKAR_MUKABALA_KIYA_JAE_xxyyyy&amp;product_id=653</v>
      </c>
      <c r="CE196" s="1" t="str">
        <f ca="1">IFERROR(__xludf.DUMMYFUNCTION("""COMPUTED_VALUE"""),"Audiobook : आततायी उद्दंडता का डटकर मुकाबला किया जाए : Rare Book : druma4107@gmail.com : Recorded")</f>
        <v>Audiobook : आततायी उद्दंडता का डटकर मुकाबला किया जाए : Rare Book : druma4107@gmail.com : Recorded</v>
      </c>
      <c r="CF196" s="1" t="str">
        <f ca="1">IFERROR(__xludf.DUMMYFUNCTION("""COMPUTED_VALUE"""),"Audiobook : आततायी उद्दंडता का डटकर मुकाबला किया जाए : Rare Book : druma4107@gmail.com : Recorded")</f>
        <v>Audiobook : आततायी उद्दंडता का डटकर मुकाबला किया जाए : Rare Book : druma4107@gmail.com : Recorded</v>
      </c>
      <c r="CG196" s="1" t="str">
        <f ca="1">IFERROR(__xludf.DUMMYFUNCTION("""COMPUTED_VALUE"""),"Adarniya Dr Uma Agrawal ji आततायी उद्दंडता का डटकर मुकाबला किया जाए : Rare Book : Allocated on 28-May-24 Contact Number  9410861182")</f>
        <v>Adarniya Dr Uma Agrawal ji आततायी उद्दंडता का डटकर मुकाबला किया जाए : Rare Book : Allocated on 28-May-24 Contact Number  9410861182</v>
      </c>
      <c r="CH196" s="1" t="str">
        <f ca="1">IFERROR(__xludf.DUMMYFUNCTION("""COMPUTED_VALUE"""),"druma4107@gmail.com : आततायी उद्दंडता का डटकर मुकाबला किया जाए : Rare Book")</f>
        <v>druma4107@gmail.com : आततायी उद्दंडता का डटकर मुकाबला किया जाए : Rare Book</v>
      </c>
      <c r="CI196" s="5">
        <f ca="1">IFERROR(__xludf.DUMMYFUNCTION("""COMPUTED_VALUE"""),45440.2649469097)</f>
        <v>45440.264946909701</v>
      </c>
    </row>
    <row r="197" spans="1:87" x14ac:dyDescent="0.25">
      <c r="A197" s="5">
        <f ca="1">IFERROR(__xludf.DUMMYFUNCTION("""COMPUTED_VALUE"""),45439.7938511689)</f>
        <v>45439.793851168899</v>
      </c>
      <c r="B197" s="1" t="str">
        <f ca="1">IFERROR(__xludf.DUMMYFUNCTION("""COMPUTED_VALUE"""),"kalagpatel1959@gmail.com")</f>
        <v>kalagpatel1959@gmail.com</v>
      </c>
      <c r="C197" s="1" t="str">
        <f ca="1">IFERROR(__xludf.DUMMYFUNCTION("""COMPUTED_VALUE"""),"Kala Patel ")</f>
        <v xml:space="preserve">Kala Patel </v>
      </c>
      <c r="D197" s="1">
        <f ca="1">IFERROR(__xludf.DUMMYFUNCTION("""COMPUTED_VALUE"""),9016250929)</f>
        <v>9016250929</v>
      </c>
      <c r="E197" s="1" t="str">
        <f ca="1">IFERROR(__xludf.DUMMYFUNCTION("""COMPUTED_VALUE"""),"Yes")</f>
        <v>Yes</v>
      </c>
      <c r="F197" s="1" t="str">
        <f ca="1">IFERROR(__xludf.DUMMYFUNCTION("""COMPUTED_VALUE"""),"गुजराती")</f>
        <v>गुजराती</v>
      </c>
      <c r="G197" s="1" t="str">
        <f ca="1">IFERROR(__xludf.DUMMYFUNCTION("""COMPUTED_VALUE"""),"अध्यात्म, धर्म एवं दर्शन")</f>
        <v>अध्यात्म, धर्म एवं दर्शन</v>
      </c>
      <c r="H197" s="1" t="str">
        <f ca="1">IFERROR(__xludf.DUMMYFUNCTION("""COMPUTED_VALUE"""),"अध्यात्म, धर्म एवं आस्तिकता")</f>
        <v>अध्यात्म, धर्म एवं आस्तिकता</v>
      </c>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f ca="1">IFERROR(__xludf.DUMMYFUNCTION("""COMPUTED_VALUE"""),34)</f>
        <v>34</v>
      </c>
      <c r="BX197" s="1">
        <f ca="1">IFERROR(__xludf.DUMMYFUNCTION("""COMPUTED_VALUE"""),34)</f>
        <v>34</v>
      </c>
      <c r="BY197" s="1">
        <f ca="1">IFERROR(__xludf.DUMMYFUNCTION("""COMPUTED_VALUE"""),4)</f>
        <v>4</v>
      </c>
      <c r="BZ197" s="1">
        <f ca="1">IFERROR(__xludf.DUMMYFUNCTION("""COMPUTED_VALUE"""),11)</f>
        <v>11</v>
      </c>
      <c r="CA197" s="1"/>
      <c r="CB197" s="1"/>
      <c r="CC197" s="1" t="str">
        <f ca="1">IFERROR(__xludf.DUMMYFUNCTION("""COMPUTED_VALUE"""),"પૂજાપાઠનું તત્વદર્શન સમજો : G_JS_58")</f>
        <v>પૂજાપાઠનું તત્વદર્શન સમજો : G_JS_58</v>
      </c>
      <c r="CD197" s="3" t="str">
        <f ca="1">IFERROR(__xludf.DUMMYFUNCTION("""COMPUTED_VALUE"""),"https://vicharkrantibooks.org/productdetail?product_id=3783")</f>
        <v>https://vicharkrantibooks.org/productdetail?product_id=3783</v>
      </c>
      <c r="CE197" s="1" t="str">
        <f ca="1">IFERROR(__xludf.DUMMYFUNCTION("""COMPUTED_VALUE"""),"Audiobook : પૂજાપાઠનું તત્વદર્શન સમજો : G_JS_58 : kalagpatel1959@gmail.com : Recorded")</f>
        <v>Audiobook : પૂજાપાઠનું તત્વદર્શન સમજો : G_JS_58 : kalagpatel1959@gmail.com : Recorded</v>
      </c>
      <c r="CF197" s="1" t="str">
        <f ca="1">IFERROR(__xludf.DUMMYFUNCTION("""COMPUTED_VALUE"""),"Audiobook : પૂજાપાઠનું તત્વદર્શન સમજો : G_JS_58 : kalagpatel1959@gmail.com : Recorded")</f>
        <v>Audiobook : પૂજાપાઠનું તત્વદર્શન સમજો : G_JS_58 : kalagpatel1959@gmail.com : Recorded</v>
      </c>
      <c r="CG197" s="1" t="str">
        <f ca="1">IFERROR(__xludf.DUMMYFUNCTION("""COMPUTED_VALUE"""),"Adarniya Kala Patel  ji પૂજાપાઠનું તત્વદર્શન સમજો : G_JS_58 : Allocated on 27-May-24 Contact Number  9016250929")</f>
        <v>Adarniya Kala Patel  ji પૂજાપાઠનું તત્વદર્શન સમજો : G_JS_58 : Allocated on 27-May-24 Contact Number  9016250929</v>
      </c>
      <c r="CH197" s="1" t="str">
        <f ca="1">IFERROR(__xludf.DUMMYFUNCTION("""COMPUTED_VALUE"""),"kalagpatel1959@gmail.com : પૂજાપાઠનું તત્વદર્શન સમજો : G_JS_58")</f>
        <v>kalagpatel1959@gmail.com : પૂજાપાઠનું તત્વદર્શન સમજો : G_JS_58</v>
      </c>
      <c r="CI197" s="5">
        <f ca="1">IFERROR(__xludf.DUMMYFUNCTION("""COMPUTED_VALUE"""),45439.7938511689)</f>
        <v>45439.793851168899</v>
      </c>
    </row>
    <row r="198" spans="1:87" x14ac:dyDescent="0.25">
      <c r="A198" s="5">
        <f ca="1">IFERROR(__xludf.DUMMYFUNCTION("""COMPUTED_VALUE"""),45439.6451002662)</f>
        <v>45439.6451002662</v>
      </c>
      <c r="B198" s="1" t="str">
        <f ca="1">IFERROR(__xludf.DUMMYFUNCTION("""COMPUTED_VALUE"""),"vandana15rastogi@gmail.com")</f>
        <v>vandana15rastogi@gmail.com</v>
      </c>
      <c r="C198" s="1" t="str">
        <f ca="1">IFERROR(__xludf.DUMMYFUNCTION("""COMPUTED_VALUE"""),"Vandana Rastogi")</f>
        <v>Vandana Rastogi</v>
      </c>
      <c r="D198" s="1">
        <f ca="1">IFERROR(__xludf.DUMMYFUNCTION("""COMPUTED_VALUE"""),9359528684)</f>
        <v>9359528684</v>
      </c>
      <c r="E198" s="1" t="str">
        <f ca="1">IFERROR(__xludf.DUMMYFUNCTION("""COMPUTED_VALUE"""),"Yes")</f>
        <v>Yes</v>
      </c>
      <c r="F198" s="1" t="str">
        <f ca="1">IFERROR(__xludf.DUMMYFUNCTION("""COMPUTED_VALUE"""),"हिन्दी")</f>
        <v>हिन्दी</v>
      </c>
      <c r="G198" s="1" t="str">
        <f ca="1">IFERROR(__xludf.DUMMYFUNCTION("""COMPUTED_VALUE"""),"जीवन प्रबंध")</f>
        <v>जीवन प्रबंध</v>
      </c>
      <c r="H198" s="1"/>
      <c r="I198" s="1"/>
      <c r="J198" s="1"/>
      <c r="K198" s="1"/>
      <c r="L198" s="1" t="str">
        <f ca="1">IFERROR(__xludf.DUMMYFUNCTION("""COMPUTED_VALUE"""),"सफल, संतुष्ट एवं सुखी जीवन")</f>
        <v>सफल, संतुष्ट एवं सुखी जीवन</v>
      </c>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f ca="1">IFERROR(__xludf.DUMMYFUNCTION("""COMPUTED_VALUE"""),33)</f>
        <v>33</v>
      </c>
      <c r="BX198" s="1">
        <f ca="1">IFERROR(__xludf.DUMMYFUNCTION("""COMPUTED_VALUE"""),19)</f>
        <v>19</v>
      </c>
      <c r="BY198" s="1">
        <f ca="1">IFERROR(__xludf.DUMMYFUNCTION("""COMPUTED_VALUE"""),17)</f>
        <v>17</v>
      </c>
      <c r="BZ198" s="1">
        <f ca="1">IFERROR(__xludf.DUMMYFUNCTION("""COMPUTED_VALUE"""),14)</f>
        <v>14</v>
      </c>
      <c r="CA198" s="1"/>
      <c r="CB198" s="1"/>
      <c r="CC198" s="1" t="str">
        <f ca="1">IFERROR(__xludf.DUMMYFUNCTION("""COMPUTED_VALUE"""),"निकृष्ट जीवन न जियें : Rare Book")</f>
        <v>निकृष्ट जीवन न जियें : Rare Book</v>
      </c>
      <c r="CD198" s="3" t="str">
        <f ca="1">IFERROR(__xludf.DUMMYFUNCTION("""COMPUTED_VALUE"""),"https://vicharkrantibooks.org/productdetail?book_name=HINP0599_NIKRUSHT_JIVAN_NA_JIYEN_xx1979&amp;product_id=1164")</f>
        <v>https://vicharkrantibooks.org/productdetail?book_name=HINP0599_NIKRUSHT_JIVAN_NA_JIYEN_xx1979&amp;product_id=1164</v>
      </c>
      <c r="CE198" s="1" t="str">
        <f ca="1">IFERROR(__xludf.DUMMYFUNCTION("""COMPUTED_VALUE"""),"Audiobook : निकृष्ट जीवन न जियें : Rare Book : vandana15rastogi@gmail.com : Recorded")</f>
        <v>Audiobook : निकृष्ट जीवन न जियें : Rare Book : vandana15rastogi@gmail.com : Recorded</v>
      </c>
      <c r="CF198" s="1" t="str">
        <f ca="1">IFERROR(__xludf.DUMMYFUNCTION("""COMPUTED_VALUE"""),"Audiobook : निकृष्ट जीवन न जियें : Rare Book : vandana15rastogi@gmail.com : Recorded")</f>
        <v>Audiobook : निकृष्ट जीवन न जियें : Rare Book : vandana15rastogi@gmail.com : Recorded</v>
      </c>
      <c r="CG198" s="1" t="str">
        <f ca="1">IFERROR(__xludf.DUMMYFUNCTION("""COMPUTED_VALUE"""),"Adarniya Vandana Rastogi ji निकृष्ट जीवन न जियें : Rare Book : Allocated on 27-May-24 Contact Number  9359528684")</f>
        <v>Adarniya Vandana Rastogi ji निकृष्ट जीवन न जियें : Rare Book : Allocated on 27-May-24 Contact Number  9359528684</v>
      </c>
      <c r="CH198" s="1" t="str">
        <f ca="1">IFERROR(__xludf.DUMMYFUNCTION("""COMPUTED_VALUE"""),"vandana15rastogi@gmail.com : निकृष्ट जीवन न जियें : Rare Book")</f>
        <v>vandana15rastogi@gmail.com : निकृष्ट जीवन न जियें : Rare Book</v>
      </c>
      <c r="CI198" s="5">
        <f ca="1">IFERROR(__xludf.DUMMYFUNCTION("""COMPUTED_VALUE"""),45439.6451002662)</f>
        <v>45439.6451002662</v>
      </c>
    </row>
    <row r="199" spans="1:87" x14ac:dyDescent="0.25">
      <c r="A199" s="5">
        <f ca="1">IFERROR(__xludf.DUMMYFUNCTION("""COMPUTED_VALUE"""),45439.6075537963)</f>
        <v>45439.607553796297</v>
      </c>
      <c r="B199" s="1" t="str">
        <f ca="1">IFERROR(__xludf.DUMMYFUNCTION("""COMPUTED_VALUE"""),"pradeeprohan29@gmail.com")</f>
        <v>pradeeprohan29@gmail.com</v>
      </c>
      <c r="C199" s="1" t="str">
        <f ca="1">IFERROR(__xludf.DUMMYFUNCTION("""COMPUTED_VALUE"""),"Pradeep Kumar")</f>
        <v>Pradeep Kumar</v>
      </c>
      <c r="D199" s="1">
        <f ca="1">IFERROR(__xludf.DUMMYFUNCTION("""COMPUTED_VALUE"""),7596883724)</f>
        <v>7596883724</v>
      </c>
      <c r="E199" s="1" t="str">
        <f ca="1">IFERROR(__xludf.DUMMYFUNCTION("""COMPUTED_VALUE"""),"Yes")</f>
        <v>Yes</v>
      </c>
      <c r="F199" s="1" t="str">
        <f ca="1">IFERROR(__xludf.DUMMYFUNCTION("""COMPUTED_VALUE"""),"हिन्दी or English")</f>
        <v>हिन्दी or English</v>
      </c>
      <c r="G199" s="1" t="str">
        <f ca="1">IFERROR(__xludf.DUMMYFUNCTION("""COMPUTED_VALUE"""),"अध्यात्म, धर्म एवं दर्शन")</f>
        <v>अध्यात्म, धर्म एवं दर्शन</v>
      </c>
      <c r="H199" s="1" t="str">
        <f ca="1">IFERROR(__xludf.DUMMYFUNCTION("""COMPUTED_VALUE"""),"आत्मज्ञान एवं आत्मनिर्माण")</f>
        <v>आत्मज्ञान एवं आत्मनिर्माण</v>
      </c>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f ca="1">IFERROR(__xludf.DUMMYFUNCTION("""COMPUTED_VALUE"""),1)</f>
        <v>1</v>
      </c>
      <c r="BX199" s="1">
        <f ca="1">IFERROR(__xludf.DUMMYFUNCTION("""COMPUTED_VALUE"""),0)</f>
        <v>0</v>
      </c>
      <c r="BY199" s="1">
        <f ca="1">IFERROR(__xludf.DUMMYFUNCTION("""COMPUTED_VALUE"""),0)</f>
        <v>0</v>
      </c>
      <c r="BZ199" s="1">
        <f ca="1">IFERROR(__xludf.DUMMYFUNCTION("""COMPUTED_VALUE"""),0)</f>
        <v>0</v>
      </c>
      <c r="CA199" s="1"/>
      <c r="CB199" s="1"/>
      <c r="CC199" s="1" t="str">
        <f ca="1">IFERROR(__xludf.DUMMYFUNCTION("""COMPUTED_VALUE"""),"Sample")</f>
        <v>Sample</v>
      </c>
      <c r="CD199" s="1"/>
      <c r="CE199" s="1"/>
      <c r="CF199" s="1"/>
      <c r="CG199" s="1" t="str">
        <f ca="1">IFERROR(__xludf.DUMMYFUNCTION("""COMPUTED_VALUE"""),"Adarniya Pradeep Kumar ji Sample : Allocated on 27-May-24 Contact Number  7596883724")</f>
        <v>Adarniya Pradeep Kumar ji Sample : Allocated on 27-May-24 Contact Number  7596883724</v>
      </c>
      <c r="CH199" s="1" t="str">
        <f ca="1">IFERROR(__xludf.DUMMYFUNCTION("""COMPUTED_VALUE"""),"pradeeprohan29@gmail.com : Sample")</f>
        <v>pradeeprohan29@gmail.com : Sample</v>
      </c>
      <c r="CI199" s="5">
        <f ca="1">IFERROR(__xludf.DUMMYFUNCTION("""COMPUTED_VALUE"""),45439.6075537963)</f>
        <v>45439.607553796297</v>
      </c>
    </row>
    <row r="200" spans="1:87" x14ac:dyDescent="0.25">
      <c r="A200" s="5">
        <f ca="1">IFERROR(__xludf.DUMMYFUNCTION("""COMPUTED_VALUE"""),45438.7792754282)</f>
        <v>45438.779275428198</v>
      </c>
      <c r="B200" s="1" t="str">
        <f ca="1">IFERROR(__xludf.DUMMYFUNCTION("""COMPUTED_VALUE"""),"dave.chhaya@gmail.com")</f>
        <v>dave.chhaya@gmail.com</v>
      </c>
      <c r="C200" s="1" t="str">
        <f ca="1">IFERROR(__xludf.DUMMYFUNCTION("""COMPUTED_VALUE"""),"Chhaya Deepak Dave ")</f>
        <v xml:space="preserve">Chhaya Deepak Dave </v>
      </c>
      <c r="D200" s="1">
        <f ca="1">IFERROR(__xludf.DUMMYFUNCTION("""COMPUTED_VALUE"""),9879596556)</f>
        <v>9879596556</v>
      </c>
      <c r="E200" s="1" t="str">
        <f ca="1">IFERROR(__xludf.DUMMYFUNCTION("""COMPUTED_VALUE"""),"Yes")</f>
        <v>Yes</v>
      </c>
      <c r="F200" s="1" t="str">
        <f ca="1">IFERROR(__xludf.DUMMYFUNCTION("""COMPUTED_VALUE"""),"गुजराती")</f>
        <v>गुजराती</v>
      </c>
      <c r="G200" s="1" t="str">
        <f ca="1">IFERROR(__xludf.DUMMYFUNCTION("""COMPUTED_VALUE"""),"युग द्रष्टा पं. श्रीराम शर्मा आचार्यजी")</f>
        <v>युग द्रष्टा पं. श्रीराम शर्मा आचार्यजी</v>
      </c>
      <c r="H200" s="1"/>
      <c r="I200" s="1"/>
      <c r="J200" s="1"/>
      <c r="K200" s="1"/>
      <c r="L200" s="1"/>
      <c r="M200" s="1"/>
      <c r="N200" s="1"/>
      <c r="O200" s="1"/>
      <c r="P200" s="1" t="str">
        <f ca="1">IFERROR(__xludf.DUMMYFUNCTION("""COMPUTED_VALUE"""),"युगॠषी की अमृतवाणी")</f>
        <v>युगॠषी की अमृतवाणी</v>
      </c>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f ca="1">IFERROR(__xludf.DUMMYFUNCTION("""COMPUTED_VALUE"""),46)</f>
        <v>46</v>
      </c>
      <c r="BX200" s="1">
        <f ca="1">IFERROR(__xludf.DUMMYFUNCTION("""COMPUTED_VALUE"""),39)</f>
        <v>39</v>
      </c>
      <c r="BY200" s="1">
        <f ca="1">IFERROR(__xludf.DUMMYFUNCTION("""COMPUTED_VALUE"""),6)</f>
        <v>6</v>
      </c>
      <c r="BZ200" s="1">
        <f ca="1">IFERROR(__xludf.DUMMYFUNCTION("""COMPUTED_VALUE"""),16)</f>
        <v>16</v>
      </c>
      <c r="CA200" s="1"/>
      <c r="CB200" s="1"/>
      <c r="CC200" s="1" t="str">
        <f ca="1">IFERROR(__xludf.DUMMYFUNCTION("""COMPUTED_VALUE"""),"તપથી સિદ્ધિઓ મળે છે : G_JS_59")</f>
        <v>તપથી સિદ્ધિઓ મળે છે : G_JS_59</v>
      </c>
      <c r="CD200" s="3" t="str">
        <f ca="1">IFERROR(__xludf.DUMMYFUNCTION("""COMPUTED_VALUE"""),"https://vicharkrantibooks.org/productdetail?product_id=3784")</f>
        <v>https://vicharkrantibooks.org/productdetail?product_id=3784</v>
      </c>
      <c r="CE200" s="1" t="str">
        <f ca="1">IFERROR(__xludf.DUMMYFUNCTION("""COMPUTED_VALUE"""),"Audiobook : તપથી સિદ્ધિઓ મળે છે : G_JS_59 : dave.chhaya@gmail.com : Recorded")</f>
        <v>Audiobook : તપથી સિદ્ધિઓ મળે છે : G_JS_59 : dave.chhaya@gmail.com : Recorded</v>
      </c>
      <c r="CF200" s="1" t="str">
        <f ca="1">IFERROR(__xludf.DUMMYFUNCTION("""COMPUTED_VALUE"""),"Audiobook : તપથી સિદ્ધિઓ મળે છે : G_JS_59 : dave.chhaya@gmail.com : Recorded")</f>
        <v>Audiobook : તપથી સિદ્ધિઓ મળે છે : G_JS_59 : dave.chhaya@gmail.com : Recorded</v>
      </c>
      <c r="CG200" s="1" t="str">
        <f ca="1">IFERROR(__xludf.DUMMYFUNCTION("""COMPUTED_VALUE"""),"Adarniya Chhaya Deepak Dave  ji તપથી સિદ્ધિઓ મળે છે : G_JS_59 : Allocated on 26-May-24 Contact Number  9879596556")</f>
        <v>Adarniya Chhaya Deepak Dave  ji તપથી સિદ્ધિઓ મળે છે : G_JS_59 : Allocated on 26-May-24 Contact Number  9879596556</v>
      </c>
      <c r="CH200" s="1" t="str">
        <f ca="1">IFERROR(__xludf.DUMMYFUNCTION("""COMPUTED_VALUE"""),"dave.chhaya@gmail.com : તપથી સિદ્ધિઓ મળે છે : G_JS_59")</f>
        <v>dave.chhaya@gmail.com : તપથી સિદ્ધિઓ મળે છે : G_JS_59</v>
      </c>
      <c r="CI200" s="5">
        <f ca="1">IFERROR(__xludf.DUMMYFUNCTION("""COMPUTED_VALUE"""),45438.7792754282)</f>
        <v>45438.779275428198</v>
      </c>
    </row>
    <row r="201" spans="1:87" x14ac:dyDescent="0.25">
      <c r="A201" s="5">
        <f ca="1">IFERROR(__xludf.DUMMYFUNCTION("""COMPUTED_VALUE"""),45438.0229914699)</f>
        <v>45438.022991469901</v>
      </c>
      <c r="B201" s="1" t="str">
        <f ca="1">IFERROR(__xludf.DUMMYFUNCTION("""COMPUTED_VALUE"""),"nksaxena.yoga@gmail.com")</f>
        <v>nksaxena.yoga@gmail.com</v>
      </c>
      <c r="C201" s="1" t="str">
        <f ca="1">IFERROR(__xludf.DUMMYFUNCTION("""COMPUTED_VALUE"""),"Narendra Kumar Saxena ")</f>
        <v xml:space="preserve">Narendra Kumar Saxena </v>
      </c>
      <c r="D201" s="1">
        <f ca="1">IFERROR(__xludf.DUMMYFUNCTION("""COMPUTED_VALUE"""),8826499188)</f>
        <v>8826499188</v>
      </c>
      <c r="E201" s="1" t="str">
        <f ca="1">IFERROR(__xludf.DUMMYFUNCTION("""COMPUTED_VALUE"""),"Yes")</f>
        <v>Yes</v>
      </c>
      <c r="F201" s="1" t="str">
        <f ca="1">IFERROR(__xludf.DUMMYFUNCTION("""COMPUTED_VALUE"""),"हिन्दी")</f>
        <v>हिन्दी</v>
      </c>
      <c r="G201" s="1" t="str">
        <f ca="1">IFERROR(__xludf.DUMMYFUNCTION("""COMPUTED_VALUE"""),"युग परिवर्तन-विचार क्रांति")</f>
        <v>युग परिवर्तन-विचार क्रांति</v>
      </c>
      <c r="H201" s="1"/>
      <c r="I201" s="1"/>
      <c r="J201" s="1"/>
      <c r="K201" s="1"/>
      <c r="L201" s="1"/>
      <c r="M201" s="1"/>
      <c r="N201" s="1"/>
      <c r="O201" s="1"/>
      <c r="P201" s="1"/>
      <c r="Q201" s="1" t="str">
        <f ca="1">IFERROR(__xludf.DUMMYFUNCTION("""COMPUTED_VALUE"""),"विचार क्रांति")</f>
        <v>विचार क्रांति</v>
      </c>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f ca="1">IFERROR(__xludf.DUMMYFUNCTION("""COMPUTED_VALUE"""),29)</f>
        <v>29</v>
      </c>
      <c r="BX201" s="1">
        <f ca="1">IFERROR(__xludf.DUMMYFUNCTION("""COMPUTED_VALUE"""),30)</f>
        <v>30</v>
      </c>
      <c r="BY201" s="1">
        <f ca="1">IFERROR(__xludf.DUMMYFUNCTION("""COMPUTED_VALUE"""),3)</f>
        <v>3</v>
      </c>
      <c r="BZ201" s="1">
        <f ca="1">IFERROR(__xludf.DUMMYFUNCTION("""COMPUTED_VALUE"""),25)</f>
        <v>25</v>
      </c>
      <c r="CA201" s="1"/>
      <c r="CB201" s="1"/>
      <c r="CC201" s="1" t="str">
        <f ca="1">IFERROR(__xludf.DUMMYFUNCTION("""COMPUTED_VALUE"""),"विटामिन युक्त आहार लें : Rare Book")</f>
        <v>विटामिन युक्त आहार लें : Rare Book</v>
      </c>
      <c r="CD201" s="3" t="str">
        <f ca="1">IFERROR(__xludf.DUMMYFUNCTION("""COMPUTED_VALUE"""),"https://vicharkrantibooks.org/productdetail?book_name=HINP0987_VITAMIN_YUKT_AHAR_LEN_xxyyyy&amp;product_id=1552")</f>
        <v>https://vicharkrantibooks.org/productdetail?book_name=HINP0987_VITAMIN_YUKT_AHAR_LEN_xxyyyy&amp;product_id=1552</v>
      </c>
      <c r="CE201" s="1" t="str">
        <f ca="1">IFERROR(__xludf.DUMMYFUNCTION("""COMPUTED_VALUE"""),"Audiobook : विटामिन युक्त आहार लें : Rare Book : nksaxena.yoga@gmail.com : Recorded")</f>
        <v>Audiobook : विटामिन युक्त आहार लें : Rare Book : nksaxena.yoga@gmail.com : Recorded</v>
      </c>
      <c r="CF201" s="1" t="str">
        <f ca="1">IFERROR(__xludf.DUMMYFUNCTION("""COMPUTED_VALUE"""),"Audiobook : विटामिन युक्त आहार लें : Rare Book : nksaxena.yoga@gmail.com : Recorded")</f>
        <v>Audiobook : विटामिन युक्त आहार लें : Rare Book : nksaxena.yoga@gmail.com : Recorded</v>
      </c>
      <c r="CG201" s="1" t="str">
        <f ca="1">IFERROR(__xludf.DUMMYFUNCTION("""COMPUTED_VALUE"""),"Adarniya Narendra Kumar Saxena  ji विटामिन युक्त आहार लें : Rare Book : Allocated on 26-May-24 Contact Number  8826499188")</f>
        <v>Adarniya Narendra Kumar Saxena  ji विटामिन युक्त आहार लें : Rare Book : Allocated on 26-May-24 Contact Number  8826499188</v>
      </c>
      <c r="CH201" s="1" t="str">
        <f ca="1">IFERROR(__xludf.DUMMYFUNCTION("""COMPUTED_VALUE"""),"nksaxena.yoga@gmail.com : विटामिन युक्त आहार लें : Rare Book")</f>
        <v>nksaxena.yoga@gmail.com : विटामिन युक्त आहार लें : Rare Book</v>
      </c>
      <c r="CI201" s="5">
        <f ca="1">IFERROR(__xludf.DUMMYFUNCTION("""COMPUTED_VALUE"""),45438.0229914699)</f>
        <v>45438.022991469901</v>
      </c>
    </row>
    <row r="202" spans="1:87" x14ac:dyDescent="0.25">
      <c r="A202" s="5">
        <f ca="1">IFERROR(__xludf.DUMMYFUNCTION("""COMPUTED_VALUE"""),45435.6932021412)</f>
        <v>45435.693202141199</v>
      </c>
      <c r="B202" s="1" t="str">
        <f ca="1">IFERROR(__xludf.DUMMYFUNCTION("""COMPUTED_VALUE"""),"premlatadevi4669@gmail.com")</f>
        <v>premlatadevi4669@gmail.com</v>
      </c>
      <c r="C202" s="1" t="str">
        <f ca="1">IFERROR(__xludf.DUMMYFUNCTION("""COMPUTED_VALUE"""),"Premlata barnwal ")</f>
        <v xml:space="preserve">Premlata barnwal </v>
      </c>
      <c r="D202" s="1">
        <f ca="1">IFERROR(__xludf.DUMMYFUNCTION("""COMPUTED_VALUE"""),9372282030)</f>
        <v>9372282030</v>
      </c>
      <c r="E202" s="1" t="str">
        <f ca="1">IFERROR(__xludf.DUMMYFUNCTION("""COMPUTED_VALUE"""),"Yes")</f>
        <v>Yes</v>
      </c>
      <c r="F202" s="1" t="str">
        <f ca="1">IFERROR(__xludf.DUMMYFUNCTION("""COMPUTED_VALUE"""),"हिन्दी")</f>
        <v>हिन्दी</v>
      </c>
      <c r="G202" s="1" t="str">
        <f ca="1">IFERROR(__xludf.DUMMYFUNCTION("""COMPUTED_VALUE"""),"कोई  भी पुस्तक  दे दीजिए  ")</f>
        <v xml:space="preserve">कोई  भी पुस्तक  दे दीजिए  </v>
      </c>
      <c r="H202" s="1" t="str">
        <f ca="1">IFERROR(__xludf.DUMMYFUNCTION("""COMPUTED_VALUE"""),"आत्मज्ञान एवं आत्मनिर्माण")</f>
        <v>आत्मज्ञान एवं आत्मनिर्माण</v>
      </c>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f ca="1">IFERROR(__xludf.DUMMYFUNCTION("""COMPUTED_VALUE"""),13)</f>
        <v>13</v>
      </c>
      <c r="BX202" s="1">
        <f ca="1">IFERROR(__xludf.DUMMYFUNCTION("""COMPUTED_VALUE"""),10)</f>
        <v>10</v>
      </c>
      <c r="BY202" s="1">
        <f ca="1">IFERROR(__xludf.DUMMYFUNCTION("""COMPUTED_VALUE"""),7)</f>
        <v>7</v>
      </c>
      <c r="BZ202" s="1">
        <f ca="1">IFERROR(__xludf.DUMMYFUNCTION("""COMPUTED_VALUE"""),2)</f>
        <v>2</v>
      </c>
      <c r="CA202" s="1"/>
      <c r="CB202" s="1"/>
      <c r="CC202" s="1" t="str">
        <f ca="1">IFERROR(__xludf.DUMMYFUNCTION("""COMPUTED_VALUE"""),"इस सभ्य डकैती से भी जूझिए : Rare Book")</f>
        <v>इस सभ्य डकैती से भी जूझिए : Rare Book</v>
      </c>
      <c r="CD202" s="3" t="str">
        <f ca="1">IFERROR(__xludf.DUMMYFUNCTION("""COMPUTED_VALUE"""),"https://vicharkrantibooks.org/productdetail?book_name=HINP0363_IS_SABHY_DAKAITI_SE_BHI_JUJHIE_xxyyyy&amp;product_id=928")</f>
        <v>https://vicharkrantibooks.org/productdetail?book_name=HINP0363_IS_SABHY_DAKAITI_SE_BHI_JUJHIE_xxyyyy&amp;product_id=928</v>
      </c>
      <c r="CE202" s="1" t="str">
        <f ca="1">IFERROR(__xludf.DUMMYFUNCTION("""COMPUTED_VALUE"""),"Audiobook : इस सभ्य डकैती से भी जूझिए : Rare Book : premlatadevi4669@gmail.com : Recorded")</f>
        <v>Audiobook : इस सभ्य डकैती से भी जूझिए : Rare Book : premlatadevi4669@gmail.com : Recorded</v>
      </c>
      <c r="CF202" s="1" t="str">
        <f ca="1">IFERROR(__xludf.DUMMYFUNCTION("""COMPUTED_VALUE"""),"#N/A")</f>
        <v>#N/A</v>
      </c>
      <c r="CG202" s="1" t="str">
        <f ca="1">IFERROR(__xludf.DUMMYFUNCTION("""COMPUTED_VALUE"""),"Adarniya Premlata barnwal  ji इस सभ्य डकैती से भी जूझिए : Rare Book : Allocated on 23-May-24 Contact Number  9372282030")</f>
        <v>Adarniya Premlata barnwal  ji इस सभ्य डकैती से भी जूझिए : Rare Book : Allocated on 23-May-24 Contact Number  9372282030</v>
      </c>
      <c r="CH202" s="1" t="str">
        <f ca="1">IFERROR(__xludf.DUMMYFUNCTION("""COMPUTED_VALUE"""),"premlatadevi4669@gmail.com : इस सभ्य डकैती से भी जूझिए : Rare Book")</f>
        <v>premlatadevi4669@gmail.com : इस सभ्य डकैती से भी जूझिए : Rare Book</v>
      </c>
      <c r="CI202" s="5">
        <f ca="1">IFERROR(__xludf.DUMMYFUNCTION("""COMPUTED_VALUE"""),45435.6932021412)</f>
        <v>45435.693202141199</v>
      </c>
    </row>
    <row r="203" spans="1:87" x14ac:dyDescent="0.25">
      <c r="A203" s="5">
        <f ca="1">IFERROR(__xludf.DUMMYFUNCTION("""COMPUTED_VALUE"""),45435.1568454976)</f>
        <v>45435.1568454976</v>
      </c>
      <c r="B203" s="1" t="str">
        <f ca="1">IFERROR(__xludf.DUMMYFUNCTION("""COMPUTED_VALUE"""),"sanjayneha1@yahoo.com")</f>
        <v>sanjayneha1@yahoo.com</v>
      </c>
      <c r="C203" s="1" t="str">
        <f ca="1">IFERROR(__xludf.DUMMYFUNCTION("""COMPUTED_VALUE"""),"Neha Manocha")</f>
        <v>Neha Manocha</v>
      </c>
      <c r="D203" s="1">
        <f ca="1">IFERROR(__xludf.DUMMYFUNCTION("""COMPUTED_VALUE"""),16174130446)</f>
        <v>16174130446</v>
      </c>
      <c r="E203" s="1" t="str">
        <f ca="1">IFERROR(__xludf.DUMMYFUNCTION("""COMPUTED_VALUE"""),"Yes")</f>
        <v>Yes</v>
      </c>
      <c r="F203" s="1" t="str">
        <f ca="1">IFERROR(__xludf.DUMMYFUNCTION("""COMPUTED_VALUE"""),"हिन्दी or English")</f>
        <v>हिन्दी or English</v>
      </c>
      <c r="G203" s="1" t="str">
        <f ca="1">IFERROR(__xludf.DUMMYFUNCTION("""COMPUTED_VALUE"""),"जीवन प्रबंध")</f>
        <v>जीवन प्रबंध</v>
      </c>
      <c r="H203" s="1"/>
      <c r="I203" s="1"/>
      <c r="J203" s="1"/>
      <c r="K203" s="1"/>
      <c r="L203" s="1" t="str">
        <f ca="1">IFERROR(__xludf.DUMMYFUNCTION("""COMPUTED_VALUE"""),"जीवन साधना")</f>
        <v>जीवन साधना</v>
      </c>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f ca="1">IFERROR(__xludf.DUMMYFUNCTION("""COMPUTED_VALUE"""),33)</f>
        <v>33</v>
      </c>
      <c r="BX203" s="1">
        <f ca="1">IFERROR(__xludf.DUMMYFUNCTION("""COMPUTED_VALUE"""),40)</f>
        <v>40</v>
      </c>
      <c r="BY203" s="1">
        <f ca="1">IFERROR(__xludf.DUMMYFUNCTION("""COMPUTED_VALUE"""),3)</f>
        <v>3</v>
      </c>
      <c r="BZ203" s="1">
        <f ca="1">IFERROR(__xludf.DUMMYFUNCTION("""COMPUTED_VALUE"""),22)</f>
        <v>22</v>
      </c>
      <c r="CA203" s="1"/>
      <c r="CB203" s="1"/>
      <c r="CC203" s="1" t="str">
        <f ca="1">IFERROR(__xludf.DUMMYFUNCTION("""COMPUTED_VALUE"""),"Let Us Know Yugrishi : EPB_131")</f>
        <v>Let Us Know Yugrishi : EPB_131</v>
      </c>
      <c r="CD203" s="3" t="str">
        <f ca="1">IFERROR(__xludf.DUMMYFUNCTION("""COMPUTED_VALUE"""),"https://vicharkrantibooks.org/productdetail?book_name=ENGB0200_LET_US_KNOW_YUGRISHI_1st2013&amp;product_id=3516")</f>
        <v>https://vicharkrantibooks.org/productdetail?book_name=ENGB0200_LET_US_KNOW_YUGRISHI_1st2013&amp;product_id=3516</v>
      </c>
      <c r="CE203" s="1" t="str">
        <f ca="1">IFERROR(__xludf.DUMMYFUNCTION("""COMPUTED_VALUE"""),"Audiobook : Let Us Know Yugrishi : EPB_131 : sanjayneha1@yahoo.com : Recorded")</f>
        <v>Audiobook : Let Us Know Yugrishi : EPB_131 : sanjayneha1@yahoo.com : Recorded</v>
      </c>
      <c r="CF203" s="1" t="str">
        <f ca="1">IFERROR(__xludf.DUMMYFUNCTION("""COMPUTED_VALUE"""),"Audiobook : Let Us Know Yugrishi : EPB_131 : sanjayneha1@yahoo.com : Recorded")</f>
        <v>Audiobook : Let Us Know Yugrishi : EPB_131 : sanjayneha1@yahoo.com : Recorded</v>
      </c>
      <c r="CG203" s="1" t="str">
        <f ca="1">IFERROR(__xludf.DUMMYFUNCTION("""COMPUTED_VALUE"""),"Adarniya Neha Manocha ji Let Us Know Yugrishi : EPB_131 : Allocated on 23-May-24 Contact Number  16174130446")</f>
        <v>Adarniya Neha Manocha ji Let Us Know Yugrishi : EPB_131 : Allocated on 23-May-24 Contact Number  16174130446</v>
      </c>
      <c r="CH203" s="1" t="str">
        <f ca="1">IFERROR(__xludf.DUMMYFUNCTION("""COMPUTED_VALUE"""),"sanjayneha1@yahoo.com : Let Us Know Yugrishi : EPB_131")</f>
        <v>sanjayneha1@yahoo.com : Let Us Know Yugrishi : EPB_131</v>
      </c>
      <c r="CI203" s="5">
        <f ca="1">IFERROR(__xludf.DUMMYFUNCTION("""COMPUTED_VALUE"""),45435.1568454976)</f>
        <v>45435.1568454976</v>
      </c>
    </row>
    <row r="204" spans="1:87" x14ac:dyDescent="0.25">
      <c r="A204" s="5">
        <f ca="1">IFERROR(__xludf.DUMMYFUNCTION("""COMPUTED_VALUE"""),45434.9419998958)</f>
        <v>45434.941999895796</v>
      </c>
      <c r="B204" s="1" t="str">
        <f ca="1">IFERROR(__xludf.DUMMYFUNCTION("""COMPUTED_VALUE"""),"daleshwary67@gmail.com")</f>
        <v>daleshwary67@gmail.com</v>
      </c>
      <c r="C204" s="1" t="str">
        <f ca="1">IFERROR(__xludf.DUMMYFUNCTION("""COMPUTED_VALUE"""),"daleshwary sharma ")</f>
        <v xml:space="preserve">daleshwary sharma </v>
      </c>
      <c r="D204" s="1">
        <f ca="1">IFERROR(__xludf.DUMMYFUNCTION("""COMPUTED_VALUE"""),8587900034)</f>
        <v>8587900034</v>
      </c>
      <c r="E204" s="1" t="str">
        <f ca="1">IFERROR(__xludf.DUMMYFUNCTION("""COMPUTED_VALUE"""),"No")</f>
        <v>No</v>
      </c>
      <c r="F204" s="1" t="str">
        <f ca="1">IFERROR(__xludf.DUMMYFUNCTION("""COMPUTED_VALUE"""),"हिन्दी")</f>
        <v>हिन्दी</v>
      </c>
      <c r="G204" s="1" t="str">
        <f ca="1">IFERROR(__xludf.DUMMYFUNCTION("""COMPUTED_VALUE"""),"समग्र स्वास्थ्य")</f>
        <v>समग्र स्वास्थ्य</v>
      </c>
      <c r="H204" s="1"/>
      <c r="I204" s="1"/>
      <c r="J204" s="1"/>
      <c r="K204" s="1"/>
      <c r="L204" s="1"/>
      <c r="M204" s="1"/>
      <c r="N204" s="1"/>
      <c r="O204" s="1"/>
      <c r="P204" s="1"/>
      <c r="Q204" s="1"/>
      <c r="R204" s="1"/>
      <c r="S204" s="1"/>
      <c r="T204" s="1"/>
      <c r="U204" s="1" t="str">
        <f ca="1">IFERROR(__xludf.DUMMYFUNCTION("""COMPUTED_VALUE"""),"स्वास्थ्य संवर्धन")</f>
        <v>स्वास्थ्य संवर्धन</v>
      </c>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f ca="1">IFERROR(__xludf.DUMMYFUNCTION("""COMPUTED_VALUE"""),15)</f>
        <v>15</v>
      </c>
      <c r="BX204" s="1">
        <f ca="1">IFERROR(__xludf.DUMMYFUNCTION("""COMPUTED_VALUE"""),9)</f>
        <v>9</v>
      </c>
      <c r="BY204" s="1">
        <f ca="1">IFERROR(__xludf.DUMMYFUNCTION("""COMPUTED_VALUE"""),5)</f>
        <v>5</v>
      </c>
      <c r="BZ204" s="1">
        <f ca="1">IFERROR(__xludf.DUMMYFUNCTION("""COMPUTED_VALUE"""),5)</f>
        <v>5</v>
      </c>
      <c r="CA204" s="1"/>
      <c r="CB204" s="1"/>
      <c r="CC204" s="1" t="str">
        <f ca="1">IFERROR(__xludf.DUMMYFUNCTION("""COMPUTED_VALUE"""),"मन की निर्मलता और शारीरिक स्वास्थ्य का अटूट सम्बन्ध : Rare Book")</f>
        <v>मन की निर्मलता और शारीरिक स्वास्थ्य का अटूट सम्बन्ध : Rare Book</v>
      </c>
      <c r="CD204" s="3" t="str">
        <f ca="1">IFERROR(__xludf.DUMMYFUNCTION("""COMPUTED_VALUE"""),"https://vicharkrantibooks.org/productdetail?book_name=HINP0486_MAN_KI_NIRMALATA_AUR_SHARIRIK_SWASTHY_KA_ATUT_SAMBANDH_xx1982&amp;product_id=1051")</f>
        <v>https://vicharkrantibooks.org/productdetail?book_name=HINP0486_MAN_KI_NIRMALATA_AUR_SHARIRIK_SWASTHY_KA_ATUT_SAMBANDH_xx1982&amp;product_id=1051</v>
      </c>
      <c r="CE204" s="1" t="str">
        <f ca="1">IFERROR(__xludf.DUMMYFUNCTION("""COMPUTED_VALUE"""),"Audiobook : मन की निर्मलता और शारीरिक स्वास्थ्य का अटूट सम्बन्ध : Rare Book : daleshwary67@gmail.com : Recorded")</f>
        <v>Audiobook : मन की निर्मलता और शारीरिक स्वास्थ्य का अटूट सम्बन्ध : Rare Book : daleshwary67@gmail.com : Recorded</v>
      </c>
      <c r="CF204" s="1" t="str">
        <f ca="1">IFERROR(__xludf.DUMMYFUNCTION("""COMPUTED_VALUE"""),"#N/A")</f>
        <v>#N/A</v>
      </c>
      <c r="CG204" s="1" t="str">
        <f ca="1">IFERROR(__xludf.DUMMYFUNCTION("""COMPUTED_VALUE"""),"Adarniya daleshwary sharma  ji मन की निर्मलता और शारीरिक स्वास्थ्य का अटूट सम्बन्ध : Rare Book : Allocated on 22-May-24 Contact Number  8587900034")</f>
        <v>Adarniya daleshwary sharma  ji मन की निर्मलता और शारीरिक स्वास्थ्य का अटूट सम्बन्ध : Rare Book : Allocated on 22-May-24 Contact Number  8587900034</v>
      </c>
      <c r="CH204" s="1" t="str">
        <f ca="1">IFERROR(__xludf.DUMMYFUNCTION("""COMPUTED_VALUE"""),"daleshwary67@gmail.com : मन की निर्मलता और शारीरिक स्वास्थ्य का अटूट सम्बन्ध : Rare Book")</f>
        <v>daleshwary67@gmail.com : मन की निर्मलता और शारीरिक स्वास्थ्य का अटूट सम्बन्ध : Rare Book</v>
      </c>
      <c r="CI204" s="5">
        <f ca="1">IFERROR(__xludf.DUMMYFUNCTION("""COMPUTED_VALUE"""),45434.9419998958)</f>
        <v>45434.941999895796</v>
      </c>
    </row>
    <row r="205" spans="1:87" x14ac:dyDescent="0.25">
      <c r="A205" s="5">
        <f ca="1">IFERROR(__xludf.DUMMYFUNCTION("""COMPUTED_VALUE"""),45434.1245192129)</f>
        <v>45434.124519212899</v>
      </c>
      <c r="B205" s="1" t="str">
        <f ca="1">IFERROR(__xludf.DUMMYFUNCTION("""COMPUTED_VALUE"""),"richasharma310575@gmail.com")</f>
        <v>richasharma310575@gmail.com</v>
      </c>
      <c r="C205" s="1" t="str">
        <f ca="1">IFERROR(__xludf.DUMMYFUNCTION("""COMPUTED_VALUE"""),"Richa Sharma")</f>
        <v>Richa Sharma</v>
      </c>
      <c r="D205" s="1">
        <f ca="1">IFERROR(__xludf.DUMMYFUNCTION("""COMPUTED_VALUE"""),9479664049)</f>
        <v>9479664049</v>
      </c>
      <c r="E205" s="1" t="str">
        <f ca="1">IFERROR(__xludf.DUMMYFUNCTION("""COMPUTED_VALUE"""),"Yes")</f>
        <v>Yes</v>
      </c>
      <c r="F205" s="1" t="str">
        <f ca="1">IFERROR(__xludf.DUMMYFUNCTION("""COMPUTED_VALUE"""),"हिन्दी")</f>
        <v>हिन्दी</v>
      </c>
      <c r="G205" s="1" t="str">
        <f ca="1">IFERROR(__xludf.DUMMYFUNCTION("""COMPUTED_VALUE"""),"संस्कार, कर्मकाण्ड, पाठ, पूजा, गीत-संगीत")</f>
        <v>संस्कार, कर्मकाण्ड, पाठ, पूजा, गीत-संगीत</v>
      </c>
      <c r="H205" s="1"/>
      <c r="I205" s="1"/>
      <c r="J205" s="1"/>
      <c r="K205" s="1"/>
      <c r="L205" s="1"/>
      <c r="M205" s="1"/>
      <c r="N205" s="1"/>
      <c r="O205" s="1"/>
      <c r="P205" s="1"/>
      <c r="Q205" s="1"/>
      <c r="R205" s="1"/>
      <c r="S205" s="1"/>
      <c r="T205" s="1"/>
      <c r="U205" s="1"/>
      <c r="V205" s="1"/>
      <c r="W205" s="1" t="str">
        <f ca="1">IFERROR(__xludf.DUMMYFUNCTION("""COMPUTED_VALUE"""),"पर्व-त्यौहार, कर्मकाण्ड")</f>
        <v>पर्व-त्यौहार, कर्मकाण्ड</v>
      </c>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t="str">
        <f ca="1">IFERROR(__xludf.DUMMYFUNCTION("""COMPUTED_VALUE"""),"युग परिवर्तन में समर्थ दीपयज्ञ")</f>
        <v>युग परिवर्तन में समर्थ दीपयज्ञ</v>
      </c>
      <c r="BH205" s="1"/>
      <c r="BI205" s="1"/>
      <c r="BJ205" s="1"/>
      <c r="BK205" s="1"/>
      <c r="BL205" s="1"/>
      <c r="BM205" s="1"/>
      <c r="BN205" s="1"/>
      <c r="BO205" s="1"/>
      <c r="BP205" s="1"/>
      <c r="BQ205" s="1"/>
      <c r="BR205" s="1"/>
      <c r="BS205" s="1"/>
      <c r="BT205" s="1"/>
      <c r="BU205" s="1"/>
      <c r="BV205" s="1"/>
      <c r="BW205" s="1">
        <f ca="1">IFERROR(__xludf.DUMMYFUNCTION("""COMPUTED_VALUE"""),23)</f>
        <v>23</v>
      </c>
      <c r="BX205" s="1">
        <f ca="1">IFERROR(__xludf.DUMMYFUNCTION("""COMPUTED_VALUE"""),28)</f>
        <v>28</v>
      </c>
      <c r="BY205" s="1">
        <f ca="1">IFERROR(__xludf.DUMMYFUNCTION("""COMPUTED_VALUE"""),2)</f>
        <v>2</v>
      </c>
      <c r="BZ205" s="1">
        <f ca="1">IFERROR(__xludf.DUMMYFUNCTION("""COMPUTED_VALUE"""),24)</f>
        <v>24</v>
      </c>
      <c r="CA205" s="1"/>
      <c r="CB205" s="1"/>
      <c r="CC205" s="1" t="str">
        <f ca="1">IFERROR(__xludf.DUMMYFUNCTION("""COMPUTED_VALUE"""),"महाकाल की भविष्यवाणी : Rare Book")</f>
        <v>महाकाल की भविष्यवाणी : Rare Book</v>
      </c>
      <c r="CD205" s="3" t="str">
        <f ca="1">IFERROR(__xludf.DUMMYFUNCTION("""COMPUTED_VALUE"""),"https://vicharkrantibooks.org/productdetail?book_name=HINP1117_MAHAKAL_KI_BHAVISHYAVANI_xxyyyy&amp;product_id=1682")</f>
        <v>https://vicharkrantibooks.org/productdetail?book_name=HINP1117_MAHAKAL_KI_BHAVISHYAVANI_xxyyyy&amp;product_id=1682</v>
      </c>
      <c r="CE205" s="1" t="str">
        <f ca="1">IFERROR(__xludf.DUMMYFUNCTION("""COMPUTED_VALUE"""),"Audiobook : महाकाल की भविष्यवाणी : Rare Book : richasharma310575@gmail.com : Recorded")</f>
        <v>Audiobook : महाकाल की भविष्यवाणी : Rare Book : richasharma310575@gmail.com : Recorded</v>
      </c>
      <c r="CF205" s="1" t="str">
        <f ca="1">IFERROR(__xludf.DUMMYFUNCTION("""COMPUTED_VALUE"""),"Audiobook : महाकाल की भविष्यवाणी : Rare Book : richasharma310575@gmail.com : Recorded")</f>
        <v>Audiobook : महाकाल की भविष्यवाणी : Rare Book : richasharma310575@gmail.com : Recorded</v>
      </c>
      <c r="CG205" s="1" t="str">
        <f ca="1">IFERROR(__xludf.DUMMYFUNCTION("""COMPUTED_VALUE"""),"Adarniya Richa Sharma ji महाकाल की भविष्यवाणी : Rare Book : Allocated on 22-May-24 Contact Number  9479664049")</f>
        <v>Adarniya Richa Sharma ji महाकाल की भविष्यवाणी : Rare Book : Allocated on 22-May-24 Contact Number  9479664049</v>
      </c>
      <c r="CH205" s="1" t="str">
        <f ca="1">IFERROR(__xludf.DUMMYFUNCTION("""COMPUTED_VALUE"""),"richasharma310575@gmail.com : महाकाल की भविष्यवाणी : Rare Book")</f>
        <v>richasharma310575@gmail.com : महाकाल की भविष्यवाणी : Rare Book</v>
      </c>
      <c r="CI205" s="5">
        <f ca="1">IFERROR(__xludf.DUMMYFUNCTION("""COMPUTED_VALUE"""),45434.1245192129)</f>
        <v>45434.124519212899</v>
      </c>
    </row>
    <row r="206" spans="1:87" x14ac:dyDescent="0.25">
      <c r="A206" s="5">
        <f ca="1">IFERROR(__xludf.DUMMYFUNCTION("""COMPUTED_VALUE"""),45433.9372769907)</f>
        <v>45433.937276990699</v>
      </c>
      <c r="B206" s="1" t="str">
        <f ca="1">IFERROR(__xludf.DUMMYFUNCTION("""COMPUTED_VALUE"""),"druma4107@gmail.com")</f>
        <v>druma4107@gmail.com</v>
      </c>
      <c r="C206" s="1" t="str">
        <f ca="1">IFERROR(__xludf.DUMMYFUNCTION("""COMPUTED_VALUE"""),"DrUma Agrawal")</f>
        <v>DrUma Agrawal</v>
      </c>
      <c r="D206" s="1">
        <f ca="1">IFERROR(__xludf.DUMMYFUNCTION("""COMPUTED_VALUE"""),9410861182)</f>
        <v>9410861182</v>
      </c>
      <c r="E206" s="1" t="str">
        <f ca="1">IFERROR(__xludf.DUMMYFUNCTION("""COMPUTED_VALUE"""),"Yes")</f>
        <v>Yes</v>
      </c>
      <c r="F206" s="1" t="str">
        <f ca="1">IFERROR(__xludf.DUMMYFUNCTION("""COMPUTED_VALUE"""),"हिन्दी")</f>
        <v>हिन्दी</v>
      </c>
      <c r="G206" s="1" t="str">
        <f ca="1">IFERROR(__xludf.DUMMYFUNCTION("""COMPUTED_VALUE"""),"समाज निर्माण")</f>
        <v>समाज निर्माण</v>
      </c>
      <c r="H206" s="1"/>
      <c r="I206" s="1"/>
      <c r="J206" s="1"/>
      <c r="K206" s="1"/>
      <c r="L206" s="1"/>
      <c r="M206" s="1"/>
      <c r="N206" s="1"/>
      <c r="O206" s="1"/>
      <c r="P206" s="1"/>
      <c r="Q206" s="1"/>
      <c r="R206" s="1"/>
      <c r="S206" s="1"/>
      <c r="T206" s="1"/>
      <c r="U206" s="1"/>
      <c r="V206" s="1" t="str">
        <f ca="1">IFERROR(__xludf.DUMMYFUNCTION("""COMPUTED_VALUE"""),"समाज निर्माण")</f>
        <v>समाज निर्माण</v>
      </c>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f ca="1">IFERROR(__xludf.DUMMYFUNCTION("""COMPUTED_VALUE"""),104)</f>
        <v>104</v>
      </c>
      <c r="BX206" s="1">
        <f ca="1">IFERROR(__xludf.DUMMYFUNCTION("""COMPUTED_VALUE"""),106)</f>
        <v>106</v>
      </c>
      <c r="BY206" s="1">
        <f ca="1">IFERROR(__xludf.DUMMYFUNCTION("""COMPUTED_VALUE"""),9)</f>
        <v>9</v>
      </c>
      <c r="BZ206" s="1">
        <f ca="1">IFERROR(__xludf.DUMMYFUNCTION("""COMPUTED_VALUE"""),43)</f>
        <v>43</v>
      </c>
      <c r="CA206" s="1"/>
      <c r="CB206" s="1"/>
      <c r="CC206" s="1" t="str">
        <f ca="1">IFERROR(__xludf.DUMMYFUNCTION("""COMPUTED_VALUE"""),"इन भ्रम जंजालों से मुक्त हों : Rare Book")</f>
        <v>इन भ्रम जंजालों से मुक्त हों : Rare Book</v>
      </c>
      <c r="CD206" s="3" t="str">
        <f ca="1">IFERROR(__xludf.DUMMYFUNCTION("""COMPUTED_VALUE"""),"https://vicharkrantibooks.org/productdetail?book_name=HINP0358_IN_BHRAM_JANJALON_SE_MUKT_HO_xx1982&amp;product_id=923")</f>
        <v>https://vicharkrantibooks.org/productdetail?book_name=HINP0358_IN_BHRAM_JANJALON_SE_MUKT_HO_xx1982&amp;product_id=923</v>
      </c>
      <c r="CE206" s="1" t="str">
        <f ca="1">IFERROR(__xludf.DUMMYFUNCTION("""COMPUTED_VALUE"""),"Audiobook : इन भ्रम जंजालों से मुक्त हों : Rare Book : druma4107@gmail.com : Recorded")</f>
        <v>Audiobook : इन भ्रम जंजालों से मुक्त हों : Rare Book : druma4107@gmail.com : Recorded</v>
      </c>
      <c r="CF206" s="1" t="str">
        <f ca="1">IFERROR(__xludf.DUMMYFUNCTION("""COMPUTED_VALUE"""),"Audiobook : इन भ्रम जंजालों से मुक्त हों : Rare Book : druma4107@gmail.com : Recorded")</f>
        <v>Audiobook : इन भ्रम जंजालों से मुक्त हों : Rare Book : druma4107@gmail.com : Recorded</v>
      </c>
      <c r="CG206" s="1" t="str">
        <f ca="1">IFERROR(__xludf.DUMMYFUNCTION("""COMPUTED_VALUE"""),"Adarniya DrUma Agrawal ji इन भ्रम जंजालों से मुक्त हों : Rare Book : Allocated on 21-May-24 Contact Number  9410861182")</f>
        <v>Adarniya DrUma Agrawal ji इन भ्रम जंजालों से मुक्त हों : Rare Book : Allocated on 21-May-24 Contact Number  9410861182</v>
      </c>
      <c r="CH206" s="1" t="str">
        <f ca="1">IFERROR(__xludf.DUMMYFUNCTION("""COMPUTED_VALUE"""),"druma4107@gmail.com : इन भ्रम जंजालों से मुक्त हों : Rare Book")</f>
        <v>druma4107@gmail.com : इन भ्रम जंजालों से मुक्त हों : Rare Book</v>
      </c>
      <c r="CI206" s="5">
        <f ca="1">IFERROR(__xludf.DUMMYFUNCTION("""COMPUTED_VALUE"""),45433.9372769907)</f>
        <v>45433.937276990699</v>
      </c>
    </row>
    <row r="207" spans="1:87" x14ac:dyDescent="0.25">
      <c r="A207" s="5">
        <f ca="1">IFERROR(__xludf.DUMMYFUNCTION("""COMPUTED_VALUE"""),45433.7389360995)</f>
        <v>45433.7389360995</v>
      </c>
      <c r="B207" s="1" t="str">
        <f ca="1">IFERROR(__xludf.DUMMYFUNCTION("""COMPUTED_VALUE"""),"jamunashukla17@gmail.com")</f>
        <v>jamunashukla17@gmail.com</v>
      </c>
      <c r="C207" s="1" t="str">
        <f ca="1">IFERROR(__xludf.DUMMYFUNCTION("""COMPUTED_VALUE"""),"J S  Shukla ")</f>
        <v xml:space="preserve">J S  Shukla </v>
      </c>
      <c r="D207" s="1">
        <f ca="1">IFERROR(__xludf.DUMMYFUNCTION("""COMPUTED_VALUE"""),8010712106)</f>
        <v>8010712106</v>
      </c>
      <c r="E207" s="1" t="str">
        <f ca="1">IFERROR(__xludf.DUMMYFUNCTION("""COMPUTED_VALUE"""),"Yes")</f>
        <v>Yes</v>
      </c>
      <c r="F207" s="1" t="str">
        <f ca="1">IFERROR(__xludf.DUMMYFUNCTION("""COMPUTED_VALUE"""),"हिन्दी")</f>
        <v>हिन्दी</v>
      </c>
      <c r="G207" s="1" t="str">
        <f ca="1">IFERROR(__xludf.DUMMYFUNCTION("""COMPUTED_VALUE"""),"युग द्रष्टा पं. श्रीराम शर्मा आचार्यजी")</f>
        <v>युग द्रष्टा पं. श्रीराम शर्मा आचार्यजी</v>
      </c>
      <c r="H207" s="1"/>
      <c r="I207" s="1"/>
      <c r="J207" s="1"/>
      <c r="K207" s="1"/>
      <c r="L207" s="1"/>
      <c r="M207" s="1"/>
      <c r="N207" s="1"/>
      <c r="O207" s="1"/>
      <c r="P207" s="1" t="str">
        <f ca="1">IFERROR(__xludf.DUMMYFUNCTION("""COMPUTED_VALUE"""),"युगॠषी की अमृतवाणी")</f>
        <v>युगॠषी की अमृतवाणी</v>
      </c>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f ca="1">IFERROR(__xludf.DUMMYFUNCTION("""COMPUTED_VALUE"""),53)</f>
        <v>53</v>
      </c>
      <c r="BX207" s="1">
        <f ca="1">IFERROR(__xludf.DUMMYFUNCTION("""COMPUTED_VALUE"""),53)</f>
        <v>53</v>
      </c>
      <c r="BY207" s="1">
        <f ca="1">IFERROR(__xludf.DUMMYFUNCTION("""COMPUTED_VALUE"""),9)</f>
        <v>9</v>
      </c>
      <c r="BZ207" s="1">
        <f ca="1">IFERROR(__xludf.DUMMYFUNCTION("""COMPUTED_VALUE"""),25)</f>
        <v>25</v>
      </c>
      <c r="CA207" s="1"/>
      <c r="CB207" s="1"/>
      <c r="CC207" s="1" t="str">
        <f ca="1">IFERROR(__xludf.DUMMYFUNCTION("""COMPUTED_VALUE"""),"अहंकार छोड़ें विनम्र बनें : Rare Book")</f>
        <v>अहंकार छोड़ें विनम्र बनें : Rare Book</v>
      </c>
      <c r="CD207" s="3" t="str">
        <f ca="1">IFERROR(__xludf.DUMMYFUNCTION("""COMPUTED_VALUE"""),"https://vicharkrantibooks.org/productdetail?book_name=HINP0031_AHANKAR_CHHODEN_VINAMR_BANEN_xxyyyy&amp;product_id=596")</f>
        <v>https://vicharkrantibooks.org/productdetail?book_name=HINP0031_AHANKAR_CHHODEN_VINAMR_BANEN_xxyyyy&amp;product_id=596</v>
      </c>
      <c r="CE207" s="1" t="str">
        <f ca="1">IFERROR(__xludf.DUMMYFUNCTION("""COMPUTED_VALUE"""),"Audiobook : अहंकार छोड़ें विनम्र बनें : Rare Book : jamunashukla17@gmail.com : Recorded")</f>
        <v>Audiobook : अहंकार छोड़ें विनम्र बनें : Rare Book : jamunashukla17@gmail.com : Recorded</v>
      </c>
      <c r="CF207" s="1" t="str">
        <f ca="1">IFERROR(__xludf.DUMMYFUNCTION("""COMPUTED_VALUE"""),"#N/A")</f>
        <v>#N/A</v>
      </c>
      <c r="CG207" s="1" t="str">
        <f ca="1">IFERROR(__xludf.DUMMYFUNCTION("""COMPUTED_VALUE"""),"Adarniya J S  Shukla  ji अहंकार छोड़ें विनम्र बनें : Rare Book : Allocated on 21-May-24 Contact Number  8010712106")</f>
        <v>Adarniya J S  Shukla  ji अहंकार छोड़ें विनम्र बनें : Rare Book : Allocated on 21-May-24 Contact Number  8010712106</v>
      </c>
      <c r="CH207" s="1" t="str">
        <f ca="1">IFERROR(__xludf.DUMMYFUNCTION("""COMPUTED_VALUE"""),"jamunashukla17@gmail.com : अहंकार छोड़ें विनम्र बनें : Rare Book")</f>
        <v>jamunashukla17@gmail.com : अहंकार छोड़ें विनम्र बनें : Rare Book</v>
      </c>
      <c r="CI207" s="5">
        <f ca="1">IFERROR(__xludf.DUMMYFUNCTION("""COMPUTED_VALUE"""),45433.7389360995)</f>
        <v>45433.7389360995</v>
      </c>
    </row>
    <row r="208" spans="1:87" x14ac:dyDescent="0.25">
      <c r="A208" s="5">
        <f ca="1">IFERROR(__xludf.DUMMYFUNCTION("""COMPUTED_VALUE"""),45432.8958541319)</f>
        <v>45432.895854131901</v>
      </c>
      <c r="B208" s="1" t="str">
        <f ca="1">IFERROR(__xludf.DUMMYFUNCTION("""COMPUTED_VALUE"""),"spmittalmumbai@gmail.com")</f>
        <v>spmittalmumbai@gmail.com</v>
      </c>
      <c r="C208" s="1" t="str">
        <f ca="1">IFERROR(__xludf.DUMMYFUNCTION("""COMPUTED_VALUE"""),"S.P.Mittal")</f>
        <v>S.P.Mittal</v>
      </c>
      <c r="D208" s="1">
        <f ca="1">IFERROR(__xludf.DUMMYFUNCTION("""COMPUTED_VALUE"""),9860003407)</f>
        <v>9860003407</v>
      </c>
      <c r="E208" s="1" t="str">
        <f ca="1">IFERROR(__xludf.DUMMYFUNCTION("""COMPUTED_VALUE"""),"Yes")</f>
        <v>Yes</v>
      </c>
      <c r="F208" s="1" t="str">
        <f ca="1">IFERROR(__xludf.DUMMYFUNCTION("""COMPUTED_VALUE"""),"हिन्दी")</f>
        <v>हिन्दी</v>
      </c>
      <c r="G208" s="1" t="str">
        <f ca="1">IFERROR(__xludf.DUMMYFUNCTION("""COMPUTED_VALUE"""),"जीवन प्रबंध")</f>
        <v>जीवन प्रबंध</v>
      </c>
      <c r="H208" s="1"/>
      <c r="I208" s="1"/>
      <c r="J208" s="1"/>
      <c r="K208" s="1"/>
      <c r="L208" s="1" t="str">
        <f ca="1">IFERROR(__xludf.DUMMYFUNCTION("""COMPUTED_VALUE"""),"सफल, संतुष्ट एवं सुखी जीवन")</f>
        <v>सफल, संतुष्ट एवं सुखी जीवन</v>
      </c>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f ca="1">IFERROR(__xludf.DUMMYFUNCTION("""COMPUTED_VALUE"""),39)</f>
        <v>39</v>
      </c>
      <c r="BX208" s="1">
        <f ca="1">IFERROR(__xludf.DUMMYFUNCTION("""COMPUTED_VALUE"""),32)</f>
        <v>32</v>
      </c>
      <c r="BY208" s="1">
        <f ca="1">IFERROR(__xludf.DUMMYFUNCTION("""COMPUTED_VALUE"""),11)</f>
        <v>11</v>
      </c>
      <c r="BZ208" s="1">
        <f ca="1">IFERROR(__xludf.DUMMYFUNCTION("""COMPUTED_VALUE"""),23)</f>
        <v>23</v>
      </c>
      <c r="CA208" s="1"/>
      <c r="CB208" s="1"/>
      <c r="CC208" s="1" t="str">
        <f ca="1">IFERROR(__xludf.DUMMYFUNCTION("""COMPUTED_VALUE"""),"बडप्पन नहीं महानता कमाएँ : Rare Book")</f>
        <v>बडप्पन नहीं महानता कमाएँ : Rare Book</v>
      </c>
      <c r="CD208" s="3" t="str">
        <f ca="1">IFERROR(__xludf.DUMMYFUNCTION("""COMPUTED_VALUE"""),"https://vicharkrantibooks.org/productdetail?book_name=HINP0127_BADAPPAN_NAHI_MAHANATA_KAMAEN_xx1982&amp;product_id=692")</f>
        <v>https://vicharkrantibooks.org/productdetail?book_name=HINP0127_BADAPPAN_NAHI_MAHANATA_KAMAEN_xx1982&amp;product_id=692</v>
      </c>
      <c r="CE208" s="1" t="str">
        <f ca="1">IFERROR(__xludf.DUMMYFUNCTION("""COMPUTED_VALUE"""),"Audiobook : बडप्पन नहीं महानता कमाएँ : Rare Book : spmittalmumbai@gmail.com : Recorded")</f>
        <v>Audiobook : बडप्पन नहीं महानता कमाएँ : Rare Book : spmittalmumbai@gmail.com : Recorded</v>
      </c>
      <c r="CF208" s="1" t="str">
        <f ca="1">IFERROR(__xludf.DUMMYFUNCTION("""COMPUTED_VALUE"""),"Audiobook : बडप्पन नहीं महानता कमाएँ : Rare Book : spmittalmumbai@gmail.com : Recorded")</f>
        <v>Audiobook : बडप्पन नहीं महानता कमाएँ : Rare Book : spmittalmumbai@gmail.com : Recorded</v>
      </c>
      <c r="CG208" s="1" t="str">
        <f ca="1">IFERROR(__xludf.DUMMYFUNCTION("""COMPUTED_VALUE"""),"Adarniya S.P.Mittal ji बडप्पन नहीं महानता कमाएँ : Rare Book : Allocated on 20-May-24 Contact Number  9860003407")</f>
        <v>Adarniya S.P.Mittal ji बडप्पन नहीं महानता कमाएँ : Rare Book : Allocated on 20-May-24 Contact Number  9860003407</v>
      </c>
      <c r="CH208" s="1" t="str">
        <f ca="1">IFERROR(__xludf.DUMMYFUNCTION("""COMPUTED_VALUE"""),"spmittalmumbai@gmail.com : बडप्पन नहीं महानता कमाएँ : Rare Book")</f>
        <v>spmittalmumbai@gmail.com : बडप्पन नहीं महानता कमाएँ : Rare Book</v>
      </c>
      <c r="CI208" s="5">
        <f ca="1">IFERROR(__xludf.DUMMYFUNCTION("""COMPUTED_VALUE"""),45432.8958541319)</f>
        <v>45432.895854131901</v>
      </c>
    </row>
    <row r="209" spans="1:87" x14ac:dyDescent="0.25">
      <c r="A209" s="5">
        <f ca="1">IFERROR(__xludf.DUMMYFUNCTION("""COMPUTED_VALUE"""),45431.9584972338)</f>
        <v>45431.958497233798</v>
      </c>
      <c r="B209" s="1" t="str">
        <f ca="1">IFERROR(__xludf.DUMMYFUNCTION("""COMPUTED_VALUE"""),"jagriti.mishra@gmail.com")</f>
        <v>jagriti.mishra@gmail.com</v>
      </c>
      <c r="C209" s="1" t="str">
        <f ca="1">IFERROR(__xludf.DUMMYFUNCTION("""COMPUTED_VALUE"""),"Jagriti Mishra")</f>
        <v>Jagriti Mishra</v>
      </c>
      <c r="D209" s="1">
        <f ca="1">IFERROR(__xludf.DUMMYFUNCTION("""COMPUTED_VALUE"""),9860078596)</f>
        <v>9860078596</v>
      </c>
      <c r="E209" s="1" t="str">
        <f ca="1">IFERROR(__xludf.DUMMYFUNCTION("""COMPUTED_VALUE"""),"Yes")</f>
        <v>Yes</v>
      </c>
      <c r="F209" s="1" t="str">
        <f ca="1">IFERROR(__xludf.DUMMYFUNCTION("""COMPUTED_VALUE"""),"हिन्दी")</f>
        <v>हिन्दी</v>
      </c>
      <c r="G209" s="1" t="str">
        <f ca="1">IFERROR(__xludf.DUMMYFUNCTION("""COMPUTED_VALUE"""),"युग द्रष्टा पं. श्रीराम शर्मा आचार्यजी")</f>
        <v>युग द्रष्टा पं. श्रीराम शर्मा आचार्यजी</v>
      </c>
      <c r="H209" s="1"/>
      <c r="I209" s="1"/>
      <c r="J209" s="1"/>
      <c r="K209" s="1"/>
      <c r="L209" s="1"/>
      <c r="M209" s="1"/>
      <c r="N209" s="1"/>
      <c r="O209" s="1"/>
      <c r="P209" s="1" t="str">
        <f ca="1">IFERROR(__xludf.DUMMYFUNCTION("""COMPUTED_VALUE"""),"युगॠषी की अमृतवाणी")</f>
        <v>युगॠषी की अमृतवाणी</v>
      </c>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f ca="1">IFERROR(__xludf.DUMMYFUNCTION("""COMPUTED_VALUE"""),3)</f>
        <v>3</v>
      </c>
      <c r="BX209" s="1">
        <f ca="1">IFERROR(__xludf.DUMMYFUNCTION("""COMPUTED_VALUE"""),2)</f>
        <v>2</v>
      </c>
      <c r="BY209" s="1">
        <f ca="1">IFERROR(__xludf.DUMMYFUNCTION("""COMPUTED_VALUE"""),1)</f>
        <v>1</v>
      </c>
      <c r="BZ209" s="1">
        <f ca="1">IFERROR(__xludf.DUMMYFUNCTION("""COMPUTED_VALUE"""),0)</f>
        <v>0</v>
      </c>
      <c r="CA209" s="1"/>
      <c r="CB209" s="1"/>
      <c r="CC209" s="1" t="str">
        <f ca="1">IFERROR(__xludf.DUMMYFUNCTION("""COMPUTED_VALUE"""),"संकल्प अभियान (व्यवहार पक्ष) : Rare Book")</f>
        <v>संकल्प अभियान (व्यवहार पक्ष) : Rare Book</v>
      </c>
      <c r="CD209" s="3" t="str">
        <f ca="1">IFERROR(__xludf.DUMMYFUNCTION("""COMPUTED_VALUE"""),"https://vicharkrantibooks.org/productdetail?book_name=HINP0783_SANKALP_ABHIYAN_(VYAVAHAR_PAKSH)_xx1978&amp;product_id=1348")</f>
        <v>https://vicharkrantibooks.org/productdetail?book_name=HINP0783_SANKALP_ABHIYAN_(VYAVAHAR_PAKSH)_xx1978&amp;product_id=1348</v>
      </c>
      <c r="CE209" s="1" t="str">
        <f ca="1">IFERROR(__xludf.DUMMYFUNCTION("""COMPUTED_VALUE"""),"Audiobook : संकल्प अभियान (व्यवहार पक्ष) : Rare Book : jagriti.mishra@gmail.com : Recorded")</f>
        <v>Audiobook : संकल्प अभियान (व्यवहार पक्ष) : Rare Book : jagriti.mishra@gmail.com : Recorded</v>
      </c>
      <c r="CF209" s="1" t="str">
        <f ca="1">IFERROR(__xludf.DUMMYFUNCTION("""COMPUTED_VALUE"""),"Audiobook : संकल्प अभियान (व्यवहार पक्ष) : Rare Book : jagriti.mishra@gmail.com : Recorded")</f>
        <v>Audiobook : संकल्प अभियान (व्यवहार पक्ष) : Rare Book : jagriti.mishra@gmail.com : Recorded</v>
      </c>
      <c r="CG209" s="1" t="str">
        <f ca="1">IFERROR(__xludf.DUMMYFUNCTION("""COMPUTED_VALUE"""),"Adarniya Jagriti Mishra ji संकल्प अभियान (व्यवहार पक्ष) : Rare Book : Allocated on 19-May-24 Contact Number  9860078596")</f>
        <v>Adarniya Jagriti Mishra ji संकल्प अभियान (व्यवहार पक्ष) : Rare Book : Allocated on 19-May-24 Contact Number  9860078596</v>
      </c>
      <c r="CH209" s="1" t="str">
        <f ca="1">IFERROR(__xludf.DUMMYFUNCTION("""COMPUTED_VALUE"""),"jagriti.mishra@gmail.com : संकल्प अभियान (व्यवहार पक्ष) : Rare Book")</f>
        <v>jagriti.mishra@gmail.com : संकल्प अभियान (व्यवहार पक्ष) : Rare Book</v>
      </c>
      <c r="CI209" s="5">
        <f ca="1">IFERROR(__xludf.DUMMYFUNCTION("""COMPUTED_VALUE"""),45431.9584972338)</f>
        <v>45431.958497233798</v>
      </c>
    </row>
    <row r="210" spans="1:87" x14ac:dyDescent="0.25">
      <c r="A210" s="5">
        <f ca="1">IFERROR(__xludf.DUMMYFUNCTION("""COMPUTED_VALUE"""),45431.9113569212)</f>
        <v>45431.911356921199</v>
      </c>
      <c r="B210" s="1" t="str">
        <f ca="1">IFERROR(__xludf.DUMMYFUNCTION("""COMPUTED_VALUE"""),"rajnivarma24.vns@gmail.com")</f>
        <v>rajnivarma24.vns@gmail.com</v>
      </c>
      <c r="C210" s="1" t="str">
        <f ca="1">IFERROR(__xludf.DUMMYFUNCTION("""COMPUTED_VALUE"""),"Rajni varma")</f>
        <v>Rajni varma</v>
      </c>
      <c r="D210" s="1">
        <f ca="1">IFERROR(__xludf.DUMMYFUNCTION("""COMPUTED_VALUE"""),9335661433)</f>
        <v>9335661433</v>
      </c>
      <c r="E210" s="1" t="str">
        <f ca="1">IFERROR(__xludf.DUMMYFUNCTION("""COMPUTED_VALUE"""),"No")</f>
        <v>No</v>
      </c>
      <c r="F210" s="1" t="str">
        <f ca="1">IFERROR(__xludf.DUMMYFUNCTION("""COMPUTED_VALUE"""),"हिन्दी")</f>
        <v>हिन्दी</v>
      </c>
      <c r="G210" s="1" t="str">
        <f ca="1">IFERROR(__xludf.DUMMYFUNCTION("""COMPUTED_VALUE"""),"भारतीय संस्कृति")</f>
        <v>भारतीय संस्कृति</v>
      </c>
      <c r="H210" s="1"/>
      <c r="I210" s="1"/>
      <c r="J210" s="1"/>
      <c r="K210" s="1"/>
      <c r="L210" s="1"/>
      <c r="M210" s="1"/>
      <c r="N210" s="1"/>
      <c r="O210" s="1" t="str">
        <f ca="1">IFERROR(__xludf.DUMMYFUNCTION("""COMPUTED_VALUE"""),"भारतीय संस्कृति")</f>
        <v>भारतीय संस्कृति</v>
      </c>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f ca="1">IFERROR(__xludf.DUMMYFUNCTION("""COMPUTED_VALUE"""),30)</f>
        <v>30</v>
      </c>
      <c r="BX210" s="1">
        <f ca="1">IFERROR(__xludf.DUMMYFUNCTION("""COMPUTED_VALUE"""),25)</f>
        <v>25</v>
      </c>
      <c r="BY210" s="1">
        <f ca="1">IFERROR(__xludf.DUMMYFUNCTION("""COMPUTED_VALUE"""),7)</f>
        <v>7</v>
      </c>
      <c r="BZ210" s="1">
        <f ca="1">IFERROR(__xludf.DUMMYFUNCTION("""COMPUTED_VALUE"""),7)</f>
        <v>7</v>
      </c>
      <c r="CA210" s="1"/>
      <c r="CB210" s="1"/>
      <c r="CC210" s="1" t="str">
        <f ca="1">IFERROR(__xludf.DUMMYFUNCTION("""COMPUTED_VALUE"""),"गायत्री रहस्य : Rare Book")</f>
        <v>गायत्री रहस्य : Rare Book</v>
      </c>
      <c r="CD210" s="3" t="str">
        <f ca="1">IFERROR(__xludf.DUMMYFUNCTION("""COMPUTED_VALUE"""),"https://vicharkrantibooks.org/productdetail?book_name=HINP0289_GAYATRI_RAHASY_xxyyyy&amp;product_id=854")</f>
        <v>https://vicharkrantibooks.org/productdetail?book_name=HINP0289_GAYATRI_RAHASY_xxyyyy&amp;product_id=854</v>
      </c>
      <c r="CE210" s="1" t="str">
        <f ca="1">IFERROR(__xludf.DUMMYFUNCTION("""COMPUTED_VALUE"""),"Audiobook : गायत्री रहस्य : Rare Book : rajnivarma24.vns@gmail.com : Recorded")</f>
        <v>Audiobook : गायत्री रहस्य : Rare Book : rajnivarma24.vns@gmail.com : Recorded</v>
      </c>
      <c r="CF210" s="1" t="str">
        <f ca="1">IFERROR(__xludf.DUMMYFUNCTION("""COMPUTED_VALUE"""),"#N/A")</f>
        <v>#N/A</v>
      </c>
      <c r="CG210" s="1" t="str">
        <f ca="1">IFERROR(__xludf.DUMMYFUNCTION("""COMPUTED_VALUE"""),"Adarniya Rajni varma ji गायत्री रहस्य : Rare Book : Allocated on 19-May-24 Contact Number  9335661433")</f>
        <v>Adarniya Rajni varma ji गायत्री रहस्य : Rare Book : Allocated on 19-May-24 Contact Number  9335661433</v>
      </c>
      <c r="CH210" s="1" t="str">
        <f ca="1">IFERROR(__xludf.DUMMYFUNCTION("""COMPUTED_VALUE"""),"rajnivarma24.vns@gmail.com : गायत्री रहस्य : Rare Book")</f>
        <v>rajnivarma24.vns@gmail.com : गायत्री रहस्य : Rare Book</v>
      </c>
      <c r="CI210" s="5">
        <f ca="1">IFERROR(__xludf.DUMMYFUNCTION("""COMPUTED_VALUE"""),45431.9113569212)</f>
        <v>45431.911356921199</v>
      </c>
    </row>
    <row r="211" spans="1:87" x14ac:dyDescent="0.25">
      <c r="A211" s="5">
        <f ca="1">IFERROR(__xludf.DUMMYFUNCTION("""COMPUTED_VALUE"""),45431.5888832638)</f>
        <v>45431.588883263801</v>
      </c>
      <c r="B211" s="1" t="str">
        <f ca="1">IFERROR(__xludf.DUMMYFUNCTION("""COMPUTED_VALUE"""),"dave.chhaya@gmail.com")</f>
        <v>dave.chhaya@gmail.com</v>
      </c>
      <c r="C211" s="1" t="str">
        <f ca="1">IFERROR(__xludf.DUMMYFUNCTION("""COMPUTED_VALUE"""),"Chhaya Deepak Dave ")</f>
        <v xml:space="preserve">Chhaya Deepak Dave </v>
      </c>
      <c r="D211" s="1">
        <f ca="1">IFERROR(__xludf.DUMMYFUNCTION("""COMPUTED_VALUE"""),9879596556)</f>
        <v>9879596556</v>
      </c>
      <c r="E211" s="1" t="str">
        <f ca="1">IFERROR(__xludf.DUMMYFUNCTION("""COMPUTED_VALUE"""),"Yes")</f>
        <v>Yes</v>
      </c>
      <c r="F211" s="1" t="str">
        <f ca="1">IFERROR(__xludf.DUMMYFUNCTION("""COMPUTED_VALUE"""),"गुजराती")</f>
        <v>गुजराती</v>
      </c>
      <c r="G211" s="1" t="str">
        <f ca="1">IFERROR(__xludf.DUMMYFUNCTION("""COMPUTED_VALUE"""),"युग द्रष्टा पं. श्रीराम शर्मा आचार्यजी")</f>
        <v>युग द्रष्टा पं. श्रीराम शर्मा आचार्यजी</v>
      </c>
      <c r="H211" s="1"/>
      <c r="I211" s="1"/>
      <c r="J211" s="1"/>
      <c r="K211" s="1"/>
      <c r="L211" s="1"/>
      <c r="M211" s="1"/>
      <c r="N211" s="1"/>
      <c r="O211" s="1"/>
      <c r="P211" s="1" t="str">
        <f ca="1">IFERROR(__xludf.DUMMYFUNCTION("""COMPUTED_VALUE"""),"युगॠषी की अमृतवाणी")</f>
        <v>युगॠषी की अमृतवाणी</v>
      </c>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f ca="1">IFERROR(__xludf.DUMMYFUNCTION("""COMPUTED_VALUE"""),46)</f>
        <v>46</v>
      </c>
      <c r="BX211" s="1">
        <f ca="1">IFERROR(__xludf.DUMMYFUNCTION("""COMPUTED_VALUE"""),39)</f>
        <v>39</v>
      </c>
      <c r="BY211" s="1">
        <f ca="1">IFERROR(__xludf.DUMMYFUNCTION("""COMPUTED_VALUE"""),6)</f>
        <v>6</v>
      </c>
      <c r="BZ211" s="1">
        <f ca="1">IFERROR(__xludf.DUMMYFUNCTION("""COMPUTED_VALUE"""),16)</f>
        <v>16</v>
      </c>
      <c r="CA211" s="1"/>
      <c r="CB211" s="1"/>
      <c r="CC211" s="1" t="str">
        <f ca="1">IFERROR(__xludf.DUMMYFUNCTION("""COMPUTED_VALUE"""),"બાળકોને સારા સંસ્કાર આપો : G_PP_18")</f>
        <v>બાળકોને સારા સંસ્કાર આપો : G_PP_18</v>
      </c>
      <c r="CD211" s="3" t="str">
        <f ca="1">IFERROR(__xludf.DUMMYFUNCTION("""COMPUTED_VALUE"""),"https://vicharkrantibooks.org/productdetail?product_id=3923")</f>
        <v>https://vicharkrantibooks.org/productdetail?product_id=3923</v>
      </c>
      <c r="CE211" s="1" t="str">
        <f ca="1">IFERROR(__xludf.DUMMYFUNCTION("""COMPUTED_VALUE"""),"Audiobook : બાળકોને સારા સંસ્કાર આપો : G_PP_18 : dave.chhaya@gmail.com : Recorded")</f>
        <v>Audiobook : બાળકોને સારા સંસ્કાર આપો : G_PP_18 : dave.chhaya@gmail.com : Recorded</v>
      </c>
      <c r="CF211" s="1" t="str">
        <f ca="1">IFERROR(__xludf.DUMMYFUNCTION("""COMPUTED_VALUE"""),"Audiobook : બાળકોને સારા સંસ્કાર આપો : G_PP_18 : dave.chhaya@gmail.com : Recorded")</f>
        <v>Audiobook : બાળકોને સારા સંસ્કાર આપો : G_PP_18 : dave.chhaya@gmail.com : Recorded</v>
      </c>
      <c r="CG211" s="1" t="str">
        <f ca="1">IFERROR(__xludf.DUMMYFUNCTION("""COMPUTED_VALUE"""),"Adarniya Chhaya Deepak Dave  ji બાળકોને સારા સંસ્કાર આપો : G_PP_18 : Allocated on 19-May-24 Contact Number  9879596556")</f>
        <v>Adarniya Chhaya Deepak Dave  ji બાળકોને સારા સંસ્કાર આપો : G_PP_18 : Allocated on 19-May-24 Contact Number  9879596556</v>
      </c>
      <c r="CH211" s="1" t="str">
        <f ca="1">IFERROR(__xludf.DUMMYFUNCTION("""COMPUTED_VALUE"""),"dave.chhaya@gmail.com : બાળકોને સારા સંસ્કાર આપો : G_PP_18")</f>
        <v>dave.chhaya@gmail.com : બાળકોને સારા સંસ્કાર આપો : G_PP_18</v>
      </c>
      <c r="CI211" s="5">
        <f ca="1">IFERROR(__xludf.DUMMYFUNCTION("""COMPUTED_VALUE"""),45431.5888832638)</f>
        <v>45431.588883263801</v>
      </c>
    </row>
    <row r="212" spans="1:87" x14ac:dyDescent="0.25">
      <c r="A212" s="5">
        <f ca="1">IFERROR(__xludf.DUMMYFUNCTION("""COMPUTED_VALUE"""),45431.5262550347)</f>
        <v>45431.526255034703</v>
      </c>
      <c r="B212" s="1" t="str">
        <f ca="1">IFERROR(__xludf.DUMMYFUNCTION("""COMPUTED_VALUE"""),"premlatadevi4669@gmail.com")</f>
        <v>premlatadevi4669@gmail.com</v>
      </c>
      <c r="C212" s="1" t="str">
        <f ca="1">IFERROR(__xludf.DUMMYFUNCTION("""COMPUTED_VALUE"""),"Premlata barnwal ")</f>
        <v xml:space="preserve">Premlata barnwal </v>
      </c>
      <c r="D212" s="1">
        <f ca="1">IFERROR(__xludf.DUMMYFUNCTION("""COMPUTED_VALUE"""),9372282030)</f>
        <v>9372282030</v>
      </c>
      <c r="E212" s="1" t="str">
        <f ca="1">IFERROR(__xludf.DUMMYFUNCTION("""COMPUTED_VALUE"""),"Yes")</f>
        <v>Yes</v>
      </c>
      <c r="F212" s="1" t="str">
        <f ca="1">IFERROR(__xludf.DUMMYFUNCTION("""COMPUTED_VALUE"""),"हिन्दी")</f>
        <v>हिन्दी</v>
      </c>
      <c r="G212" s="1" t="str">
        <f ca="1">IFERROR(__xludf.DUMMYFUNCTION("""COMPUTED_VALUE"""),"परिवार निर्माण")</f>
        <v>परिवार निर्माण</v>
      </c>
      <c r="H212" s="1"/>
      <c r="I212" s="1"/>
      <c r="J212" s="1"/>
      <c r="K212" s="1"/>
      <c r="L212" s="1"/>
      <c r="M212" s="1" t="str">
        <f ca="1">IFERROR(__xludf.DUMMYFUNCTION("""COMPUTED_VALUE"""),"बाल मनोविज्ञान")</f>
        <v>बाल मनोविज्ञान</v>
      </c>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f ca="1">IFERROR(__xludf.DUMMYFUNCTION("""COMPUTED_VALUE"""),13)</f>
        <v>13</v>
      </c>
      <c r="BX212" s="1">
        <f ca="1">IFERROR(__xludf.DUMMYFUNCTION("""COMPUTED_VALUE"""),10)</f>
        <v>10</v>
      </c>
      <c r="BY212" s="1">
        <f ca="1">IFERROR(__xludf.DUMMYFUNCTION("""COMPUTED_VALUE"""),7)</f>
        <v>7</v>
      </c>
      <c r="BZ212" s="1">
        <f ca="1">IFERROR(__xludf.DUMMYFUNCTION("""COMPUTED_VALUE"""),2)</f>
        <v>2</v>
      </c>
      <c r="CA212" s="1"/>
      <c r="CB212" s="1"/>
      <c r="CC212" s="1" t="str">
        <f ca="1">IFERROR(__xludf.DUMMYFUNCTION("""COMPUTED_VALUE"""),"भावी पीढी के निर्माण में अभिभावकों का उत्तरदायित्व  : Rare Book")</f>
        <v>भावी पीढी के निर्माण में अभिभावकों का उत्तरदायित्व  : Rare Book</v>
      </c>
      <c r="CD212" s="3" t="str">
        <f ca="1">IFERROR(__xludf.DUMMYFUNCTION("""COMPUTED_VALUE"""),"https://vicharkrantibooks.org/productdetail?book_name=HINP0162_BHAVI_PIDHI_KE_NIRMAN_MEIN_ABHIBHAVAKON_KA_UTTARADAYITV_xx1981&amp;product_id=727")</f>
        <v>https://vicharkrantibooks.org/productdetail?book_name=HINP0162_BHAVI_PIDHI_KE_NIRMAN_MEIN_ABHIBHAVAKON_KA_UTTARADAYITV_xx1981&amp;product_id=727</v>
      </c>
      <c r="CE212" s="1" t="str">
        <f ca="1">IFERROR(__xludf.DUMMYFUNCTION("""COMPUTED_VALUE"""),"Audiobook : भावी पीढी के निर्माण में अभिभावकों का उत्तरदायित्व  : Rare Book : premlatadevi4669@gmail.com : Recorded")</f>
        <v>Audiobook : भावी पीढी के निर्माण में अभिभावकों का उत्तरदायित्व  : Rare Book : premlatadevi4669@gmail.com : Recorded</v>
      </c>
      <c r="CF212" s="1" t="str">
        <f ca="1">IFERROR(__xludf.DUMMYFUNCTION("""COMPUTED_VALUE"""),"#N/A")</f>
        <v>#N/A</v>
      </c>
      <c r="CG212" s="1" t="str">
        <f ca="1">IFERROR(__xludf.DUMMYFUNCTION("""COMPUTED_VALUE"""),"Adarniya Premlata barnwal  ji भावी पीढी के निर्माण में अभिभावकों का उत्तरदायित्व  : Rare Book : Allocated on 19-May-24 Contact Number  9372282030")</f>
        <v>Adarniya Premlata barnwal  ji भावी पीढी के निर्माण में अभिभावकों का उत्तरदायित्व  : Rare Book : Allocated on 19-May-24 Contact Number  9372282030</v>
      </c>
      <c r="CH212" s="1" t="str">
        <f ca="1">IFERROR(__xludf.DUMMYFUNCTION("""COMPUTED_VALUE"""),"premlatadevi4669@gmail.com : भावी पीढी के निर्माण में अभिभावकों का उत्तरदायित्व  : Rare Book")</f>
        <v>premlatadevi4669@gmail.com : भावी पीढी के निर्माण में अभिभावकों का उत्तरदायित्व  : Rare Book</v>
      </c>
      <c r="CI212" s="5">
        <f ca="1">IFERROR(__xludf.DUMMYFUNCTION("""COMPUTED_VALUE"""),45431.5262550347)</f>
        <v>45431.526255034703</v>
      </c>
    </row>
    <row r="213" spans="1:87" x14ac:dyDescent="0.25">
      <c r="A213" s="5">
        <f ca="1">IFERROR(__xludf.DUMMYFUNCTION("""COMPUTED_VALUE"""),45431.4751632407)</f>
        <v>45431.475163240699</v>
      </c>
      <c r="B213" s="1" t="str">
        <f ca="1">IFERROR(__xludf.DUMMYFUNCTION("""COMPUTED_VALUE"""),"sumanbharti67262@gmail.com")</f>
        <v>sumanbharti67262@gmail.com</v>
      </c>
      <c r="C213" s="1" t="str">
        <f ca="1">IFERROR(__xludf.DUMMYFUNCTION("""COMPUTED_VALUE"""),"Babita devi")</f>
        <v>Babita devi</v>
      </c>
      <c r="D213" s="1">
        <f ca="1">IFERROR(__xludf.DUMMYFUNCTION("""COMPUTED_VALUE"""),6204508647)</f>
        <v>6204508647</v>
      </c>
      <c r="E213" s="1" t="str">
        <f ca="1">IFERROR(__xludf.DUMMYFUNCTION("""COMPUTED_VALUE"""),"Yes")</f>
        <v>Yes</v>
      </c>
      <c r="F213" s="1" t="str">
        <f ca="1">IFERROR(__xludf.DUMMYFUNCTION("""COMPUTED_VALUE"""),"हिन्दी")</f>
        <v>हिन्दी</v>
      </c>
      <c r="G213" s="1" t="str">
        <f ca="1">IFERROR(__xludf.DUMMYFUNCTION("""COMPUTED_VALUE"""),"परिवार निर्माण")</f>
        <v>परिवार निर्माण</v>
      </c>
      <c r="H213" s="1"/>
      <c r="I213" s="1"/>
      <c r="J213" s="1"/>
      <c r="K213" s="1"/>
      <c r="L213" s="1"/>
      <c r="M213" s="1" t="str">
        <f ca="1">IFERROR(__xludf.DUMMYFUNCTION("""COMPUTED_VALUE"""),"बाल मनोविज्ञान")</f>
        <v>बाल मनोविज्ञान</v>
      </c>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f ca="1">IFERROR(__xludf.DUMMYFUNCTION("""COMPUTED_VALUE"""),1)</f>
        <v>1</v>
      </c>
      <c r="BX213" s="1">
        <f ca="1">IFERROR(__xludf.DUMMYFUNCTION("""COMPUTED_VALUE"""),0)</f>
        <v>0</v>
      </c>
      <c r="BY213" s="1">
        <f ca="1">IFERROR(__xludf.DUMMYFUNCTION("""COMPUTED_VALUE"""),1)</f>
        <v>1</v>
      </c>
      <c r="BZ213" s="1">
        <f ca="1">IFERROR(__xludf.DUMMYFUNCTION("""COMPUTED_VALUE"""),0)</f>
        <v>0</v>
      </c>
      <c r="CA213" s="1"/>
      <c r="CB213" s="1"/>
      <c r="CC213" s="1" t="str">
        <f ca="1">IFERROR(__xludf.DUMMYFUNCTION("""COMPUTED_VALUE"""),"पतिव्रत धर्म की तरह पत्नीव्रत भी पाला जाय : Rare Book")</f>
        <v>पतिव्रत धर्म की तरह पत्नीव्रत भी पाला जाय : Rare Book</v>
      </c>
      <c r="CD213" s="3" t="str">
        <f ca="1">IFERROR(__xludf.DUMMYFUNCTION("""COMPUTED_VALUE"""),"https://vicharkrantibooks.org/productdetail?product_id=427")</f>
        <v>https://vicharkrantibooks.org/productdetail?product_id=427</v>
      </c>
      <c r="CE213" s="1" t="str">
        <f ca="1">IFERROR(__xludf.DUMMYFUNCTION("""COMPUTED_VALUE"""),"Audiobook : पतिव्रत धर्म की तरह पत्नीव्रत भी पाला जाय : Rare Book : sumanbharti67262@gmail.com : Recorded")</f>
        <v>Audiobook : पतिव्रत धर्म की तरह पत्नीव्रत भी पाला जाय : Rare Book : sumanbharti67262@gmail.com : Recorded</v>
      </c>
      <c r="CF213" s="1" t="str">
        <f ca="1">IFERROR(__xludf.DUMMYFUNCTION("""COMPUTED_VALUE"""),"#N/A")</f>
        <v>#N/A</v>
      </c>
      <c r="CG213" s="1" t="str">
        <f ca="1">IFERROR(__xludf.DUMMYFUNCTION("""COMPUTED_VALUE"""),"Adarniya Babita devi ji पतिव्रत धर्म की तरह पत्नीव्रत भी पाला जाय : Rare Book : Allocated on 19-May-24 Contact Number  6204508647")</f>
        <v>Adarniya Babita devi ji पतिव्रत धर्म की तरह पत्नीव्रत भी पाला जाय : Rare Book : Allocated on 19-May-24 Contact Number  6204508647</v>
      </c>
      <c r="CH213" s="1" t="str">
        <f ca="1">IFERROR(__xludf.DUMMYFUNCTION("""COMPUTED_VALUE"""),"sumanbharti67262@gmail.com : पतिव्रत धर्म की तरह पत्नीव्रत भी पाला जाय : Rare Book")</f>
        <v>sumanbharti67262@gmail.com : पतिव्रत धर्म की तरह पत्नीव्रत भी पाला जाय : Rare Book</v>
      </c>
      <c r="CI213" s="5">
        <f ca="1">IFERROR(__xludf.DUMMYFUNCTION("""COMPUTED_VALUE"""),45431.4751632407)</f>
        <v>45431.475163240699</v>
      </c>
    </row>
    <row r="214" spans="1:87" x14ac:dyDescent="0.25">
      <c r="A214" s="5">
        <f ca="1">IFERROR(__xludf.DUMMYFUNCTION("""COMPUTED_VALUE"""),45431.4555039351)</f>
        <v>45431.455503935103</v>
      </c>
      <c r="B214" s="1" t="str">
        <f ca="1">IFERROR(__xludf.DUMMYFUNCTION("""COMPUTED_VALUE"""),"amita.snsarangi@gmail.com")</f>
        <v>amita.snsarangi@gmail.com</v>
      </c>
      <c r="C214" s="1" t="str">
        <f ca="1">IFERROR(__xludf.DUMMYFUNCTION("""COMPUTED_VALUE"""),"Amita Mishra ")</f>
        <v xml:space="preserve">Amita Mishra </v>
      </c>
      <c r="D214" s="1">
        <f ca="1">IFERROR(__xludf.DUMMYFUNCTION("""COMPUTED_VALUE"""),8637208880)</f>
        <v>8637208880</v>
      </c>
      <c r="E214" s="1" t="str">
        <f ca="1">IFERROR(__xludf.DUMMYFUNCTION("""COMPUTED_VALUE"""),"Yes")</f>
        <v>Yes</v>
      </c>
      <c r="F214" s="1" t="str">
        <f ca="1">IFERROR(__xludf.DUMMYFUNCTION("""COMPUTED_VALUE"""),"ओड़िया")</f>
        <v>ओड़िया</v>
      </c>
      <c r="G214" s="1" t="str">
        <f ca="1">IFERROR(__xludf.DUMMYFUNCTION("""COMPUTED_VALUE"""),"परिवार निर्माण")</f>
        <v>परिवार निर्माण</v>
      </c>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f ca="1">IFERROR(__xludf.DUMMYFUNCTION("""COMPUTED_VALUE"""),1)</f>
        <v>1</v>
      </c>
      <c r="BX214" s="1">
        <f ca="1">IFERROR(__xludf.DUMMYFUNCTION("""COMPUTED_VALUE"""),0)</f>
        <v>0</v>
      </c>
      <c r="BY214" s="1">
        <f ca="1">IFERROR(__xludf.DUMMYFUNCTION("""COMPUTED_VALUE"""),1)</f>
        <v>1</v>
      </c>
      <c r="BZ214" s="1">
        <f ca="1">IFERROR(__xludf.DUMMYFUNCTION("""COMPUTED_VALUE"""),0)</f>
        <v>0</v>
      </c>
      <c r="CA214" s="1"/>
      <c r="CB214" s="1"/>
      <c r="CC214" s="1" t="str">
        <f ca="1">IFERROR(__xludf.DUMMYFUNCTION("""COMPUTED_VALUE"""),"SHRAMA HIN SUKHA RA SETU")</f>
        <v>SHRAMA HIN SUKHA RA SETU</v>
      </c>
      <c r="CD214" s="3" t="str">
        <f ca="1">IFERROR(__xludf.DUMMYFUNCTION("""COMPUTED_VALUE"""),"https://drive.google.com/file/d/1AkyrbQ3GhK_pbXmtovt2USr2vUxkuivW/view?usp=sharing")</f>
        <v>https://drive.google.com/file/d/1AkyrbQ3GhK_pbXmtovt2USr2vUxkuivW/view?usp=sharing</v>
      </c>
      <c r="CE214" s="1" t="str">
        <f ca="1">IFERROR(__xludf.DUMMYFUNCTION("""COMPUTED_VALUE"""),"Audiobook : SHRAMA HIN SUKHA RA SETU : amita.snsarangi@gmail.com : Recorded")</f>
        <v>Audiobook : SHRAMA HIN SUKHA RA SETU : amita.snsarangi@gmail.com : Recorded</v>
      </c>
      <c r="CF214" s="1" t="str">
        <f ca="1">IFERROR(__xludf.DUMMYFUNCTION("""COMPUTED_VALUE"""),"#N/A")</f>
        <v>#N/A</v>
      </c>
      <c r="CG214" s="1" t="str">
        <f ca="1">IFERROR(__xludf.DUMMYFUNCTION("""COMPUTED_VALUE"""),"Adarniya Amita Mishra  ji SHRAMA HIN SUKHA RA SETU : Allocated on 19-May-24 Contact Number  8637208880")</f>
        <v>Adarniya Amita Mishra  ji SHRAMA HIN SUKHA RA SETU : Allocated on 19-May-24 Contact Number  8637208880</v>
      </c>
      <c r="CH214" s="1" t="str">
        <f ca="1">IFERROR(__xludf.DUMMYFUNCTION("""COMPUTED_VALUE"""),"amita.snsarangi@gmail.com : SHRAMA HIN SUKHA RA SETU")</f>
        <v>amita.snsarangi@gmail.com : SHRAMA HIN SUKHA RA SETU</v>
      </c>
      <c r="CI214" s="5">
        <f ca="1">IFERROR(__xludf.DUMMYFUNCTION("""COMPUTED_VALUE"""),45431.4555039351)</f>
        <v>45431.455503935103</v>
      </c>
    </row>
    <row r="215" spans="1:87" x14ac:dyDescent="0.25">
      <c r="A215" s="5">
        <f ca="1">IFERROR(__xludf.DUMMYFUNCTION("""COMPUTED_VALUE"""),45430.6741977777)</f>
        <v>45430.674197777698</v>
      </c>
      <c r="B215" s="1" t="str">
        <f ca="1">IFERROR(__xludf.DUMMYFUNCTION("""COMPUTED_VALUE"""),"kalagpatel1959@gmail.com")</f>
        <v>kalagpatel1959@gmail.com</v>
      </c>
      <c r="C215" s="1" t="str">
        <f ca="1">IFERROR(__xludf.DUMMYFUNCTION("""COMPUTED_VALUE"""),"Kala Patel ")</f>
        <v xml:space="preserve">Kala Patel </v>
      </c>
      <c r="D215" s="1">
        <f ca="1">IFERROR(__xludf.DUMMYFUNCTION("""COMPUTED_VALUE"""),9016250929)</f>
        <v>9016250929</v>
      </c>
      <c r="E215" s="1" t="str">
        <f ca="1">IFERROR(__xludf.DUMMYFUNCTION("""COMPUTED_VALUE"""),"Yes")</f>
        <v>Yes</v>
      </c>
      <c r="F215" s="1" t="str">
        <f ca="1">IFERROR(__xludf.DUMMYFUNCTION("""COMPUTED_VALUE"""),"गुजराती")</f>
        <v>गुजराती</v>
      </c>
      <c r="G215" s="1" t="str">
        <f ca="1">IFERROR(__xludf.DUMMYFUNCTION("""COMPUTED_VALUE"""),"जीवन प्रबंध")</f>
        <v>जीवन प्रबंध</v>
      </c>
      <c r="H215" s="1"/>
      <c r="I215" s="1"/>
      <c r="J215" s="1"/>
      <c r="K215" s="1"/>
      <c r="L215" s="1" t="str">
        <f ca="1">IFERROR(__xludf.DUMMYFUNCTION("""COMPUTED_VALUE"""),"मन की शक्ति एवं मनोविज्ञान")</f>
        <v>मन की शक्ति एवं मनोविज्ञान</v>
      </c>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f ca="1">IFERROR(__xludf.DUMMYFUNCTION("""COMPUTED_VALUE"""),34)</f>
        <v>34</v>
      </c>
      <c r="BX215" s="1">
        <f ca="1">IFERROR(__xludf.DUMMYFUNCTION("""COMPUTED_VALUE"""),34)</f>
        <v>34</v>
      </c>
      <c r="BY215" s="1">
        <f ca="1">IFERROR(__xludf.DUMMYFUNCTION("""COMPUTED_VALUE"""),4)</f>
        <v>4</v>
      </c>
      <c r="BZ215" s="1">
        <f ca="1">IFERROR(__xludf.DUMMYFUNCTION("""COMPUTED_VALUE"""),11)</f>
        <v>11</v>
      </c>
      <c r="CA215" s="1"/>
      <c r="CB215" s="1"/>
      <c r="CC215" s="1" t="str">
        <f ca="1">IFERROR(__xludf.DUMMYFUNCTION("""COMPUTED_VALUE"""),"કંઈ તો વિચારો : G_PP_27")</f>
        <v>કંઈ તો વિચારો : G_PP_27</v>
      </c>
      <c r="CD215" s="3" t="str">
        <f ca="1">IFERROR(__xludf.DUMMYFUNCTION("""COMPUTED_VALUE"""),"https://vicharkrantibooks.org/productdetail?product_id=3932")</f>
        <v>https://vicharkrantibooks.org/productdetail?product_id=3932</v>
      </c>
      <c r="CE215" s="1" t="str">
        <f ca="1">IFERROR(__xludf.DUMMYFUNCTION("""COMPUTED_VALUE"""),"Audiobook : કંઈ તો વિચારો : G_PP_27 : kalagpatel1959@gmail.com : Recorded")</f>
        <v>Audiobook : કંઈ તો વિચારો : G_PP_27 : kalagpatel1959@gmail.com : Recorded</v>
      </c>
      <c r="CF215" s="1" t="str">
        <f ca="1">IFERROR(__xludf.DUMMYFUNCTION("""COMPUTED_VALUE"""),"Audiobook : કંઈ તો વિચારો : G_PP_27 : kalagpatel1959@gmail.com : Recorded")</f>
        <v>Audiobook : કંઈ તો વિચારો : G_PP_27 : kalagpatel1959@gmail.com : Recorded</v>
      </c>
      <c r="CG215" s="1" t="str">
        <f ca="1">IFERROR(__xludf.DUMMYFUNCTION("""COMPUTED_VALUE"""),"Adarniya Kala Patel  ji કંઈ તો વિચારો : G_PP_27 : Allocated on 18-May-24 Contact Number  9016250929")</f>
        <v>Adarniya Kala Patel  ji કંઈ તો વિચારો : G_PP_27 : Allocated on 18-May-24 Contact Number  9016250929</v>
      </c>
      <c r="CH215" s="1" t="str">
        <f ca="1">IFERROR(__xludf.DUMMYFUNCTION("""COMPUTED_VALUE"""),"kalagpatel1959@gmail.com : કંઈ તો વિચારો : G_PP_27")</f>
        <v>kalagpatel1959@gmail.com : કંઈ તો વિચારો : G_PP_27</v>
      </c>
      <c r="CI215" s="5">
        <f ca="1">IFERROR(__xludf.DUMMYFUNCTION("""COMPUTED_VALUE"""),45430.6741977777)</f>
        <v>45430.674197777698</v>
      </c>
    </row>
    <row r="216" spans="1:87" x14ac:dyDescent="0.25">
      <c r="A216" s="5">
        <f ca="1">IFERROR(__xludf.DUMMYFUNCTION("""COMPUTED_VALUE"""),45429.9705295254)</f>
        <v>45429.970529525403</v>
      </c>
      <c r="B216" s="1" t="str">
        <f ca="1">IFERROR(__xludf.DUMMYFUNCTION("""COMPUTED_VALUE"""),"shweta.r.gupta79@gmail.com")</f>
        <v>shweta.r.gupta79@gmail.com</v>
      </c>
      <c r="C216" s="1" t="str">
        <f ca="1">IFERROR(__xludf.DUMMYFUNCTION("""COMPUTED_VALUE"""),"Shweta Gupta ")</f>
        <v xml:space="preserve">Shweta Gupta </v>
      </c>
      <c r="D216" s="1">
        <f ca="1">IFERROR(__xludf.DUMMYFUNCTION("""COMPUTED_VALUE"""),8369516724)</f>
        <v>8369516724</v>
      </c>
      <c r="E216" s="1" t="str">
        <f ca="1">IFERROR(__xludf.DUMMYFUNCTION("""COMPUTED_VALUE"""),"Yes")</f>
        <v>Yes</v>
      </c>
      <c r="F216" s="1" t="str">
        <f ca="1">IFERROR(__xludf.DUMMYFUNCTION("""COMPUTED_VALUE"""),"हिन्दी")</f>
        <v>हिन्दी</v>
      </c>
      <c r="G216" s="1" t="str">
        <f ca="1">IFERROR(__xludf.DUMMYFUNCTION("""COMPUTED_VALUE"""),"समग्र स्वास्थ्य")</f>
        <v>समग्र स्वास्थ्य</v>
      </c>
      <c r="H216" s="1"/>
      <c r="I216" s="1"/>
      <c r="J216" s="1"/>
      <c r="K216" s="1"/>
      <c r="L216" s="1"/>
      <c r="M216" s="1"/>
      <c r="N216" s="1"/>
      <c r="O216" s="1"/>
      <c r="P216" s="1"/>
      <c r="Q216" s="1"/>
      <c r="R216" s="1"/>
      <c r="S216" s="1"/>
      <c r="T216" s="1"/>
      <c r="U216" s="1" t="str">
        <f ca="1">IFERROR(__xludf.DUMMYFUNCTION("""COMPUTED_VALUE"""),"आहार-विहार एवं उपवास")</f>
        <v>आहार-विहार एवं उपवास</v>
      </c>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f ca="1">IFERROR(__xludf.DUMMYFUNCTION("""COMPUTED_VALUE"""),31)</f>
        <v>31</v>
      </c>
      <c r="BX216" s="1">
        <f ca="1">IFERROR(__xludf.DUMMYFUNCTION("""COMPUTED_VALUE"""),45)</f>
        <v>45</v>
      </c>
      <c r="BY216" s="1">
        <f ca="1">IFERROR(__xludf.DUMMYFUNCTION("""COMPUTED_VALUE"""),3)</f>
        <v>3</v>
      </c>
      <c r="BZ216" s="1">
        <f ca="1">IFERROR(__xludf.DUMMYFUNCTION("""COMPUTED_VALUE"""),40)</f>
        <v>40</v>
      </c>
      <c r="CA216" s="1"/>
      <c r="CB216" s="1"/>
      <c r="CC216" s="1" t="str">
        <f ca="1">IFERROR(__xludf.DUMMYFUNCTION("""COMPUTED_VALUE"""),"यज्ञोपचार की स्वास्थ्य संरक्षण प्रक्रिया : Rare Book")</f>
        <v>यज्ञोपचार की स्वास्थ्य संरक्षण प्रक्रिया : Rare Book</v>
      </c>
      <c r="CD216" s="3" t="str">
        <f ca="1">IFERROR(__xludf.DUMMYFUNCTION("""COMPUTED_VALUE"""),"https://vicharkrantibooks.org/productdetail?book_name=HINP1023_YAGYOPACHAR_KI_SWASTHY_SANRAKSHAN_PRAKRIYA_xx1982&amp;product_id=1588")</f>
        <v>https://vicharkrantibooks.org/productdetail?book_name=HINP1023_YAGYOPACHAR_KI_SWASTHY_SANRAKSHAN_PRAKRIYA_xx1982&amp;product_id=1588</v>
      </c>
      <c r="CE216" s="1" t="str">
        <f ca="1">IFERROR(__xludf.DUMMYFUNCTION("""COMPUTED_VALUE"""),"Audiobook : यज्ञोपचार की स्वास्थ्य संरक्षण प्रक्रिया : Rare Book : shweta.r.gupta79@gmail.com : Recorded")</f>
        <v>Audiobook : यज्ञोपचार की स्वास्थ्य संरक्षण प्रक्रिया : Rare Book : shweta.r.gupta79@gmail.com : Recorded</v>
      </c>
      <c r="CF216" s="1" t="str">
        <f ca="1">IFERROR(__xludf.DUMMYFUNCTION("""COMPUTED_VALUE"""),"Audiobook : यज्ञोपचार की स्वास्थ्य संरक्षण प्रक्रिया : Rare Book : shweta.r.gupta79@gmail.com : Recorded")</f>
        <v>Audiobook : यज्ञोपचार की स्वास्थ्य संरक्षण प्रक्रिया : Rare Book : shweta.r.gupta79@gmail.com : Recorded</v>
      </c>
      <c r="CG216" s="1" t="str">
        <f ca="1">IFERROR(__xludf.DUMMYFUNCTION("""COMPUTED_VALUE"""),"Adarniya Shweta Gupta  ji यज्ञोपचार की स्वास्थ्य संरक्षण प्रक्रिया : Rare Book : Allocated on 17-May-24 Contact Number  8369516724")</f>
        <v>Adarniya Shweta Gupta  ji यज्ञोपचार की स्वास्थ्य संरक्षण प्रक्रिया : Rare Book : Allocated on 17-May-24 Contact Number  8369516724</v>
      </c>
      <c r="CH216" s="1" t="str">
        <f ca="1">IFERROR(__xludf.DUMMYFUNCTION("""COMPUTED_VALUE"""),"shweta.r.gupta79@gmail.com : यज्ञोपचार की स्वास्थ्य संरक्षण प्रक्रिया : Rare Book")</f>
        <v>shweta.r.gupta79@gmail.com : यज्ञोपचार की स्वास्थ्य संरक्षण प्रक्रिया : Rare Book</v>
      </c>
      <c r="CI216" s="5">
        <f ca="1">IFERROR(__xludf.DUMMYFUNCTION("""COMPUTED_VALUE"""),45429.9705295254)</f>
        <v>45429.970529525403</v>
      </c>
    </row>
    <row r="217" spans="1:87" x14ac:dyDescent="0.25">
      <c r="A217" s="5">
        <f ca="1">IFERROR(__xludf.DUMMYFUNCTION("""COMPUTED_VALUE"""),45429.6793348032)</f>
        <v>45429.679334803201</v>
      </c>
      <c r="B217" s="1" t="str">
        <f ca="1">IFERROR(__xludf.DUMMYFUNCTION("""COMPUTED_VALUE"""),"anuradha.udgata9@gmail.com")</f>
        <v>anuradha.udgata9@gmail.com</v>
      </c>
      <c r="C217" s="1" t="str">
        <f ca="1">IFERROR(__xludf.DUMMYFUNCTION("""COMPUTED_VALUE"""),"Anuradha Tripathy ")</f>
        <v xml:space="preserve">Anuradha Tripathy </v>
      </c>
      <c r="D217" s="1">
        <f ca="1">IFERROR(__xludf.DUMMYFUNCTION("""COMPUTED_VALUE"""),7008286507)</f>
        <v>7008286507</v>
      </c>
      <c r="E217" s="1"/>
      <c r="F217" s="1" t="str">
        <f ca="1">IFERROR(__xludf.DUMMYFUNCTION("""COMPUTED_VALUE"""),"ओड़िया")</f>
        <v>ओड़िया</v>
      </c>
      <c r="G217" s="1" t="str">
        <f ca="1">IFERROR(__xludf.DUMMYFUNCTION("""COMPUTED_VALUE"""),"भारतीय संस्कृति")</f>
        <v>भारतीय संस्कृति</v>
      </c>
      <c r="H217" s="1"/>
      <c r="I217" s="1"/>
      <c r="J217" s="1"/>
      <c r="K217" s="1"/>
      <c r="L217" s="1"/>
      <c r="M217" s="1"/>
      <c r="N217" s="1"/>
      <c r="O217" s="1" t="str">
        <f ca="1">IFERROR(__xludf.DUMMYFUNCTION("""COMPUTED_VALUE"""),"भारतीय संस्कृति")</f>
        <v>भारतीय संस्कृति</v>
      </c>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f ca="1">IFERROR(__xludf.DUMMYFUNCTION("""COMPUTED_VALUE"""),2)</f>
        <v>2</v>
      </c>
      <c r="BX217" s="1">
        <f ca="1">IFERROR(__xludf.DUMMYFUNCTION("""COMPUTED_VALUE"""),0)</f>
        <v>0</v>
      </c>
      <c r="BY217" s="1">
        <f ca="1">IFERROR(__xludf.DUMMYFUNCTION("""COMPUTED_VALUE"""),2)</f>
        <v>2</v>
      </c>
      <c r="BZ217" s="1">
        <f ca="1">IFERROR(__xludf.DUMMYFUNCTION("""COMPUTED_VALUE"""),0)</f>
        <v>0</v>
      </c>
      <c r="CA217" s="1"/>
      <c r="CB217" s="1"/>
      <c r="CC217" s="1" t="str">
        <f ca="1">IFERROR(__xludf.DUMMYFUNCTION("""COMPUTED_VALUE"""),"Oriya Temp Book 3")</f>
        <v>Oriya Temp Book 3</v>
      </c>
      <c r="CD217" s="3" t="str">
        <f ca="1">IFERROR(__xludf.DUMMYFUNCTION("""COMPUTED_VALUE"""),"https://drive.google.com/file/d/1MxJ_DBMCMMTlcE15A6R08LdjjWhn4keL/view?usp=sharing")</f>
        <v>https://drive.google.com/file/d/1MxJ_DBMCMMTlcE15A6R08LdjjWhn4keL/view?usp=sharing</v>
      </c>
      <c r="CE217" s="1" t="str">
        <f ca="1">IFERROR(__xludf.DUMMYFUNCTION("""COMPUTED_VALUE"""),"Audiobook : Oriya Temp Book 3 : anuradha.udgata9@gmail.com : Recorded")</f>
        <v>Audiobook : Oriya Temp Book 3 : anuradha.udgata9@gmail.com : Recorded</v>
      </c>
      <c r="CF217" s="1" t="str">
        <f ca="1">IFERROR(__xludf.DUMMYFUNCTION("""COMPUTED_VALUE"""),"#N/A")</f>
        <v>#N/A</v>
      </c>
      <c r="CG217" s="1" t="str">
        <f ca="1">IFERROR(__xludf.DUMMYFUNCTION("""COMPUTED_VALUE"""),"Adarniya Anuradha Tripathy  ji Oriya Temp Book 3 : Allocated on 17-May-24 Contact Number  7008286507")</f>
        <v>Adarniya Anuradha Tripathy  ji Oriya Temp Book 3 : Allocated on 17-May-24 Contact Number  7008286507</v>
      </c>
      <c r="CH217" s="1" t="str">
        <f ca="1">IFERROR(__xludf.DUMMYFUNCTION("""COMPUTED_VALUE"""),"anuradha.udgata9@gmail.com : Oriya Temp Book 3")</f>
        <v>anuradha.udgata9@gmail.com : Oriya Temp Book 3</v>
      </c>
      <c r="CI217" s="5">
        <f ca="1">IFERROR(__xludf.DUMMYFUNCTION("""COMPUTED_VALUE"""),45429.6793348032)</f>
        <v>45429.679334803201</v>
      </c>
    </row>
    <row r="218" spans="1:87" x14ac:dyDescent="0.25">
      <c r="A218" s="5">
        <f ca="1">IFERROR(__xludf.DUMMYFUNCTION("""COMPUTED_VALUE"""),45429.632183368)</f>
        <v>45429.632183367998</v>
      </c>
      <c r="B218" s="1" t="str">
        <f ca="1">IFERROR(__xludf.DUMMYFUNCTION("""COMPUTED_VALUE"""),"amrita_dube@yahoo.com")</f>
        <v>amrita_dube@yahoo.com</v>
      </c>
      <c r="C218" s="1" t="str">
        <f ca="1">IFERROR(__xludf.DUMMYFUNCTION("""COMPUTED_VALUE"""),"Amrita")</f>
        <v>Amrita</v>
      </c>
      <c r="D218" s="1">
        <f ca="1">IFERROR(__xludf.DUMMYFUNCTION("""COMPUTED_VALUE"""),8767202225)</f>
        <v>8767202225</v>
      </c>
      <c r="E218" s="1"/>
      <c r="F218" s="1"/>
      <c r="G218" s="1" t="str">
        <f ca="1">IFERROR(__xludf.DUMMYFUNCTION("""COMPUTED_VALUE"""),"English")</f>
        <v>English</v>
      </c>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f ca="1">IFERROR(__xludf.DUMMYFUNCTION("""COMPUTED_VALUE"""),17)</f>
        <v>17</v>
      </c>
      <c r="BX218" s="1">
        <f ca="1">IFERROR(__xludf.DUMMYFUNCTION("""COMPUTED_VALUE"""),14)</f>
        <v>14</v>
      </c>
      <c r="BY218" s="1">
        <f ca="1">IFERROR(__xludf.DUMMYFUNCTION("""COMPUTED_VALUE"""),6)</f>
        <v>6</v>
      </c>
      <c r="BZ218" s="1">
        <f ca="1">IFERROR(__xludf.DUMMYFUNCTION("""COMPUTED_VALUE"""),5)</f>
        <v>5</v>
      </c>
      <c r="CA218" s="1"/>
      <c r="CB218" s="1"/>
      <c r="CC218" s="1" t="str">
        <f ca="1">IFERROR(__xludf.DUMMYFUNCTION("""COMPUTED_VALUE"""),"Sensitization Of Parents : EP_66")</f>
        <v>Sensitization Of Parents : EP_66</v>
      </c>
      <c r="CD218" s="3" t="str">
        <f ca="1">IFERROR(__xludf.DUMMYFUNCTION("""COMPUTED_VALUE"""),"http://literature.awgp.org/book/sensitization_program_for_parents/v1")</f>
        <v>http://literature.awgp.org/book/sensitization_program_for_parents/v1</v>
      </c>
      <c r="CE218" s="1" t="str">
        <f ca="1">IFERROR(__xludf.DUMMYFUNCTION("""COMPUTED_VALUE"""),"Audiobook : Sensitization Of Parents : EP_66 : amrita_dube@yahoo.com : Recorded")</f>
        <v>Audiobook : Sensitization Of Parents : EP_66 : amrita_dube@yahoo.com : Recorded</v>
      </c>
      <c r="CF218" s="1" t="str">
        <f ca="1">IFERROR(__xludf.DUMMYFUNCTION("""COMPUTED_VALUE"""),"#N/A")</f>
        <v>#N/A</v>
      </c>
      <c r="CG218" s="1" t="str">
        <f ca="1">IFERROR(__xludf.DUMMYFUNCTION("""COMPUTED_VALUE"""),"Adarniya Amrita ji Sensitization Of Parents : EP_66 : Allocated on 17-May-24 Contact Number  8767202225")</f>
        <v>Adarniya Amrita ji Sensitization Of Parents : EP_66 : Allocated on 17-May-24 Contact Number  8767202225</v>
      </c>
      <c r="CH218" s="1" t="str">
        <f ca="1">IFERROR(__xludf.DUMMYFUNCTION("""COMPUTED_VALUE"""),"amrita_dube@yahoo.com : Sensitization Of Parents : EP_66")</f>
        <v>amrita_dube@yahoo.com : Sensitization Of Parents : EP_66</v>
      </c>
      <c r="CI218" s="5">
        <f ca="1">IFERROR(__xludf.DUMMYFUNCTION("""COMPUTED_VALUE"""),45429.632183368)</f>
        <v>45429.632183367998</v>
      </c>
    </row>
    <row r="219" spans="1:87" x14ac:dyDescent="0.25">
      <c r="A219" s="5">
        <f ca="1">IFERROR(__xludf.DUMMYFUNCTION("""COMPUTED_VALUE"""),45429.5340560416)</f>
        <v>45429.534056041601</v>
      </c>
      <c r="B219" s="1" t="str">
        <f ca="1">IFERROR(__xludf.DUMMYFUNCTION("""COMPUTED_VALUE"""),"druma4107@gmail.com")</f>
        <v>druma4107@gmail.com</v>
      </c>
      <c r="C219" s="1" t="str">
        <f ca="1">IFERROR(__xludf.DUMMYFUNCTION("""COMPUTED_VALUE"""),"Dr Uma Agraeal")</f>
        <v>Dr Uma Agraeal</v>
      </c>
      <c r="D219" s="1">
        <f ca="1">IFERROR(__xludf.DUMMYFUNCTION("""COMPUTED_VALUE"""),9410861182)</f>
        <v>9410861182</v>
      </c>
      <c r="E219" s="1" t="str">
        <f ca="1">IFERROR(__xludf.DUMMYFUNCTION("""COMPUTED_VALUE"""),"Yes")</f>
        <v>Yes</v>
      </c>
      <c r="F219" s="1" t="str">
        <f ca="1">IFERROR(__xludf.DUMMYFUNCTION("""COMPUTED_VALUE"""),"हिन्दी")</f>
        <v>हिन्दी</v>
      </c>
      <c r="G219" s="1" t="str">
        <f ca="1">IFERROR(__xludf.DUMMYFUNCTION("""COMPUTED_VALUE"""),"युग द्रष्टा पं. श्रीराम शर्मा आचार्यजी")</f>
        <v>युग द्रष्टा पं. श्रीराम शर्मा आचार्यजी</v>
      </c>
      <c r="H219" s="1"/>
      <c r="I219" s="1"/>
      <c r="J219" s="1"/>
      <c r="K219" s="1"/>
      <c r="L219" s="1"/>
      <c r="M219" s="1"/>
      <c r="N219" s="1"/>
      <c r="O219" s="1"/>
      <c r="P219" s="1" t="str">
        <f ca="1">IFERROR(__xludf.DUMMYFUNCTION("""COMPUTED_VALUE"""),"युगॠषी की अमृतवाणी")</f>
        <v>युगॠषी की अमृतवाणी</v>
      </c>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f ca="1">IFERROR(__xludf.DUMMYFUNCTION("""COMPUTED_VALUE"""),104)</f>
        <v>104</v>
      </c>
      <c r="BX219" s="1">
        <f ca="1">IFERROR(__xludf.DUMMYFUNCTION("""COMPUTED_VALUE"""),106)</f>
        <v>106</v>
      </c>
      <c r="BY219" s="1">
        <f ca="1">IFERROR(__xludf.DUMMYFUNCTION("""COMPUTED_VALUE"""),9)</f>
        <v>9</v>
      </c>
      <c r="BZ219" s="1">
        <f ca="1">IFERROR(__xludf.DUMMYFUNCTION("""COMPUTED_VALUE"""),43)</f>
        <v>43</v>
      </c>
      <c r="CA219" s="1"/>
      <c r="CB219" s="1"/>
      <c r="CC219" s="1" t="str">
        <f ca="1">IFERROR(__xludf.DUMMYFUNCTION("""COMPUTED_VALUE"""),"जनसम्पर्क जन जागरण की पंच सूत्री योजना : Rare Book")</f>
        <v>जनसम्पर्क जन जागरण की पंच सूत्री योजना : Rare Book</v>
      </c>
      <c r="CD219" s="3" t="str">
        <f ca="1">IFERROR(__xludf.DUMMYFUNCTION("""COMPUTED_VALUE"""),"https://vicharkrantibooks.org/productdetail?product_id=351")</f>
        <v>https://vicharkrantibooks.org/productdetail?product_id=351</v>
      </c>
      <c r="CE219" s="1" t="str">
        <f ca="1">IFERROR(__xludf.DUMMYFUNCTION("""COMPUTED_VALUE"""),"Audiobook : जनसम्पर्क जन जागरण की पंच सूत्री योजना : Rare Book : druma4107@gmail.com : Recorded")</f>
        <v>Audiobook : जनसम्पर्क जन जागरण की पंच सूत्री योजना : Rare Book : druma4107@gmail.com : Recorded</v>
      </c>
      <c r="CF219" s="1" t="str">
        <f ca="1">IFERROR(__xludf.DUMMYFUNCTION("""COMPUTED_VALUE"""),"Audiobook : जनसम्पर्क जन जागरण की पंच सूत्री योजना : Rare Book : druma4107@gmail.com : Recorded")</f>
        <v>Audiobook : जनसम्पर्क जन जागरण की पंच सूत्री योजना : Rare Book : druma4107@gmail.com : Recorded</v>
      </c>
      <c r="CG219" s="1" t="str">
        <f ca="1">IFERROR(__xludf.DUMMYFUNCTION("""COMPUTED_VALUE"""),"Adarniya Dr Uma Agraeal ji जनसम्पर्क जन जागरण की पंच सूत्री योजना : Rare Book : Allocated on 17-May-24 Contact Number  9410861182")</f>
        <v>Adarniya Dr Uma Agraeal ji जनसम्पर्क जन जागरण की पंच सूत्री योजना : Rare Book : Allocated on 17-May-24 Contact Number  9410861182</v>
      </c>
      <c r="CH219" s="1" t="str">
        <f ca="1">IFERROR(__xludf.DUMMYFUNCTION("""COMPUTED_VALUE"""),"druma4107@gmail.com : जनसम्पर्क जन जागरण की पंच सूत्री योजना : Rare Book")</f>
        <v>druma4107@gmail.com : जनसम्पर्क जन जागरण की पंच सूत्री योजना : Rare Book</v>
      </c>
      <c r="CI219" s="5">
        <f ca="1">IFERROR(__xludf.DUMMYFUNCTION("""COMPUTED_VALUE"""),45429.5340560416)</f>
        <v>45429.534056041601</v>
      </c>
    </row>
    <row r="220" spans="1:87" x14ac:dyDescent="0.25">
      <c r="A220" s="5">
        <f ca="1">IFERROR(__xludf.DUMMYFUNCTION("""COMPUTED_VALUE"""),45429.4995617013)</f>
        <v>45429.499561701297</v>
      </c>
      <c r="B220" s="1" t="str">
        <f ca="1">IFERROR(__xludf.DUMMYFUNCTION("""COMPUTED_VALUE"""),"dave.chhaya@gmail.com")</f>
        <v>dave.chhaya@gmail.com</v>
      </c>
      <c r="C220" s="1" t="str">
        <f ca="1">IFERROR(__xludf.DUMMYFUNCTION("""COMPUTED_VALUE"""),"Chhaya Deepak Dave ")</f>
        <v xml:space="preserve">Chhaya Deepak Dave </v>
      </c>
      <c r="D220" s="1">
        <f ca="1">IFERROR(__xludf.DUMMYFUNCTION("""COMPUTED_VALUE"""),9879596556)</f>
        <v>9879596556</v>
      </c>
      <c r="E220" s="1" t="str">
        <f ca="1">IFERROR(__xludf.DUMMYFUNCTION("""COMPUTED_VALUE"""),"Yes")</f>
        <v>Yes</v>
      </c>
      <c r="F220" s="1" t="str">
        <f ca="1">IFERROR(__xludf.DUMMYFUNCTION("""COMPUTED_VALUE"""),"गुजराती")</f>
        <v>गुजराती</v>
      </c>
      <c r="G220" s="1" t="str">
        <f ca="1">IFERROR(__xludf.DUMMYFUNCTION("""COMPUTED_VALUE"""),"युग द्रष्टा पं. श्रीराम शर्मा आचार्यजी")</f>
        <v>युग द्रष्टा पं. श्रीराम शर्मा आचार्यजी</v>
      </c>
      <c r="H220" s="1"/>
      <c r="I220" s="1"/>
      <c r="J220" s="1"/>
      <c r="K220" s="1"/>
      <c r="L220" s="1"/>
      <c r="M220" s="1"/>
      <c r="N220" s="1"/>
      <c r="O220" s="1"/>
      <c r="P220" s="1" t="str">
        <f ca="1">IFERROR(__xludf.DUMMYFUNCTION("""COMPUTED_VALUE"""),"युगॠषी की अमृतवाणी")</f>
        <v>युगॠषी की अमृतवाणी</v>
      </c>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f ca="1">IFERROR(__xludf.DUMMYFUNCTION("""COMPUTED_VALUE"""),46)</f>
        <v>46</v>
      </c>
      <c r="BX220" s="1">
        <f ca="1">IFERROR(__xludf.DUMMYFUNCTION("""COMPUTED_VALUE"""),39)</f>
        <v>39</v>
      </c>
      <c r="BY220" s="1">
        <f ca="1">IFERROR(__xludf.DUMMYFUNCTION("""COMPUTED_VALUE"""),6)</f>
        <v>6</v>
      </c>
      <c r="BZ220" s="1">
        <f ca="1">IFERROR(__xludf.DUMMYFUNCTION("""COMPUTED_VALUE"""),16)</f>
        <v>16</v>
      </c>
      <c r="CA220" s="1"/>
      <c r="CB220" s="1"/>
      <c r="CC220" s="1" t="str">
        <f ca="1">IFERROR(__xludf.DUMMYFUNCTION("""COMPUTED_VALUE"""),"ઈચ્છાઓ ભગવાનને સોંપી દો : G_JS_54")</f>
        <v>ઈચ્છાઓ ભગવાનને સોંપી દો : G_JS_54</v>
      </c>
      <c r="CD220" s="3" t="str">
        <f ca="1">IFERROR(__xludf.DUMMYFUNCTION("""COMPUTED_VALUE"""),"https://vicharkrantibooks.org/productdetail?product_id=3779")</f>
        <v>https://vicharkrantibooks.org/productdetail?product_id=3779</v>
      </c>
      <c r="CE220" s="1" t="str">
        <f ca="1">IFERROR(__xludf.DUMMYFUNCTION("""COMPUTED_VALUE"""),"Audiobook : ઈચ્છાઓ ભગવાનને સોંપી દો : G_JS_54 : dave.chhaya@gmail.com : Recorded")</f>
        <v>Audiobook : ઈચ્છાઓ ભગવાનને સોંપી દો : G_JS_54 : dave.chhaya@gmail.com : Recorded</v>
      </c>
      <c r="CF220" s="1" t="str">
        <f ca="1">IFERROR(__xludf.DUMMYFUNCTION("""COMPUTED_VALUE"""),"Audiobook : ઈચ્છાઓ ભગવાનને સોંપી દો : G_JS_54 : dave.chhaya@gmail.com : Recorded")</f>
        <v>Audiobook : ઈચ્છાઓ ભગવાનને સોંપી દો : G_JS_54 : dave.chhaya@gmail.com : Recorded</v>
      </c>
      <c r="CG220" s="1" t="str">
        <f ca="1">IFERROR(__xludf.DUMMYFUNCTION("""COMPUTED_VALUE"""),"Adarniya Chhaya Deepak Dave  ji ઈચ્છાઓ ભગવાનને સોંપી દો : G_JS_54 : Allocated on 17-May-24 Contact Number  9879596556")</f>
        <v>Adarniya Chhaya Deepak Dave  ji ઈચ્છાઓ ભગવાનને સોંપી દો : G_JS_54 : Allocated on 17-May-24 Contact Number  9879596556</v>
      </c>
      <c r="CH220" s="1" t="str">
        <f ca="1">IFERROR(__xludf.DUMMYFUNCTION("""COMPUTED_VALUE"""),"dave.chhaya@gmail.com : ઈચ્છાઓ ભગવાનને સોંપી દો : G_JS_54")</f>
        <v>dave.chhaya@gmail.com : ઈચ્છાઓ ભગવાનને સોંપી દો : G_JS_54</v>
      </c>
      <c r="CI220" s="5">
        <f ca="1">IFERROR(__xludf.DUMMYFUNCTION("""COMPUTED_VALUE"""),45429.4995617013)</f>
        <v>45429.499561701297</v>
      </c>
    </row>
    <row r="221" spans="1:87" x14ac:dyDescent="0.25">
      <c r="A221" s="5">
        <f ca="1">IFERROR(__xludf.DUMMYFUNCTION("""COMPUTED_VALUE"""),45428.7100690625)</f>
        <v>45428.710069062501</v>
      </c>
      <c r="B221" s="1" t="str">
        <f ca="1">IFERROR(__xludf.DUMMYFUNCTION("""COMPUTED_VALUE"""),"anu161965@gmail.com")</f>
        <v>anu161965@gmail.com</v>
      </c>
      <c r="C221" s="1" t="str">
        <f ca="1">IFERROR(__xludf.DUMMYFUNCTION("""COMPUTED_VALUE"""),"Anureeta awadh")</f>
        <v>Anureeta awadh</v>
      </c>
      <c r="D221" s="1">
        <f ca="1">IFERROR(__xludf.DUMMYFUNCTION("""COMPUTED_VALUE"""),8860314422)</f>
        <v>8860314422</v>
      </c>
      <c r="E221" s="1" t="str">
        <f ca="1">IFERROR(__xludf.DUMMYFUNCTION("""COMPUTED_VALUE"""),"Yes")</f>
        <v>Yes</v>
      </c>
      <c r="F221" s="1" t="str">
        <f ca="1">IFERROR(__xludf.DUMMYFUNCTION("""COMPUTED_VALUE"""),"हिन्दी or English")</f>
        <v>हिन्दी or English</v>
      </c>
      <c r="G221" s="1" t="str">
        <f ca="1">IFERROR(__xludf.DUMMYFUNCTION("""COMPUTED_VALUE"""),"वैज्ञानिक अध्यात्मवाद का प्रतिपादन")</f>
        <v>वैज्ञानिक अध्यात्मवाद का प्रतिपादन</v>
      </c>
      <c r="H221" s="1"/>
      <c r="I221" s="1"/>
      <c r="J221" s="1"/>
      <c r="K221" s="1"/>
      <c r="L221" s="1"/>
      <c r="M221" s="1"/>
      <c r="N221" s="1"/>
      <c r="O221" s="1"/>
      <c r="P221" s="1"/>
      <c r="Q221" s="1"/>
      <c r="R221" s="1"/>
      <c r="S221" s="1" t="str">
        <f ca="1">IFERROR(__xludf.DUMMYFUNCTION("""COMPUTED_VALUE"""),"वैज्ञानिक अध्यात्मवाद का प्रतिपादन")</f>
        <v>वैज्ञानिक अध्यात्मवाद का प्रतिपादन</v>
      </c>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f ca="1">IFERROR(__xludf.DUMMYFUNCTION("""COMPUTED_VALUE"""),24)</f>
        <v>24</v>
      </c>
      <c r="BX221" s="1">
        <f ca="1">IFERROR(__xludf.DUMMYFUNCTION("""COMPUTED_VALUE"""),18)</f>
        <v>18</v>
      </c>
      <c r="BY221" s="1">
        <f ca="1">IFERROR(__xludf.DUMMYFUNCTION("""COMPUTED_VALUE"""),7)</f>
        <v>7</v>
      </c>
      <c r="BZ221" s="1">
        <f ca="1">IFERROR(__xludf.DUMMYFUNCTION("""COMPUTED_VALUE"""),5)</f>
        <v>5</v>
      </c>
      <c r="CA221" s="1"/>
      <c r="CB221" s="1"/>
      <c r="CC221" s="1" t="str">
        <f ca="1">IFERROR(__xludf.DUMMYFUNCTION("""COMPUTED_VALUE"""),"आध्यात्मिक विज्ञान की भी प्रगति हो : Rare Book")</f>
        <v>आध्यात्मिक विज्ञान की भी प्रगति हो : Rare Book</v>
      </c>
      <c r="CD221" s="3" t="str">
        <f ca="1">IFERROR(__xludf.DUMMYFUNCTION("""COMPUTED_VALUE"""),"https://vicharkrantibooks.org/productdetail?book_name=HINF0016_ADHYATMIK_VIGYAN_KI_BHI_PRAGATI_HO_xxyyyy&amp;product_id=236")</f>
        <v>https://vicharkrantibooks.org/productdetail?book_name=HINF0016_ADHYATMIK_VIGYAN_KI_BHI_PRAGATI_HO_xxyyyy&amp;product_id=236</v>
      </c>
      <c r="CE221" s="1" t="str">
        <f ca="1">IFERROR(__xludf.DUMMYFUNCTION("""COMPUTED_VALUE"""),"Audiobook : आध्यात्मिक विज्ञान की भी प्रगति हो : Rare Book : anu161965@gmail.com : Recorded")</f>
        <v>Audiobook : आध्यात्मिक विज्ञान की भी प्रगति हो : Rare Book : anu161965@gmail.com : Recorded</v>
      </c>
      <c r="CF221" s="1" t="str">
        <f ca="1">IFERROR(__xludf.DUMMYFUNCTION("""COMPUTED_VALUE"""),"#N/A")</f>
        <v>#N/A</v>
      </c>
      <c r="CG221" s="1" t="str">
        <f ca="1">IFERROR(__xludf.DUMMYFUNCTION("""COMPUTED_VALUE"""),"Adarniya Anureeta awadh ji आध्यात्मिक विज्ञान की भी प्रगति हो : Rare Book : Allocated on 16-May-24 Contact Number  8860314422")</f>
        <v>Adarniya Anureeta awadh ji आध्यात्मिक विज्ञान की भी प्रगति हो : Rare Book : Allocated on 16-May-24 Contact Number  8860314422</v>
      </c>
      <c r="CH221" s="1" t="str">
        <f ca="1">IFERROR(__xludf.DUMMYFUNCTION("""COMPUTED_VALUE"""),"anu161965@gmail.com : आध्यात्मिक विज्ञान की भी प्रगति हो : Rare Book")</f>
        <v>anu161965@gmail.com : आध्यात्मिक विज्ञान की भी प्रगति हो : Rare Book</v>
      </c>
      <c r="CI221" s="5">
        <f ca="1">IFERROR(__xludf.DUMMYFUNCTION("""COMPUTED_VALUE"""),45428.7100690625)</f>
        <v>45428.710069062501</v>
      </c>
    </row>
    <row r="222" spans="1:87" x14ac:dyDescent="0.25">
      <c r="A222" s="5">
        <f ca="1">IFERROR(__xludf.DUMMYFUNCTION("""COMPUTED_VALUE"""),45427.6948592245)</f>
        <v>45427.694859224503</v>
      </c>
      <c r="B222" s="1" t="str">
        <f ca="1">IFERROR(__xludf.DUMMYFUNCTION("""COMPUTED_VALUE"""),"spmittalmumbai@gmail.com")</f>
        <v>spmittalmumbai@gmail.com</v>
      </c>
      <c r="C222" s="1" t="str">
        <f ca="1">IFERROR(__xludf.DUMMYFUNCTION("""COMPUTED_VALUE"""),"S.P.Mittal")</f>
        <v>S.P.Mittal</v>
      </c>
      <c r="D222" s="1">
        <f ca="1">IFERROR(__xludf.DUMMYFUNCTION("""COMPUTED_VALUE"""),9860003407)</f>
        <v>9860003407</v>
      </c>
      <c r="E222" s="1" t="str">
        <f ca="1">IFERROR(__xludf.DUMMYFUNCTION("""COMPUTED_VALUE"""),"Yes")</f>
        <v>Yes</v>
      </c>
      <c r="F222" s="1" t="str">
        <f ca="1">IFERROR(__xludf.DUMMYFUNCTION("""COMPUTED_VALUE"""),"हिन्दी")</f>
        <v>हिन्दी</v>
      </c>
      <c r="G222" s="1" t="str">
        <f ca="1">IFERROR(__xludf.DUMMYFUNCTION("""COMPUTED_VALUE"""),"युग परिवर्तन-विचार क्रांति")</f>
        <v>युग परिवर्तन-विचार क्रांति</v>
      </c>
      <c r="H222" s="1"/>
      <c r="I222" s="1"/>
      <c r="J222" s="1"/>
      <c r="K222" s="1"/>
      <c r="L222" s="1"/>
      <c r="M222" s="1"/>
      <c r="N222" s="1"/>
      <c r="O222" s="1"/>
      <c r="P222" s="1"/>
      <c r="Q222" s="1" t="str">
        <f ca="1">IFERROR(__xludf.DUMMYFUNCTION("""COMPUTED_VALUE"""),"ज्ञानयज्ञ")</f>
        <v>ज्ञानयज्ञ</v>
      </c>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f ca="1">IFERROR(__xludf.DUMMYFUNCTION("""COMPUTED_VALUE"""),39)</f>
        <v>39</v>
      </c>
      <c r="BX222" s="1">
        <f ca="1">IFERROR(__xludf.DUMMYFUNCTION("""COMPUTED_VALUE"""),32)</f>
        <v>32</v>
      </c>
      <c r="BY222" s="1">
        <f ca="1">IFERROR(__xludf.DUMMYFUNCTION("""COMPUTED_VALUE"""),11)</f>
        <v>11</v>
      </c>
      <c r="BZ222" s="1">
        <f ca="1">IFERROR(__xludf.DUMMYFUNCTION("""COMPUTED_VALUE"""),23)</f>
        <v>23</v>
      </c>
      <c r="CA222" s="1"/>
      <c r="CB222" s="1"/>
      <c r="CC222" s="1" t="str">
        <f ca="1">IFERROR(__xludf.DUMMYFUNCTION("""COMPUTED_VALUE"""),"स्रष्टा की अवतरण प्रक्रिया : Rare Book")</f>
        <v>स्रष्टा की अवतरण प्रक्रिया : Rare Book</v>
      </c>
      <c r="CD222" s="3" t="str">
        <f ca="1">IFERROR(__xludf.DUMMYFUNCTION("""COMPUTED_VALUE"""),"https://vicharkrantibooks.org/productdetail?book_name=HINP0866_SRASHTA_KI_AVATARAN_PRAKRIYA_xx1981&amp;product_id=1431")</f>
        <v>https://vicharkrantibooks.org/productdetail?book_name=HINP0866_SRASHTA_KI_AVATARAN_PRAKRIYA_xx1981&amp;product_id=1431</v>
      </c>
      <c r="CE222" s="1" t="str">
        <f ca="1">IFERROR(__xludf.DUMMYFUNCTION("""COMPUTED_VALUE"""),"Audiobook : स्रष्टा की अवतरण प्रक्रिया : Rare Book : spmittalmumbai@gmail.com : Recorded")</f>
        <v>Audiobook : स्रष्टा की अवतरण प्रक्रिया : Rare Book : spmittalmumbai@gmail.com : Recorded</v>
      </c>
      <c r="CF222" s="1" t="str">
        <f ca="1">IFERROR(__xludf.DUMMYFUNCTION("""COMPUTED_VALUE"""),"Audiobook : स्रष्टा की अवतरण प्रक्रिया : Rare Book : spmittalmumbai@gmail.com : Recorded")</f>
        <v>Audiobook : स्रष्टा की अवतरण प्रक्रिया : Rare Book : spmittalmumbai@gmail.com : Recorded</v>
      </c>
      <c r="CG222" s="1" t="str">
        <f ca="1">IFERROR(__xludf.DUMMYFUNCTION("""COMPUTED_VALUE"""),"Adarniya S.P.Mittal ji स्रष्टा की अवतरण प्रक्रिया : Rare Book : Allocated on 15-May-24 Contact Number  9860003407")</f>
        <v>Adarniya S.P.Mittal ji स्रष्टा की अवतरण प्रक्रिया : Rare Book : Allocated on 15-May-24 Contact Number  9860003407</v>
      </c>
      <c r="CH222" s="1" t="str">
        <f ca="1">IFERROR(__xludf.DUMMYFUNCTION("""COMPUTED_VALUE"""),"spmittalmumbai@gmail.com : स्रष्टा की अवतरण प्रक्रिया : Rare Book")</f>
        <v>spmittalmumbai@gmail.com : स्रष्टा की अवतरण प्रक्रिया : Rare Book</v>
      </c>
      <c r="CI222" s="5">
        <f ca="1">IFERROR(__xludf.DUMMYFUNCTION("""COMPUTED_VALUE"""),45427.6948592245)</f>
        <v>45427.694859224503</v>
      </c>
    </row>
    <row r="223" spans="1:87" x14ac:dyDescent="0.25">
      <c r="A223" s="5">
        <f ca="1">IFERROR(__xludf.DUMMYFUNCTION("""COMPUTED_VALUE"""),45427.6817001504)</f>
        <v>45427.681700150402</v>
      </c>
      <c r="B223" s="1" t="str">
        <f ca="1">IFERROR(__xludf.DUMMYFUNCTION("""COMPUTED_VALUE"""),"vandana15rastogi@gmail.com")</f>
        <v>vandana15rastogi@gmail.com</v>
      </c>
      <c r="C223" s="1" t="str">
        <f ca="1">IFERROR(__xludf.DUMMYFUNCTION("""COMPUTED_VALUE"""),"Vandana Rastogi")</f>
        <v>Vandana Rastogi</v>
      </c>
      <c r="D223" s="1">
        <f ca="1">IFERROR(__xludf.DUMMYFUNCTION("""COMPUTED_VALUE"""),9359528684)</f>
        <v>9359528684</v>
      </c>
      <c r="E223" s="1" t="str">
        <f ca="1">IFERROR(__xludf.DUMMYFUNCTION("""COMPUTED_VALUE"""),"Yes")</f>
        <v>Yes</v>
      </c>
      <c r="F223" s="1" t="str">
        <f ca="1">IFERROR(__xludf.DUMMYFUNCTION("""COMPUTED_VALUE"""),"हिन्दी")</f>
        <v>हिन्दी</v>
      </c>
      <c r="G223" s="1" t="str">
        <f ca="1">IFERROR(__xludf.DUMMYFUNCTION("""COMPUTED_VALUE"""),"अध्यात्म, धर्म एवं दर्शन")</f>
        <v>अध्यात्म, धर्म एवं दर्शन</v>
      </c>
      <c r="H223" s="1" t="str">
        <f ca="1">IFERROR(__xludf.DUMMYFUNCTION("""COMPUTED_VALUE"""),"आत्मज्ञान एवं आत्मनिर्माण")</f>
        <v>आत्मज्ञान एवं आत्मनिर्माण</v>
      </c>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f ca="1">IFERROR(__xludf.DUMMYFUNCTION("""COMPUTED_VALUE"""),33)</f>
        <v>33</v>
      </c>
      <c r="BX223" s="1">
        <f ca="1">IFERROR(__xludf.DUMMYFUNCTION("""COMPUTED_VALUE"""),19)</f>
        <v>19</v>
      </c>
      <c r="BY223" s="1">
        <f ca="1">IFERROR(__xludf.DUMMYFUNCTION("""COMPUTED_VALUE"""),17)</f>
        <v>17</v>
      </c>
      <c r="BZ223" s="1">
        <f ca="1">IFERROR(__xludf.DUMMYFUNCTION("""COMPUTED_VALUE"""),14)</f>
        <v>14</v>
      </c>
      <c r="CA223" s="1"/>
      <c r="CB223" s="1"/>
      <c r="CC223" s="1" t="str">
        <f ca="1">IFERROR(__xludf.DUMMYFUNCTION("""COMPUTED_VALUE"""),"दिव्य विभूतियाँ श्रद्धालु को ही मिलती है : Rare Book")</f>
        <v>दिव्य विभूतियाँ श्रद्धालु को ही मिलती है : Rare Book</v>
      </c>
      <c r="CD223" s="3" t="str">
        <f ca="1">IFERROR(__xludf.DUMMYFUNCTION("""COMPUTED_VALUE"""),"https://vicharkrantibooks.org/productdetail?book_name=HINP0255_DIVY_VIBHUTIYAN_SHRADDHALU_KO_HI_MILATI_HAI_xx1978&amp;product_id=820")</f>
        <v>https://vicharkrantibooks.org/productdetail?book_name=HINP0255_DIVY_VIBHUTIYAN_SHRADDHALU_KO_HI_MILATI_HAI_xx1978&amp;product_id=820</v>
      </c>
      <c r="CE223" s="1" t="str">
        <f ca="1">IFERROR(__xludf.DUMMYFUNCTION("""COMPUTED_VALUE"""),"Audiobook : दिव्य विभूतियाँ श्रद्धालु को ही मिलती है : Rare Book : vandana15rastogi@gmail.com : Recorded")</f>
        <v>Audiobook : दिव्य विभूतियाँ श्रद्धालु को ही मिलती है : Rare Book : vandana15rastogi@gmail.com : Recorded</v>
      </c>
      <c r="CF223" s="1" t="str">
        <f ca="1">IFERROR(__xludf.DUMMYFUNCTION("""COMPUTED_VALUE"""),"Audiobook : दिव्य विभूतियाँ श्रद्धालु को ही मिलती है : Rare Book : vandana15rastogi@gmail.com : Recorded")</f>
        <v>Audiobook : दिव्य विभूतियाँ श्रद्धालु को ही मिलती है : Rare Book : vandana15rastogi@gmail.com : Recorded</v>
      </c>
      <c r="CG223" s="1" t="str">
        <f ca="1">IFERROR(__xludf.DUMMYFUNCTION("""COMPUTED_VALUE"""),"Adarniya Vandana Rastogi ji दिव्य विभूतियाँ श्रद्धालु को ही मिलती है : Rare Book : Allocated on 15-May-24 Contact Number  9359528684")</f>
        <v>Adarniya Vandana Rastogi ji दिव्य विभूतियाँ श्रद्धालु को ही मिलती है : Rare Book : Allocated on 15-May-24 Contact Number  9359528684</v>
      </c>
      <c r="CH223" s="1" t="str">
        <f ca="1">IFERROR(__xludf.DUMMYFUNCTION("""COMPUTED_VALUE"""),"vandana15rastogi@gmail.com : दिव्य विभूतियाँ श्रद्धालु को ही मिलती है : Rare Book")</f>
        <v>vandana15rastogi@gmail.com : दिव्य विभूतियाँ श्रद्धालु को ही मिलती है : Rare Book</v>
      </c>
      <c r="CI223" s="5">
        <f ca="1">IFERROR(__xludf.DUMMYFUNCTION("""COMPUTED_VALUE"""),45427.6817001504)</f>
        <v>45427.681700150402</v>
      </c>
    </row>
    <row r="224" spans="1:87" x14ac:dyDescent="0.25">
      <c r="A224" s="5">
        <f ca="1">IFERROR(__xludf.DUMMYFUNCTION("""COMPUTED_VALUE"""),45425.9939382523)</f>
        <v>45425.993938252301</v>
      </c>
      <c r="B224" s="1" t="str">
        <f ca="1">IFERROR(__xludf.DUMMYFUNCTION("""COMPUTED_VALUE"""),"druma4107@gmail.com")</f>
        <v>druma4107@gmail.com</v>
      </c>
      <c r="C224" s="1" t="str">
        <f ca="1">IFERROR(__xludf.DUMMYFUNCTION("""COMPUTED_VALUE"""),"Dr Uma Agrawal")</f>
        <v>Dr Uma Agrawal</v>
      </c>
      <c r="D224" s="1">
        <f ca="1">IFERROR(__xludf.DUMMYFUNCTION("""COMPUTED_VALUE"""),9410861182)</f>
        <v>9410861182</v>
      </c>
      <c r="E224" s="1" t="str">
        <f ca="1">IFERROR(__xludf.DUMMYFUNCTION("""COMPUTED_VALUE"""),"Yes")</f>
        <v>Yes</v>
      </c>
      <c r="F224" s="1" t="str">
        <f ca="1">IFERROR(__xludf.DUMMYFUNCTION("""COMPUTED_VALUE"""),"हिन्दी")</f>
        <v>हिन्दी</v>
      </c>
      <c r="G224" s="1" t="str">
        <f ca="1">IFERROR(__xludf.DUMMYFUNCTION("""COMPUTED_VALUE"""),"समाज निर्माण")</f>
        <v>समाज निर्माण</v>
      </c>
      <c r="H224" s="1"/>
      <c r="I224" s="1"/>
      <c r="J224" s="1"/>
      <c r="K224" s="1"/>
      <c r="L224" s="1"/>
      <c r="M224" s="1"/>
      <c r="N224" s="1"/>
      <c r="O224" s="1"/>
      <c r="P224" s="1"/>
      <c r="Q224" s="1"/>
      <c r="R224" s="1"/>
      <c r="S224" s="1"/>
      <c r="T224" s="1"/>
      <c r="U224" s="1"/>
      <c r="V224" s="1" t="str">
        <f ca="1">IFERROR(__xludf.DUMMYFUNCTION("""COMPUTED_VALUE"""),"आदर्श विवाहों का प्रचलन")</f>
        <v>आदर्श विवाहों का प्रचलन</v>
      </c>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f ca="1">IFERROR(__xludf.DUMMYFUNCTION("""COMPUTED_VALUE"""),104)</f>
        <v>104</v>
      </c>
      <c r="BX224" s="1">
        <f ca="1">IFERROR(__xludf.DUMMYFUNCTION("""COMPUTED_VALUE"""),106)</f>
        <v>106</v>
      </c>
      <c r="BY224" s="1">
        <f ca="1">IFERROR(__xludf.DUMMYFUNCTION("""COMPUTED_VALUE"""),9)</f>
        <v>9</v>
      </c>
      <c r="BZ224" s="1">
        <f ca="1">IFERROR(__xludf.DUMMYFUNCTION("""COMPUTED_VALUE"""),43)</f>
        <v>43</v>
      </c>
      <c r="CA224" s="1"/>
      <c r="CB224" s="1"/>
      <c r="CC224" s="1" t="str">
        <f ca="1">IFERROR(__xludf.DUMMYFUNCTION("""COMPUTED_VALUE"""),"हँसें तो पर उपहास न करें : Rare Book")</f>
        <v>हँसें तो पर उपहास न करें : Rare Book</v>
      </c>
      <c r="CD224" s="3" t="str">
        <f ca="1">IFERROR(__xludf.DUMMYFUNCTION("""COMPUTED_VALUE"""),"https://vicharkrantibooks.org/productdetail?book_name=HINP0339_HANSEN_TO_PAR_UPAHAS_NA_KAREN_xx1982&amp;product_id=904")</f>
        <v>https://vicharkrantibooks.org/productdetail?book_name=HINP0339_HANSEN_TO_PAR_UPAHAS_NA_KAREN_xx1982&amp;product_id=904</v>
      </c>
      <c r="CE224" s="1" t="str">
        <f ca="1">IFERROR(__xludf.DUMMYFUNCTION("""COMPUTED_VALUE"""),"Audiobook : हँसें तो पर उपहास न करें : Rare Book : druma4107@gmail.com : Recorded")</f>
        <v>Audiobook : हँसें तो पर उपहास न करें : Rare Book : druma4107@gmail.com : Recorded</v>
      </c>
      <c r="CF224" s="1" t="str">
        <f ca="1">IFERROR(__xludf.DUMMYFUNCTION("""COMPUTED_VALUE"""),"Audiobook : हँसें तो पर उपहास न करें : Rare Book : druma4107@gmail.com : Recorded")</f>
        <v>Audiobook : हँसें तो पर उपहास न करें : Rare Book : druma4107@gmail.com : Recorded</v>
      </c>
      <c r="CG224" s="1" t="str">
        <f ca="1">IFERROR(__xludf.DUMMYFUNCTION("""COMPUTED_VALUE"""),"Adarniya Dr Uma Agrawal ji हँसें तो पर उपहास न करें : Rare Book : Allocated on 13-May-24 Contact Number  9410861182")</f>
        <v>Adarniya Dr Uma Agrawal ji हँसें तो पर उपहास न करें : Rare Book : Allocated on 13-May-24 Contact Number  9410861182</v>
      </c>
      <c r="CH224" s="1" t="str">
        <f ca="1">IFERROR(__xludf.DUMMYFUNCTION("""COMPUTED_VALUE"""),"druma4107@gmail.com : हँसें तो पर उपहास न करें : Rare Book")</f>
        <v>druma4107@gmail.com : हँसें तो पर उपहास न करें : Rare Book</v>
      </c>
      <c r="CI224" s="5">
        <f ca="1">IFERROR(__xludf.DUMMYFUNCTION("""COMPUTED_VALUE"""),45425.9939382523)</f>
        <v>45425.993938252301</v>
      </c>
    </row>
    <row r="225" spans="1:87" x14ac:dyDescent="0.25">
      <c r="A225" s="5">
        <f ca="1">IFERROR(__xludf.DUMMYFUNCTION("""COMPUTED_VALUE"""),45425.611537581)</f>
        <v>45425.611537580997</v>
      </c>
      <c r="B225" s="1" t="str">
        <f ca="1">IFERROR(__xludf.DUMMYFUNCTION("""COMPUTED_VALUE"""),"sanjuktamrp@gmail.com")</f>
        <v>sanjuktamrp@gmail.com</v>
      </c>
      <c r="C225" s="1" t="str">
        <f ca="1">IFERROR(__xludf.DUMMYFUNCTION("""COMPUTED_VALUE"""),"Sanjukta pattnaik")</f>
        <v>Sanjukta pattnaik</v>
      </c>
      <c r="D225" s="1">
        <f ca="1">IFERROR(__xludf.DUMMYFUNCTION("""COMPUTED_VALUE"""),8917664883)</f>
        <v>8917664883</v>
      </c>
      <c r="E225" s="1" t="str">
        <f ca="1">IFERROR(__xludf.DUMMYFUNCTION("""COMPUTED_VALUE"""),"No")</f>
        <v>No</v>
      </c>
      <c r="F225" s="1" t="str">
        <f ca="1">IFERROR(__xludf.DUMMYFUNCTION("""COMPUTED_VALUE"""),"ओड़िया")</f>
        <v>ओड़िया</v>
      </c>
      <c r="G225" s="1" t="str">
        <f ca="1">IFERROR(__xludf.DUMMYFUNCTION("""COMPUTED_VALUE"""),"युग परिवर्तन-विचार क्रांति")</f>
        <v>युग परिवर्तन-विचार क्रांति</v>
      </c>
      <c r="H225" s="1"/>
      <c r="I225" s="1"/>
      <c r="J225" s="1"/>
      <c r="K225" s="1"/>
      <c r="L225" s="1"/>
      <c r="M225" s="1"/>
      <c r="N225" s="1"/>
      <c r="O225" s="1"/>
      <c r="P225" s="1"/>
      <c r="Q225" s="1" t="str">
        <f ca="1">IFERROR(__xludf.DUMMYFUNCTION("""COMPUTED_VALUE"""),"ज्ञानयज्ञ")</f>
        <v>ज्ञानयज्ञ</v>
      </c>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f ca="1">IFERROR(__xludf.DUMMYFUNCTION("""COMPUTED_VALUE"""),2)</f>
        <v>2</v>
      </c>
      <c r="BX225" s="1">
        <f ca="1">IFERROR(__xludf.DUMMYFUNCTION("""COMPUTED_VALUE"""),0)</f>
        <v>0</v>
      </c>
      <c r="BY225" s="1">
        <f ca="1">IFERROR(__xludf.DUMMYFUNCTION("""COMPUTED_VALUE"""),2)</f>
        <v>2</v>
      </c>
      <c r="BZ225" s="1">
        <f ca="1">IFERROR(__xludf.DUMMYFUNCTION("""COMPUTED_VALUE"""),0)</f>
        <v>0</v>
      </c>
      <c r="CA225" s="1"/>
      <c r="CB225" s="1"/>
      <c r="CC225" s="1" t="str">
        <f ca="1">IFERROR(__xludf.DUMMYFUNCTION("""COMPUTED_VALUE"""),"Oriya Temp Book 3")</f>
        <v>Oriya Temp Book 3</v>
      </c>
      <c r="CD225" s="3" t="str">
        <f ca="1">IFERROR(__xludf.DUMMYFUNCTION("""COMPUTED_VALUE"""),"https://drive.google.com/file/d/1MxJ_DBMCMMTlcE15A6R08LdjjWhn4keL/view?usp=sharing")</f>
        <v>https://drive.google.com/file/d/1MxJ_DBMCMMTlcE15A6R08LdjjWhn4keL/view?usp=sharing</v>
      </c>
      <c r="CE225" s="1" t="str">
        <f ca="1">IFERROR(__xludf.DUMMYFUNCTION("""COMPUTED_VALUE"""),"Audiobook : Oriya Temp Book 3 : sanjuktamrp@gmail.com : Recorded")</f>
        <v>Audiobook : Oriya Temp Book 3 : sanjuktamrp@gmail.com : Recorded</v>
      </c>
      <c r="CF225" s="1" t="str">
        <f ca="1">IFERROR(__xludf.DUMMYFUNCTION("""COMPUTED_VALUE"""),"#N/A")</f>
        <v>#N/A</v>
      </c>
      <c r="CG225" s="1" t="str">
        <f ca="1">IFERROR(__xludf.DUMMYFUNCTION("""COMPUTED_VALUE"""),"Adarniya Sanjukta pattnaik ji Oriya Temp Book 3 : Allocated on 13-May-24 Contact Number  8917664883")</f>
        <v>Adarniya Sanjukta pattnaik ji Oriya Temp Book 3 : Allocated on 13-May-24 Contact Number  8917664883</v>
      </c>
      <c r="CH225" s="1" t="str">
        <f ca="1">IFERROR(__xludf.DUMMYFUNCTION("""COMPUTED_VALUE"""),"sanjuktamrp@gmail.com : Oriya Temp Book 3")</f>
        <v>sanjuktamrp@gmail.com : Oriya Temp Book 3</v>
      </c>
      <c r="CI225" s="5">
        <f ca="1">IFERROR(__xludf.DUMMYFUNCTION("""COMPUTED_VALUE"""),45425.611537581)</f>
        <v>45425.611537580997</v>
      </c>
    </row>
    <row r="226" spans="1:87" x14ac:dyDescent="0.25">
      <c r="A226" s="5">
        <f ca="1">IFERROR(__xludf.DUMMYFUNCTION("""COMPUTED_VALUE"""),45425.527549537)</f>
        <v>45425.527549537001</v>
      </c>
      <c r="B226" s="1" t="str">
        <f ca="1">IFERROR(__xludf.DUMMYFUNCTION("""COMPUTED_VALUE"""),"bhagirathi.behera123@gmail.com")</f>
        <v>bhagirathi.behera123@gmail.com</v>
      </c>
      <c r="C226" s="1" t="str">
        <f ca="1">IFERROR(__xludf.DUMMYFUNCTION("""COMPUTED_VALUE"""),"Bhagirathi Behera")</f>
        <v>Bhagirathi Behera</v>
      </c>
      <c r="D226" s="1" t="str">
        <f ca="1">IFERROR(__xludf.DUMMYFUNCTION("""COMPUTED_VALUE"""),"09438773757")</f>
        <v>09438773757</v>
      </c>
      <c r="E226" s="1" t="str">
        <f ca="1">IFERROR(__xludf.DUMMYFUNCTION("""COMPUTED_VALUE"""),"Yes")</f>
        <v>Yes</v>
      </c>
      <c r="F226" s="1" t="str">
        <f ca="1">IFERROR(__xludf.DUMMYFUNCTION("""COMPUTED_VALUE"""),"ओड़िया")</f>
        <v>ओड़िया</v>
      </c>
      <c r="G226" s="1" t="str">
        <f ca="1">IFERROR(__xludf.DUMMYFUNCTION("""COMPUTED_VALUE"""),"Bharatiya Sanskruti ra Mula Gayatri Mahamaantra ")</f>
        <v xml:space="preserve">Bharatiya Sanskruti ra Mula Gayatri Mahamaantra </v>
      </c>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f ca="1">IFERROR(__xludf.DUMMYFUNCTION("""COMPUTED_VALUE"""),1)</f>
        <v>1</v>
      </c>
      <c r="BX226" s="1">
        <f ca="1">IFERROR(__xludf.DUMMYFUNCTION("""COMPUTED_VALUE"""),0)</f>
        <v>0</v>
      </c>
      <c r="BY226" s="1">
        <f ca="1">IFERROR(__xludf.DUMMYFUNCTION("""COMPUTED_VALUE"""),1)</f>
        <v>1</v>
      </c>
      <c r="BZ226" s="1">
        <f ca="1">IFERROR(__xludf.DUMMYFUNCTION("""COMPUTED_VALUE"""),0)</f>
        <v>0</v>
      </c>
      <c r="CA226" s="1"/>
      <c r="CB226" s="1"/>
      <c r="CC226" s="1" t="str">
        <f ca="1">IFERROR(__xludf.DUMMYFUNCTION("""COMPUTED_VALUE"""),"Oriya Temp Book 4")</f>
        <v>Oriya Temp Book 4</v>
      </c>
      <c r="CD226" s="3" t="str">
        <f ca="1">IFERROR(__xludf.DUMMYFUNCTION("""COMPUTED_VALUE"""),"https://drive.google.com/file/d/1NccXhcUsWMqR-yXJhzEih8BYrBfPiaUz/view?usp=sharing")</f>
        <v>https://drive.google.com/file/d/1NccXhcUsWMqR-yXJhzEih8BYrBfPiaUz/view?usp=sharing</v>
      </c>
      <c r="CE226" s="1" t="str">
        <f ca="1">IFERROR(__xludf.DUMMYFUNCTION("""COMPUTED_VALUE"""),"Audiobook : Oriya Temp Book 4 : bhagirathi.behera123@gmail.com : Recorded")</f>
        <v>Audiobook : Oriya Temp Book 4 : bhagirathi.behera123@gmail.com : Recorded</v>
      </c>
      <c r="CF226" s="1" t="str">
        <f ca="1">IFERROR(__xludf.DUMMYFUNCTION("""COMPUTED_VALUE"""),"#N/A")</f>
        <v>#N/A</v>
      </c>
      <c r="CG226" s="1" t="str">
        <f ca="1">IFERROR(__xludf.DUMMYFUNCTION("""COMPUTED_VALUE"""),"Adarniya Bhagirathi Behera ji Oriya Temp Book 4 : Allocated on 13-May-24 Contact Number  09438773757")</f>
        <v>Adarniya Bhagirathi Behera ji Oriya Temp Book 4 : Allocated on 13-May-24 Contact Number  09438773757</v>
      </c>
      <c r="CH226" s="1" t="str">
        <f ca="1">IFERROR(__xludf.DUMMYFUNCTION("""COMPUTED_VALUE"""),"bhagirathi.behera123@gmail.com : Oriya Temp Book 4")</f>
        <v>bhagirathi.behera123@gmail.com : Oriya Temp Book 4</v>
      </c>
      <c r="CI226" s="5">
        <f ca="1">IFERROR(__xludf.DUMMYFUNCTION("""COMPUTED_VALUE"""),45425.527549537)</f>
        <v>45425.527549537001</v>
      </c>
    </row>
    <row r="227" spans="1:87" x14ac:dyDescent="0.25">
      <c r="A227" s="5">
        <f ca="1">IFERROR(__xludf.DUMMYFUNCTION("""COMPUTED_VALUE"""),45425.3264304282)</f>
        <v>45425.326430428198</v>
      </c>
      <c r="B227" s="1" t="str">
        <f ca="1">IFERROR(__xludf.DUMMYFUNCTION("""COMPUTED_VALUE"""),"kalagpatel1959@gmail.com")</f>
        <v>kalagpatel1959@gmail.com</v>
      </c>
      <c r="C227" s="1" t="str">
        <f ca="1">IFERROR(__xludf.DUMMYFUNCTION("""COMPUTED_VALUE"""),"Kala Patel ")</f>
        <v xml:space="preserve">Kala Patel </v>
      </c>
      <c r="D227" s="1">
        <f ca="1">IFERROR(__xludf.DUMMYFUNCTION("""COMPUTED_VALUE"""),9016250929)</f>
        <v>9016250929</v>
      </c>
      <c r="E227" s="1" t="str">
        <f ca="1">IFERROR(__xludf.DUMMYFUNCTION("""COMPUTED_VALUE"""),"Yes")</f>
        <v>Yes</v>
      </c>
      <c r="F227" s="1" t="str">
        <f ca="1">IFERROR(__xludf.DUMMYFUNCTION("""COMPUTED_VALUE"""),"गुजराती")</f>
        <v>गुजराती</v>
      </c>
      <c r="G227" s="1" t="str">
        <f ca="1">IFERROR(__xludf.DUMMYFUNCTION("""COMPUTED_VALUE"""),"अध्यात्म, धर्म एवं दर्शन")</f>
        <v>अध्यात्म, धर्म एवं दर्शन</v>
      </c>
      <c r="H227" s="1" t="str">
        <f ca="1">IFERROR(__xludf.DUMMYFUNCTION("""COMPUTED_VALUE"""),"साधना")</f>
        <v>साधना</v>
      </c>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f ca="1">IFERROR(__xludf.DUMMYFUNCTION("""COMPUTED_VALUE"""),34)</f>
        <v>34</v>
      </c>
      <c r="BX227" s="1">
        <f ca="1">IFERROR(__xludf.DUMMYFUNCTION("""COMPUTED_VALUE"""),34)</f>
        <v>34</v>
      </c>
      <c r="BY227" s="1">
        <f ca="1">IFERROR(__xludf.DUMMYFUNCTION("""COMPUTED_VALUE"""),4)</f>
        <v>4</v>
      </c>
      <c r="BZ227" s="1">
        <f ca="1">IFERROR(__xludf.DUMMYFUNCTION("""COMPUTED_VALUE"""),11)</f>
        <v>11</v>
      </c>
      <c r="CA227" s="1"/>
      <c r="CB227" s="1"/>
      <c r="CC227" s="1" t="str">
        <f ca="1">IFERROR(__xludf.DUMMYFUNCTION("""COMPUTED_VALUE"""),"ભાવનાની પ્રબળ શક્તિ : G_JS_53")</f>
        <v>ભાવનાની પ્રબળ શક્તિ : G_JS_53</v>
      </c>
      <c r="CD227" s="3" t="str">
        <f ca="1">IFERROR(__xludf.DUMMYFUNCTION("""COMPUTED_VALUE"""),"https://vicharkrantibooks.org/productdetail?product_id=3778")</f>
        <v>https://vicharkrantibooks.org/productdetail?product_id=3778</v>
      </c>
      <c r="CE227" s="1" t="str">
        <f ca="1">IFERROR(__xludf.DUMMYFUNCTION("""COMPUTED_VALUE"""),"Audiobook : ભાવનાની પ્રબળ શક્તિ : G_JS_53 : kalagpatel1959@gmail.com : Recorded")</f>
        <v>Audiobook : ભાવનાની પ્રબળ શક્તિ : G_JS_53 : kalagpatel1959@gmail.com : Recorded</v>
      </c>
      <c r="CF227" s="1" t="str">
        <f ca="1">IFERROR(__xludf.DUMMYFUNCTION("""COMPUTED_VALUE"""),"#N/A")</f>
        <v>#N/A</v>
      </c>
      <c r="CG227" s="1" t="str">
        <f ca="1">IFERROR(__xludf.DUMMYFUNCTION("""COMPUTED_VALUE"""),"Adarniya Kala Patel  ji ભાવનાની પ્રબળ શક્તિ : G_JS_53 : Allocated on 13-May-24 Contact Number  9016250929")</f>
        <v>Adarniya Kala Patel  ji ભાવનાની પ્રબળ શક્તિ : G_JS_53 : Allocated on 13-May-24 Contact Number  9016250929</v>
      </c>
      <c r="CH227" s="1" t="str">
        <f ca="1">IFERROR(__xludf.DUMMYFUNCTION("""COMPUTED_VALUE"""),"kalagpatel1959@gmail.com : ભાવનાની પ્રબળ શક્તિ : G_JS_53")</f>
        <v>kalagpatel1959@gmail.com : ભાવનાની પ્રબળ શક્તિ : G_JS_53</v>
      </c>
      <c r="CI227" s="5">
        <f ca="1">IFERROR(__xludf.DUMMYFUNCTION("""COMPUTED_VALUE"""),45425.3264304282)</f>
        <v>45425.326430428198</v>
      </c>
    </row>
    <row r="228" spans="1:87" x14ac:dyDescent="0.25">
      <c r="A228" s="5">
        <f ca="1">IFERROR(__xludf.DUMMYFUNCTION("""COMPUTED_VALUE"""),45425.2988279629)</f>
        <v>45425.298827962899</v>
      </c>
      <c r="B228" s="1" t="str">
        <f ca="1">IFERROR(__xludf.DUMMYFUNCTION("""COMPUTED_VALUE"""),"sanjuktamrp@gmail.com")</f>
        <v>sanjuktamrp@gmail.com</v>
      </c>
      <c r="C228" s="1" t="str">
        <f ca="1">IFERROR(__xludf.DUMMYFUNCTION("""COMPUTED_VALUE"""),"Sanjukta Pattnaik ")</f>
        <v xml:space="preserve">Sanjukta Pattnaik </v>
      </c>
      <c r="D228" s="1">
        <f ca="1">IFERROR(__xludf.DUMMYFUNCTION("""COMPUTED_VALUE"""),8917664883)</f>
        <v>8917664883</v>
      </c>
      <c r="E228" s="1" t="str">
        <f ca="1">IFERROR(__xludf.DUMMYFUNCTION("""COMPUTED_VALUE"""),"No")</f>
        <v>No</v>
      </c>
      <c r="F228" s="1" t="str">
        <f ca="1">IFERROR(__xludf.DUMMYFUNCTION("""COMPUTED_VALUE"""),"ओड़िया")</f>
        <v>ओड़िया</v>
      </c>
      <c r="G228" s="1" t="str">
        <f ca="1">IFERROR(__xludf.DUMMYFUNCTION("""COMPUTED_VALUE"""),"युग द्रष्टा पं. श्रीराम शर्मा आचार्यजी")</f>
        <v>युग द्रष्टा पं. श्रीराम शर्मा आचार्यजी</v>
      </c>
      <c r="H228" s="1"/>
      <c r="I228" s="1"/>
      <c r="J228" s="1"/>
      <c r="K228" s="1"/>
      <c r="L228" s="1"/>
      <c r="M228" s="1"/>
      <c r="N228" s="1"/>
      <c r="O228" s="1"/>
      <c r="P228" s="1" t="str">
        <f ca="1">IFERROR(__xludf.DUMMYFUNCTION("""COMPUTED_VALUE"""),"युगॠषी का जीवनदर्शन")</f>
        <v>युगॠषी का जीवनदर्शन</v>
      </c>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f ca="1">IFERROR(__xludf.DUMMYFUNCTION("""COMPUTED_VALUE"""),2)</f>
        <v>2</v>
      </c>
      <c r="BX228" s="1">
        <f ca="1">IFERROR(__xludf.DUMMYFUNCTION("""COMPUTED_VALUE"""),0)</f>
        <v>0</v>
      </c>
      <c r="BY228" s="1">
        <f ca="1">IFERROR(__xludf.DUMMYFUNCTION("""COMPUTED_VALUE"""),2)</f>
        <v>2</v>
      </c>
      <c r="BZ228" s="1">
        <f ca="1">IFERROR(__xludf.DUMMYFUNCTION("""COMPUTED_VALUE"""),0)</f>
        <v>0</v>
      </c>
      <c r="CA228" s="1"/>
      <c r="CB228" s="1"/>
      <c r="CC228" s="1" t="str">
        <f ca="1">IFERROR(__xludf.DUMMYFUNCTION("""COMPUTED_VALUE"""),"Oriya Temp Book 5")</f>
        <v>Oriya Temp Book 5</v>
      </c>
      <c r="CD228" s="3" t="str">
        <f ca="1">IFERROR(__xludf.DUMMYFUNCTION("""COMPUTED_VALUE"""),"https://drive.google.com/file/d/1WUeRb3ax7B3IUEP0kBfBXJ87-BT8H0Wv/view?usp=sharing")</f>
        <v>https://drive.google.com/file/d/1WUeRb3ax7B3IUEP0kBfBXJ87-BT8H0Wv/view?usp=sharing</v>
      </c>
      <c r="CE228" s="1" t="str">
        <f ca="1">IFERROR(__xludf.DUMMYFUNCTION("""COMPUTED_VALUE"""),"Audiobook : Oriya Temp Book 5 : sanjuktamrp@gmail.com : Recorded")</f>
        <v>Audiobook : Oriya Temp Book 5 : sanjuktamrp@gmail.com : Recorded</v>
      </c>
      <c r="CF228" s="1" t="str">
        <f ca="1">IFERROR(__xludf.DUMMYFUNCTION("""COMPUTED_VALUE"""),"#N/A")</f>
        <v>#N/A</v>
      </c>
      <c r="CG228" s="1" t="str">
        <f ca="1">IFERROR(__xludf.DUMMYFUNCTION("""COMPUTED_VALUE"""),"Adarniya Sanjukta Pattnaik  ji Oriya Temp Book 5 : Allocated on 13-May-24 Contact Number  8917664883")</f>
        <v>Adarniya Sanjukta Pattnaik  ji Oriya Temp Book 5 : Allocated on 13-May-24 Contact Number  8917664883</v>
      </c>
      <c r="CH228" s="1" t="str">
        <f ca="1">IFERROR(__xludf.DUMMYFUNCTION("""COMPUTED_VALUE"""),"sanjuktamrp@gmail.com : Oriya Temp Book 5")</f>
        <v>sanjuktamrp@gmail.com : Oriya Temp Book 5</v>
      </c>
      <c r="CI228" s="5">
        <f ca="1">IFERROR(__xludf.DUMMYFUNCTION("""COMPUTED_VALUE"""),45425.2988279629)</f>
        <v>45425.298827962899</v>
      </c>
    </row>
    <row r="229" spans="1:87" x14ac:dyDescent="0.25">
      <c r="A229" s="5">
        <f ca="1">IFERROR(__xludf.DUMMYFUNCTION("""COMPUTED_VALUE"""),45425.205051493)</f>
        <v>45425.205051493002</v>
      </c>
      <c r="B229" s="1" t="str">
        <f ca="1">IFERROR(__xludf.DUMMYFUNCTION("""COMPUTED_VALUE"""),"sanjayneha1@yahoo.com")</f>
        <v>sanjayneha1@yahoo.com</v>
      </c>
      <c r="C229" s="1" t="str">
        <f ca="1">IFERROR(__xludf.DUMMYFUNCTION("""COMPUTED_VALUE"""),"Neha Manocha")</f>
        <v>Neha Manocha</v>
      </c>
      <c r="D229" s="1">
        <f ca="1">IFERROR(__xludf.DUMMYFUNCTION("""COMPUTED_VALUE"""),16174130446)</f>
        <v>16174130446</v>
      </c>
      <c r="E229" s="1" t="str">
        <f ca="1">IFERROR(__xludf.DUMMYFUNCTION("""COMPUTED_VALUE"""),"Yes")</f>
        <v>Yes</v>
      </c>
      <c r="F229" s="1" t="str">
        <f ca="1">IFERROR(__xludf.DUMMYFUNCTION("""COMPUTED_VALUE"""),"हिन्दी or English")</f>
        <v>हिन्दी or English</v>
      </c>
      <c r="G229" s="1" t="str">
        <f ca="1">IFERROR(__xludf.DUMMYFUNCTION("""COMPUTED_VALUE"""),"जीवन प्रबंध")</f>
        <v>जीवन प्रबंध</v>
      </c>
      <c r="H229" s="1"/>
      <c r="I229" s="1"/>
      <c r="J229" s="1"/>
      <c r="K229" s="1"/>
      <c r="L229" s="1" t="str">
        <f ca="1">IFERROR(__xludf.DUMMYFUNCTION("""COMPUTED_VALUE"""),"मानव जीवन की गरिमा")</f>
        <v>मानव जीवन की गरिमा</v>
      </c>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f ca="1">IFERROR(__xludf.DUMMYFUNCTION("""COMPUTED_VALUE"""),33)</f>
        <v>33</v>
      </c>
      <c r="BX229" s="1">
        <f ca="1">IFERROR(__xludf.DUMMYFUNCTION("""COMPUTED_VALUE"""),40)</f>
        <v>40</v>
      </c>
      <c r="BY229" s="1">
        <f ca="1">IFERROR(__xludf.DUMMYFUNCTION("""COMPUTED_VALUE"""),3)</f>
        <v>3</v>
      </c>
      <c r="BZ229" s="1">
        <f ca="1">IFERROR(__xludf.DUMMYFUNCTION("""COMPUTED_VALUE"""),22)</f>
        <v>22</v>
      </c>
      <c r="CA229" s="1"/>
      <c r="CB229" s="1"/>
      <c r="CC229" s="1" t="str">
        <f ca="1">IFERROR(__xludf.DUMMYFUNCTION("""COMPUTED_VALUE"""),"Three Traits&amp;Four Steps To Progress : EP_125")</f>
        <v>Three Traits&amp;Four Steps To Progress : EP_125</v>
      </c>
      <c r="CD229" s="3" t="str">
        <f ca="1">IFERROR(__xludf.DUMMYFUNCTION("""COMPUTED_VALUE"""),"https://vicharkrantibooks.org/productdetail?book_name=HINP0921_THREE_TRAITS_AND_FOUR_STEPS_TO_PROGRESS_xxyyyy&amp;product_id=3510")</f>
        <v>https://vicharkrantibooks.org/productdetail?book_name=HINP0921_THREE_TRAITS_AND_FOUR_STEPS_TO_PROGRESS_xxyyyy&amp;product_id=3510</v>
      </c>
      <c r="CE229" s="1" t="str">
        <f ca="1">IFERROR(__xludf.DUMMYFUNCTION("""COMPUTED_VALUE"""),"Audiobook : Three Traits&amp;Four Steps To Progress : EP_125 : sanjayneha1@yahoo.com : Recorded")</f>
        <v>Audiobook : Three Traits&amp;Four Steps To Progress : EP_125 : sanjayneha1@yahoo.com : Recorded</v>
      </c>
      <c r="CF229" s="1" t="str">
        <f ca="1">IFERROR(__xludf.DUMMYFUNCTION("""COMPUTED_VALUE"""),"Audiobook : Three Traits&amp;Four Steps To Progress : EP_125 : sanjayneha1@yahoo.com : Recorded")</f>
        <v>Audiobook : Three Traits&amp;Four Steps To Progress : EP_125 : sanjayneha1@yahoo.com : Recorded</v>
      </c>
      <c r="CG229" s="1" t="str">
        <f ca="1">IFERROR(__xludf.DUMMYFUNCTION("""COMPUTED_VALUE"""),"Adarniya Neha Manocha ji Three Traits&amp;Four Steps To Progress : EP_125 : Allocated on 13-May-24 Contact Number  16174130446")</f>
        <v>Adarniya Neha Manocha ji Three Traits&amp;Four Steps To Progress : EP_125 : Allocated on 13-May-24 Contact Number  16174130446</v>
      </c>
      <c r="CH229" s="1" t="str">
        <f ca="1">IFERROR(__xludf.DUMMYFUNCTION("""COMPUTED_VALUE"""),"sanjayneha1@yahoo.com : Three Traits&amp;Four Steps To Progress : EP_125")</f>
        <v>sanjayneha1@yahoo.com : Three Traits&amp;Four Steps To Progress : EP_125</v>
      </c>
      <c r="CI229" s="5">
        <f ca="1">IFERROR(__xludf.DUMMYFUNCTION("""COMPUTED_VALUE"""),45425.205051493)</f>
        <v>45425.205051493002</v>
      </c>
    </row>
    <row r="230" spans="1:87" x14ac:dyDescent="0.25">
      <c r="A230" s="5">
        <f ca="1">IFERROR(__xludf.DUMMYFUNCTION("""COMPUTED_VALUE"""),45424.6847728819)</f>
        <v>45424.684772881898</v>
      </c>
      <c r="B230" s="1" t="str">
        <f ca="1">IFERROR(__xludf.DUMMYFUNCTION("""COMPUTED_VALUE"""),"nksaxena.yoga@gmail.com")</f>
        <v>nksaxena.yoga@gmail.com</v>
      </c>
      <c r="C230" s="1" t="str">
        <f ca="1">IFERROR(__xludf.DUMMYFUNCTION("""COMPUTED_VALUE"""),"Narendra Kumar Saxena ")</f>
        <v xml:space="preserve">Narendra Kumar Saxena </v>
      </c>
      <c r="D230" s="1">
        <f ca="1">IFERROR(__xludf.DUMMYFUNCTION("""COMPUTED_VALUE"""),88264)</f>
        <v>88264</v>
      </c>
      <c r="E230" s="1" t="str">
        <f ca="1">IFERROR(__xludf.DUMMYFUNCTION("""COMPUTED_VALUE"""),"Yes")</f>
        <v>Yes</v>
      </c>
      <c r="F230" s="1" t="str">
        <f ca="1">IFERROR(__xludf.DUMMYFUNCTION("""COMPUTED_VALUE"""),"हिन्दी")</f>
        <v>हिन्दी</v>
      </c>
      <c r="G230" s="1" t="str">
        <f ca="1">IFERROR(__xludf.DUMMYFUNCTION("""COMPUTED_VALUE"""),"युग परिवर्तन-विचार क्रांति")</f>
        <v>युग परिवर्तन-विचार क्रांति</v>
      </c>
      <c r="H230" s="1"/>
      <c r="I230" s="1"/>
      <c r="J230" s="1"/>
      <c r="K230" s="1"/>
      <c r="L230" s="1"/>
      <c r="M230" s="1"/>
      <c r="N230" s="1"/>
      <c r="O230" s="1"/>
      <c r="P230" s="1"/>
      <c r="Q230" s="1" t="str">
        <f ca="1">IFERROR(__xludf.DUMMYFUNCTION("""COMPUTED_VALUE"""),"विचार क्रांति")</f>
        <v>विचार क्रांति</v>
      </c>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f ca="1">IFERROR(__xludf.DUMMYFUNCTION("""COMPUTED_VALUE"""),29)</f>
        <v>29</v>
      </c>
      <c r="BX230" s="1">
        <f ca="1">IFERROR(__xludf.DUMMYFUNCTION("""COMPUTED_VALUE"""),30)</f>
        <v>30</v>
      </c>
      <c r="BY230" s="1">
        <f ca="1">IFERROR(__xludf.DUMMYFUNCTION("""COMPUTED_VALUE"""),3)</f>
        <v>3</v>
      </c>
      <c r="BZ230" s="1">
        <f ca="1">IFERROR(__xludf.DUMMYFUNCTION("""COMPUTED_VALUE"""),25)</f>
        <v>25</v>
      </c>
      <c r="CA230" s="1"/>
      <c r="CB230" s="1"/>
      <c r="CC230" s="1" t="str">
        <f ca="1">IFERROR(__xludf.DUMMYFUNCTION("""COMPUTED_VALUE"""),"विचारों की अपार शक्ति : Rare Book")</f>
        <v>विचारों की अपार शक्ति : Rare Book</v>
      </c>
      <c r="CD230" s="3" t="str">
        <f ca="1">IFERROR(__xludf.DUMMYFUNCTION("""COMPUTED_VALUE"""),"https://vicharkrantibooks.org/productdetail?book_name=HINP0966_VICHARON_KI_APAR_SHAKTI_xxyyyy&amp;product_id=1531")</f>
        <v>https://vicharkrantibooks.org/productdetail?book_name=HINP0966_VICHARON_KI_APAR_SHAKTI_xxyyyy&amp;product_id=1531</v>
      </c>
      <c r="CE230" s="1" t="str">
        <f ca="1">IFERROR(__xludf.DUMMYFUNCTION("""COMPUTED_VALUE"""),"Audiobook : विचारों की अपार शक्ति : Rare Book : nksaxena.yoga@gmail.com : Recorded")</f>
        <v>Audiobook : विचारों की अपार शक्ति : Rare Book : nksaxena.yoga@gmail.com : Recorded</v>
      </c>
      <c r="CF230" s="1" t="str">
        <f ca="1">IFERROR(__xludf.DUMMYFUNCTION("""COMPUTED_VALUE"""),"Audiobook : विचारों की अपार शक्ति : Rare Book : nksaxena.yoga@gmail.com : Recorded")</f>
        <v>Audiobook : विचारों की अपार शक्ति : Rare Book : nksaxena.yoga@gmail.com : Recorded</v>
      </c>
      <c r="CG230" s="1" t="str">
        <f ca="1">IFERROR(__xludf.DUMMYFUNCTION("""COMPUTED_VALUE"""),"Adarniya Narendra Kumar Saxena  ji विचारों की अपार शक्ति : Rare Book : Allocated on 12-May-24 Contact Number  88264")</f>
        <v>Adarniya Narendra Kumar Saxena  ji विचारों की अपार शक्ति : Rare Book : Allocated on 12-May-24 Contact Number  88264</v>
      </c>
      <c r="CH230" s="1" t="str">
        <f ca="1">IFERROR(__xludf.DUMMYFUNCTION("""COMPUTED_VALUE"""),"nksaxena.yoga@gmail.com : विचारों की अपार शक्ति : Rare Book")</f>
        <v>nksaxena.yoga@gmail.com : विचारों की अपार शक्ति : Rare Book</v>
      </c>
      <c r="CI230" s="5">
        <f ca="1">IFERROR(__xludf.DUMMYFUNCTION("""COMPUTED_VALUE"""),45424.6847728819)</f>
        <v>45424.684772881898</v>
      </c>
    </row>
    <row r="231" spans="1:87" x14ac:dyDescent="0.25">
      <c r="A231" s="5">
        <f ca="1">IFERROR(__xludf.DUMMYFUNCTION("""COMPUTED_VALUE"""),45424.5898300115)</f>
        <v>45424.5898300115</v>
      </c>
      <c r="B231" s="1" t="str">
        <f ca="1">IFERROR(__xludf.DUMMYFUNCTION("""COMPUTED_VALUE"""),"premlatadevi4669@gmail.com")</f>
        <v>premlatadevi4669@gmail.com</v>
      </c>
      <c r="C231" s="1" t="str">
        <f ca="1">IFERROR(__xludf.DUMMYFUNCTION("""COMPUTED_VALUE"""),"Premlata barnwal ")</f>
        <v xml:space="preserve">Premlata barnwal </v>
      </c>
      <c r="D231" s="1">
        <f ca="1">IFERROR(__xludf.DUMMYFUNCTION("""COMPUTED_VALUE"""),9372282030)</f>
        <v>9372282030</v>
      </c>
      <c r="E231" s="1" t="str">
        <f ca="1">IFERROR(__xludf.DUMMYFUNCTION("""COMPUTED_VALUE"""),"Yes")</f>
        <v>Yes</v>
      </c>
      <c r="F231" s="1" t="str">
        <f ca="1">IFERROR(__xludf.DUMMYFUNCTION("""COMPUTED_VALUE"""),"हिन्दी")</f>
        <v>हिन्दी</v>
      </c>
      <c r="G231" s="1" t="str">
        <f ca="1">IFERROR(__xludf.DUMMYFUNCTION("""COMPUTED_VALUE"""),"परिवार निर्माण")</f>
        <v>परिवार निर्माण</v>
      </c>
      <c r="H231" s="1"/>
      <c r="I231" s="1"/>
      <c r="J231" s="1"/>
      <c r="K231" s="1"/>
      <c r="L231" s="1"/>
      <c r="M231" s="1" t="str">
        <f ca="1">IFERROR(__xludf.DUMMYFUNCTION("""COMPUTED_VALUE"""),"परिवार")</f>
        <v>परिवार</v>
      </c>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f ca="1">IFERROR(__xludf.DUMMYFUNCTION("""COMPUTED_VALUE"""),13)</f>
        <v>13</v>
      </c>
      <c r="BX231" s="1">
        <f ca="1">IFERROR(__xludf.DUMMYFUNCTION("""COMPUTED_VALUE"""),10)</f>
        <v>10</v>
      </c>
      <c r="BY231" s="1">
        <f ca="1">IFERROR(__xludf.DUMMYFUNCTION("""COMPUTED_VALUE"""),7)</f>
        <v>7</v>
      </c>
      <c r="BZ231" s="1">
        <f ca="1">IFERROR(__xludf.DUMMYFUNCTION("""COMPUTED_VALUE"""),2)</f>
        <v>2</v>
      </c>
      <c r="CA231" s="1"/>
      <c r="CB231" s="1"/>
      <c r="CC231" s="1" t="str">
        <f ca="1">IFERROR(__xludf.DUMMYFUNCTION("""COMPUTED_VALUE"""),"बच्चों को नियमितता का शिक्षण दीजिये : Rare Book")</f>
        <v>बच्चों को नियमितता का शिक्षण दीजिये : Rare Book</v>
      </c>
      <c r="CD231" s="3" t="str">
        <f ca="1">IFERROR(__xludf.DUMMYFUNCTION("""COMPUTED_VALUE"""),"https://vicharkrantibooks.org/productdetail?book_name=HINP0125_BACHCHON_KO_NIYAMITATA_KA_SHIKSHAN_DIJIE_xx1981&amp;product_id=690")</f>
        <v>https://vicharkrantibooks.org/productdetail?book_name=HINP0125_BACHCHON_KO_NIYAMITATA_KA_SHIKSHAN_DIJIE_xx1981&amp;product_id=690</v>
      </c>
      <c r="CE231" s="1" t="str">
        <f ca="1">IFERROR(__xludf.DUMMYFUNCTION("""COMPUTED_VALUE"""),"Audiobook : बच्चों को नियमितता का शिक्षण दीजिये : Rare Book : premlatadevi4669@gmail.com : Recorded")</f>
        <v>Audiobook : बच्चों को नियमितता का शिक्षण दीजिये : Rare Book : premlatadevi4669@gmail.com : Recorded</v>
      </c>
      <c r="CF231" s="1" t="str">
        <f ca="1">IFERROR(__xludf.DUMMYFUNCTION("""COMPUTED_VALUE"""),"Audiobook : बच्चों को नियमितता का शिक्षण दीजिये : Rare Book : premlatadevi4669@gmail.com : Recorded")</f>
        <v>Audiobook : बच्चों को नियमितता का शिक्षण दीजिये : Rare Book : premlatadevi4669@gmail.com : Recorded</v>
      </c>
      <c r="CG231" s="1" t="str">
        <f ca="1">IFERROR(__xludf.DUMMYFUNCTION("""COMPUTED_VALUE"""),"Adarniya Premlata barnwal  ji बच्चों को नियमितता का शिक्षण दीजिये : Rare Book : Allocated on 12-May-24 Contact Number  9372282030")</f>
        <v>Adarniya Premlata barnwal  ji बच्चों को नियमितता का शिक्षण दीजिये : Rare Book : Allocated on 12-May-24 Contact Number  9372282030</v>
      </c>
      <c r="CH231" s="1" t="str">
        <f ca="1">IFERROR(__xludf.DUMMYFUNCTION("""COMPUTED_VALUE"""),"premlatadevi4669@gmail.com : बच्चों को नियमितता का शिक्षण दीजिये : Rare Book")</f>
        <v>premlatadevi4669@gmail.com : बच्चों को नियमितता का शिक्षण दीजिये : Rare Book</v>
      </c>
      <c r="CI231" s="5">
        <f ca="1">IFERROR(__xludf.DUMMYFUNCTION("""COMPUTED_VALUE"""),45424.5898300115)</f>
        <v>45424.5898300115</v>
      </c>
    </row>
    <row r="232" spans="1:87" x14ac:dyDescent="0.25">
      <c r="A232" s="5">
        <f ca="1">IFERROR(__xludf.DUMMYFUNCTION("""COMPUTED_VALUE"""),45423.7319261805)</f>
        <v>45423.731926180502</v>
      </c>
      <c r="B232" s="1" t="str">
        <f ca="1">IFERROR(__xludf.DUMMYFUNCTION("""COMPUTED_VALUE"""),"nksaxena.yoga@gmail.com")</f>
        <v>nksaxena.yoga@gmail.com</v>
      </c>
      <c r="C232" s="1" t="str">
        <f ca="1">IFERROR(__xludf.DUMMYFUNCTION("""COMPUTED_VALUE"""),"Narendra Kumar Saxena ")</f>
        <v xml:space="preserve">Narendra Kumar Saxena </v>
      </c>
      <c r="D232" s="1">
        <f ca="1">IFERROR(__xludf.DUMMYFUNCTION("""COMPUTED_VALUE"""),8826499188)</f>
        <v>8826499188</v>
      </c>
      <c r="E232" s="1" t="str">
        <f ca="1">IFERROR(__xludf.DUMMYFUNCTION("""COMPUTED_VALUE"""),"Yes")</f>
        <v>Yes</v>
      </c>
      <c r="F232" s="1" t="str">
        <f ca="1">IFERROR(__xludf.DUMMYFUNCTION("""COMPUTED_VALUE"""),"हिन्दी")</f>
        <v>हिन्दी</v>
      </c>
      <c r="G232" s="1" t="str">
        <f ca="1">IFERROR(__xludf.DUMMYFUNCTION("""COMPUTED_VALUE"""),"युग परिवर्तन-विचार क्रांति")</f>
        <v>युग परिवर्तन-विचार क्रांति</v>
      </c>
      <c r="H232" s="1"/>
      <c r="I232" s="1"/>
      <c r="J232" s="1"/>
      <c r="K232" s="1"/>
      <c r="L232" s="1"/>
      <c r="M232" s="1"/>
      <c r="N232" s="1"/>
      <c r="O232" s="1"/>
      <c r="P232" s="1"/>
      <c r="Q232" s="1" t="str">
        <f ca="1">IFERROR(__xludf.DUMMYFUNCTION("""COMPUTED_VALUE"""),"विचार क्रांति")</f>
        <v>विचार क्रांति</v>
      </c>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f ca="1">IFERROR(__xludf.DUMMYFUNCTION("""COMPUTED_VALUE"""),29)</f>
        <v>29</v>
      </c>
      <c r="BX232" s="1">
        <f ca="1">IFERROR(__xludf.DUMMYFUNCTION("""COMPUTED_VALUE"""),30)</f>
        <v>30</v>
      </c>
      <c r="BY232" s="1">
        <f ca="1">IFERROR(__xludf.DUMMYFUNCTION("""COMPUTED_VALUE"""),3)</f>
        <v>3</v>
      </c>
      <c r="BZ232" s="1">
        <f ca="1">IFERROR(__xludf.DUMMYFUNCTION("""COMPUTED_VALUE"""),25)</f>
        <v>25</v>
      </c>
      <c r="CA232" s="1"/>
      <c r="CB232" s="1"/>
      <c r="CC232" s="1" t="str">
        <f ca="1">IFERROR(__xludf.DUMMYFUNCTION("""COMPUTED_VALUE"""),"युग परिवर्तन का आधार विचार क्रांति : Rare Book")</f>
        <v>युग परिवर्तन का आधार विचार क्रांति : Rare Book</v>
      </c>
      <c r="CD232" s="3" t="str">
        <f ca="1">IFERROR(__xludf.DUMMYFUNCTION("""COMPUTED_VALUE"""),"https://vicharkrantibooks.org/productdetail?book_name=HINP1051_YUG_PARIVARTAN_KA_ADHAR_VICHAR_KRANTI_xxyyyy&amp;product_id=1616")</f>
        <v>https://vicharkrantibooks.org/productdetail?book_name=HINP1051_YUG_PARIVARTAN_KA_ADHAR_VICHAR_KRANTI_xxyyyy&amp;product_id=1616</v>
      </c>
      <c r="CE232" s="1" t="str">
        <f ca="1">IFERROR(__xludf.DUMMYFUNCTION("""COMPUTED_VALUE"""),"Audiobook : युग परिवर्तन का आधार विचार क्रांति : Rare Book : nksaxena.yoga@gmail.com : Recorded")</f>
        <v>Audiobook : युग परिवर्तन का आधार विचार क्रांति : Rare Book : nksaxena.yoga@gmail.com : Recorded</v>
      </c>
      <c r="CF232" s="1" t="str">
        <f ca="1">IFERROR(__xludf.DUMMYFUNCTION("""COMPUTED_VALUE"""),"Audiobook : युग परिवर्तन का आधार विचार क्रांति : Rare Book : nksaxena.yoga@gmail.com : Recorded")</f>
        <v>Audiobook : युग परिवर्तन का आधार विचार क्रांति : Rare Book : nksaxena.yoga@gmail.com : Recorded</v>
      </c>
      <c r="CG232" s="1" t="str">
        <f ca="1">IFERROR(__xludf.DUMMYFUNCTION("""COMPUTED_VALUE"""),"Adarniya Narendra Kumar Saxena  ji युग परिवर्तन का आधार विचार क्रांति : Rare Book : Allocated on 11-May-24 Contact Number  8826499188")</f>
        <v>Adarniya Narendra Kumar Saxena  ji युग परिवर्तन का आधार विचार क्रांति : Rare Book : Allocated on 11-May-24 Contact Number  8826499188</v>
      </c>
      <c r="CH232" s="1" t="str">
        <f ca="1">IFERROR(__xludf.DUMMYFUNCTION("""COMPUTED_VALUE"""),"nksaxena.yoga@gmail.com : युग परिवर्तन का आधार विचार क्रांति : Rare Book")</f>
        <v>nksaxena.yoga@gmail.com : युग परिवर्तन का आधार विचार क्रांति : Rare Book</v>
      </c>
      <c r="CI232" s="5">
        <f ca="1">IFERROR(__xludf.DUMMYFUNCTION("""COMPUTED_VALUE"""),45423.7319261805)</f>
        <v>45423.731926180502</v>
      </c>
    </row>
    <row r="233" spans="1:87" x14ac:dyDescent="0.25">
      <c r="A233" s="5">
        <f ca="1">IFERROR(__xludf.DUMMYFUNCTION("""COMPUTED_VALUE"""),45422.9888871875)</f>
        <v>45422.988887187501</v>
      </c>
      <c r="B233" s="1" t="str">
        <f ca="1">IFERROR(__xludf.DUMMYFUNCTION("""COMPUTED_VALUE"""),"nksaxena.yoga@gmail.com")</f>
        <v>nksaxena.yoga@gmail.com</v>
      </c>
      <c r="C233" s="1" t="str">
        <f ca="1">IFERROR(__xludf.DUMMYFUNCTION("""COMPUTED_VALUE"""),"Narendra Kumar Saxena ")</f>
        <v xml:space="preserve">Narendra Kumar Saxena </v>
      </c>
      <c r="D233" s="1" t="str">
        <f ca="1">IFERROR(__xludf.DUMMYFUNCTION("""COMPUTED_VALUE"""),"08826499188")</f>
        <v>08826499188</v>
      </c>
      <c r="E233" s="1" t="str">
        <f ca="1">IFERROR(__xludf.DUMMYFUNCTION("""COMPUTED_VALUE"""),"Yes")</f>
        <v>Yes</v>
      </c>
      <c r="F233" s="1" t="str">
        <f ca="1">IFERROR(__xludf.DUMMYFUNCTION("""COMPUTED_VALUE"""),"हिन्दी")</f>
        <v>हिन्दी</v>
      </c>
      <c r="G233" s="1" t="str">
        <f ca="1">IFERROR(__xludf.DUMMYFUNCTION("""COMPUTED_VALUE"""),"युग परिवर्तन-विचार क्रांति")</f>
        <v>युग परिवर्तन-विचार क्रांति</v>
      </c>
      <c r="H233" s="1"/>
      <c r="I233" s="1"/>
      <c r="J233" s="1"/>
      <c r="K233" s="1"/>
      <c r="L233" s="1"/>
      <c r="M233" s="1"/>
      <c r="N233" s="1"/>
      <c r="O233" s="1"/>
      <c r="P233" s="1"/>
      <c r="Q233" s="1" t="str">
        <f ca="1">IFERROR(__xludf.DUMMYFUNCTION("""COMPUTED_VALUE"""),"विचार क्रांति")</f>
        <v>विचार क्रांति</v>
      </c>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f ca="1">IFERROR(__xludf.DUMMYFUNCTION("""COMPUTED_VALUE"""),29)</f>
        <v>29</v>
      </c>
      <c r="BX233" s="1">
        <f ca="1">IFERROR(__xludf.DUMMYFUNCTION("""COMPUTED_VALUE"""),30)</f>
        <v>30</v>
      </c>
      <c r="BY233" s="1">
        <f ca="1">IFERROR(__xludf.DUMMYFUNCTION("""COMPUTED_VALUE"""),3)</f>
        <v>3</v>
      </c>
      <c r="BZ233" s="1">
        <f ca="1">IFERROR(__xludf.DUMMYFUNCTION("""COMPUTED_VALUE"""),25)</f>
        <v>25</v>
      </c>
      <c r="CA233" s="1"/>
      <c r="CB233" s="1"/>
      <c r="CC233" s="1" t="str">
        <f ca="1">IFERROR(__xludf.DUMMYFUNCTION("""COMPUTED_VALUE"""),"समय की पुकार-ज्ञानयज्ञ : Rare Book")</f>
        <v>समय की पुकार-ज्ञानयज्ञ : Rare Book</v>
      </c>
      <c r="CD233" s="3" t="str">
        <f ca="1">IFERROR(__xludf.DUMMYFUNCTION("""COMPUTED_VALUE"""),"https://vicharkrantibooks.org/productdetail?book_name=HINP0773_SAMAY_KI_PUKAR_GYANAYAGY_xxyyyy&amp;product_id=1338")</f>
        <v>https://vicharkrantibooks.org/productdetail?book_name=HINP0773_SAMAY_KI_PUKAR_GYANAYAGY_xxyyyy&amp;product_id=1338</v>
      </c>
      <c r="CE233" s="1" t="str">
        <f ca="1">IFERROR(__xludf.DUMMYFUNCTION("""COMPUTED_VALUE"""),"Audiobook : समय की पुकार-ज्ञानयज्ञ : Rare Book : nksaxena.yoga@gmail.com : Recorded")</f>
        <v>Audiobook : समय की पुकार-ज्ञानयज्ञ : Rare Book : nksaxena.yoga@gmail.com : Recorded</v>
      </c>
      <c r="CF233" s="1" t="str">
        <f ca="1">IFERROR(__xludf.DUMMYFUNCTION("""COMPUTED_VALUE"""),"Audiobook : समय की पुकार-ज्ञानयज्ञ : Rare Book : nksaxena.yoga@gmail.com : Recorded")</f>
        <v>Audiobook : समय की पुकार-ज्ञानयज्ञ : Rare Book : nksaxena.yoga@gmail.com : Recorded</v>
      </c>
      <c r="CG233" s="1" t="str">
        <f ca="1">IFERROR(__xludf.DUMMYFUNCTION("""COMPUTED_VALUE"""),"Adarniya Narendra Kumar Saxena  ji समय की पुकार-ज्ञानयज्ञ : Rare Book : Allocated on 10-May-24 Contact Number  08826499188")</f>
        <v>Adarniya Narendra Kumar Saxena  ji समय की पुकार-ज्ञानयज्ञ : Rare Book : Allocated on 10-May-24 Contact Number  08826499188</v>
      </c>
      <c r="CH233" s="1" t="str">
        <f ca="1">IFERROR(__xludf.DUMMYFUNCTION("""COMPUTED_VALUE"""),"nksaxena.yoga@gmail.com : समय की पुकार-ज्ञानयज्ञ : Rare Book")</f>
        <v>nksaxena.yoga@gmail.com : समय की पुकार-ज्ञानयज्ञ : Rare Book</v>
      </c>
      <c r="CI233" s="5">
        <f ca="1">IFERROR(__xludf.DUMMYFUNCTION("""COMPUTED_VALUE"""),45422.9888871875)</f>
        <v>45422.988887187501</v>
      </c>
    </row>
    <row r="234" spans="1:87" x14ac:dyDescent="0.25">
      <c r="A234" s="5">
        <f ca="1">IFERROR(__xludf.DUMMYFUNCTION("""COMPUTED_VALUE"""),45422.967010625)</f>
        <v>45422.967010624998</v>
      </c>
      <c r="B234" s="1" t="str">
        <f ca="1">IFERROR(__xludf.DUMMYFUNCTION("""COMPUTED_VALUE"""),"mohantytapaswini40@gmail.com")</f>
        <v>mohantytapaswini40@gmail.com</v>
      </c>
      <c r="C234" s="1" t="str">
        <f ca="1">IFERROR(__xludf.DUMMYFUNCTION("""COMPUTED_VALUE"""),"Raseswari Tapaswini Mohanty ")</f>
        <v xml:space="preserve">Raseswari Tapaswini Mohanty </v>
      </c>
      <c r="D234" s="1">
        <f ca="1">IFERROR(__xludf.DUMMYFUNCTION("""COMPUTED_VALUE"""),8984338189)</f>
        <v>8984338189</v>
      </c>
      <c r="E234" s="1"/>
      <c r="F234" s="1" t="str">
        <f ca="1">IFERROR(__xludf.DUMMYFUNCTION("""COMPUTED_VALUE"""),"ओड़िया")</f>
        <v>ओड़िया</v>
      </c>
      <c r="G234" s="1" t="str">
        <f ca="1">IFERROR(__xludf.DUMMYFUNCTION("""COMPUTED_VALUE"""),"युग परिवर्तन-विचार क्रांति")</f>
        <v>युग परिवर्तन-विचार क्रांति</v>
      </c>
      <c r="H234" s="1"/>
      <c r="I234" s="1"/>
      <c r="J234" s="1"/>
      <c r="K234" s="1"/>
      <c r="L234" s="1"/>
      <c r="M234" s="1"/>
      <c r="N234" s="1"/>
      <c r="O234" s="1"/>
      <c r="P234" s="1"/>
      <c r="Q234" s="1" t="str">
        <f ca="1">IFERROR(__xludf.DUMMYFUNCTION("""COMPUTED_VALUE"""),"युग निर्माण योजना एवं युग परिवर्तन")</f>
        <v>युग निर्माण योजना एवं युग परिवर्तन</v>
      </c>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f ca="1">IFERROR(__xludf.DUMMYFUNCTION("""COMPUTED_VALUE"""),2)</f>
        <v>2</v>
      </c>
      <c r="BX234" s="1">
        <f ca="1">IFERROR(__xludf.DUMMYFUNCTION("""COMPUTED_VALUE"""),2)</f>
        <v>2</v>
      </c>
      <c r="BY234" s="1">
        <f ca="1">IFERROR(__xludf.DUMMYFUNCTION("""COMPUTED_VALUE"""),2)</f>
        <v>2</v>
      </c>
      <c r="BZ234" s="1">
        <f ca="1">IFERROR(__xludf.DUMMYFUNCTION("""COMPUTED_VALUE"""),0)</f>
        <v>0</v>
      </c>
      <c r="CA234" s="1"/>
      <c r="CB234" s="1"/>
      <c r="CC234" s="1" t="str">
        <f ca="1">IFERROR(__xludf.DUMMYFUNCTION("""COMPUTED_VALUE"""),"Oriya Temp Book 1")</f>
        <v>Oriya Temp Book 1</v>
      </c>
      <c r="CD234" s="3" t="str">
        <f ca="1">IFERROR(__xludf.DUMMYFUNCTION("""COMPUTED_VALUE"""),"https://drive.google.com/file/d/1GOABqL4sQL3rZa4vUgkBGoKqy3ObgOZS/view?usp=drive_link")</f>
        <v>https://drive.google.com/file/d/1GOABqL4sQL3rZa4vUgkBGoKqy3ObgOZS/view?usp=drive_link</v>
      </c>
      <c r="CE234" s="1" t="str">
        <f ca="1">IFERROR(__xludf.DUMMYFUNCTION("""COMPUTED_VALUE"""),"Audiobook : Oriya Temp Book 1 : mohantytapaswini40@gmail.com : Recorded")</f>
        <v>Audiobook : Oriya Temp Book 1 : mohantytapaswini40@gmail.com : Recorded</v>
      </c>
      <c r="CF234" s="1" t="str">
        <f ca="1">IFERROR(__xludf.DUMMYFUNCTION("""COMPUTED_VALUE"""),"#N/A")</f>
        <v>#N/A</v>
      </c>
      <c r="CG234" s="1" t="str">
        <f ca="1">IFERROR(__xludf.DUMMYFUNCTION("""COMPUTED_VALUE"""),"Adarniya Raseswari Tapaswini Mohanty  ji Oriya Temp Book 1 : Allocated on 10-May-24 Contact Number  8984338189")</f>
        <v>Adarniya Raseswari Tapaswini Mohanty  ji Oriya Temp Book 1 : Allocated on 10-May-24 Contact Number  8984338189</v>
      </c>
      <c r="CH234" s="1" t="str">
        <f ca="1">IFERROR(__xludf.DUMMYFUNCTION("""COMPUTED_VALUE"""),"mohantytapaswini40@gmail.com : Oriya Temp Book 1")</f>
        <v>mohantytapaswini40@gmail.com : Oriya Temp Book 1</v>
      </c>
      <c r="CI234" s="5">
        <f ca="1">IFERROR(__xludf.DUMMYFUNCTION("""COMPUTED_VALUE"""),45422.967010625)</f>
        <v>45422.967010624998</v>
      </c>
    </row>
    <row r="235" spans="1:87" x14ac:dyDescent="0.25">
      <c r="A235" s="5">
        <f ca="1">IFERROR(__xludf.DUMMYFUNCTION("""COMPUTED_VALUE"""),45422.7526375925)</f>
        <v>45422.752637592501</v>
      </c>
      <c r="B235" s="1" t="str">
        <f ca="1">IFERROR(__xludf.DUMMYFUNCTION("""COMPUTED_VALUE"""),"renubalasahu1973@gmail.com")</f>
        <v>renubalasahu1973@gmail.com</v>
      </c>
      <c r="C235" s="1" t="str">
        <f ca="1">IFERROR(__xludf.DUMMYFUNCTION("""COMPUTED_VALUE"""),"Renubala Sahu ")</f>
        <v xml:space="preserve">Renubala Sahu </v>
      </c>
      <c r="D235" s="1">
        <f ca="1">IFERROR(__xludf.DUMMYFUNCTION("""COMPUTED_VALUE"""),8908049746)</f>
        <v>8908049746</v>
      </c>
      <c r="E235" s="1" t="str">
        <f ca="1">IFERROR(__xludf.DUMMYFUNCTION("""COMPUTED_VALUE"""),"No")</f>
        <v>No</v>
      </c>
      <c r="F235" s="1" t="str">
        <f ca="1">IFERROR(__xludf.DUMMYFUNCTION("""COMPUTED_VALUE"""),"ओड़िया")</f>
        <v>ओड़िया</v>
      </c>
      <c r="G235" s="1" t="str">
        <f ca="1">IFERROR(__xludf.DUMMYFUNCTION("""COMPUTED_VALUE"""),"अध्यात्म, धर्म एवं दर्शन")</f>
        <v>अध्यात्म, धर्म एवं दर्शन</v>
      </c>
      <c r="H235" s="1" t="str">
        <f ca="1">IFERROR(__xludf.DUMMYFUNCTION("""COMPUTED_VALUE"""),"उपासना")</f>
        <v>उपासना</v>
      </c>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f ca="1">IFERROR(__xludf.DUMMYFUNCTION("""COMPUTED_VALUE"""),1)</f>
        <v>1</v>
      </c>
      <c r="BX235" s="1">
        <f ca="1">IFERROR(__xludf.DUMMYFUNCTION("""COMPUTED_VALUE"""),0)</f>
        <v>0</v>
      </c>
      <c r="BY235" s="1">
        <f ca="1">IFERROR(__xludf.DUMMYFUNCTION("""COMPUTED_VALUE"""),1)</f>
        <v>1</v>
      </c>
      <c r="BZ235" s="1">
        <f ca="1">IFERROR(__xludf.DUMMYFUNCTION("""COMPUTED_VALUE"""),0)</f>
        <v>0</v>
      </c>
      <c r="CA235" s="1"/>
      <c r="CB235" s="1"/>
      <c r="CC235" s="1" t="str">
        <f ca="1">IFERROR(__xludf.DUMMYFUNCTION("""COMPUTED_VALUE"""),"Oriya Temp Book 2")</f>
        <v>Oriya Temp Book 2</v>
      </c>
      <c r="CD235" s="3" t="str">
        <f ca="1">IFERROR(__xludf.DUMMYFUNCTION("""COMPUTED_VALUE"""),"https://drive.google.com/file/d/1D5xMHoUye9OqRb83E1S0HYWpjjidSavs/view?usp=sharing")</f>
        <v>https://drive.google.com/file/d/1D5xMHoUye9OqRb83E1S0HYWpjjidSavs/view?usp=sharing</v>
      </c>
      <c r="CE235" s="1" t="str">
        <f ca="1">IFERROR(__xludf.DUMMYFUNCTION("""COMPUTED_VALUE"""),"Audiobook : Oriya Temp Book 2 : renubalasahu1973@gmail.com : Recorded")</f>
        <v>Audiobook : Oriya Temp Book 2 : renubalasahu1973@gmail.com : Recorded</v>
      </c>
      <c r="CF235" s="1" t="str">
        <f ca="1">IFERROR(__xludf.DUMMYFUNCTION("""COMPUTED_VALUE"""),"#N/A")</f>
        <v>#N/A</v>
      </c>
      <c r="CG235" s="1" t="str">
        <f ca="1">IFERROR(__xludf.DUMMYFUNCTION("""COMPUTED_VALUE"""),"Adarniya Renubala Sahu  ji Oriya Temp Book 2 : Allocated on 10-May-24 Contact Number  8908049746")</f>
        <v>Adarniya Renubala Sahu  ji Oriya Temp Book 2 : Allocated on 10-May-24 Contact Number  8908049746</v>
      </c>
      <c r="CH235" s="1" t="str">
        <f ca="1">IFERROR(__xludf.DUMMYFUNCTION("""COMPUTED_VALUE"""),"renubalasahu1973@gmail.com : Oriya Temp Book 2")</f>
        <v>renubalasahu1973@gmail.com : Oriya Temp Book 2</v>
      </c>
      <c r="CI235" s="5">
        <f ca="1">IFERROR(__xludf.DUMMYFUNCTION("""COMPUTED_VALUE"""),45422.7526375925)</f>
        <v>45422.752637592501</v>
      </c>
    </row>
    <row r="236" spans="1:87" x14ac:dyDescent="0.25">
      <c r="A236" s="5">
        <f ca="1">IFERROR(__xludf.DUMMYFUNCTION("""COMPUTED_VALUE"""),45422.6041900347)</f>
        <v>45422.604190034697</v>
      </c>
      <c r="B236" s="1" t="str">
        <f ca="1">IFERROR(__xludf.DUMMYFUNCTION("""COMPUTED_VALUE"""),"spmittalmumbai@gmail.com")</f>
        <v>spmittalmumbai@gmail.com</v>
      </c>
      <c r="C236" s="1" t="str">
        <f ca="1">IFERROR(__xludf.DUMMYFUNCTION("""COMPUTED_VALUE"""),"S.P.Mittal")</f>
        <v>S.P.Mittal</v>
      </c>
      <c r="D236" s="1">
        <f ca="1">IFERROR(__xludf.DUMMYFUNCTION("""COMPUTED_VALUE"""),9860003407)</f>
        <v>9860003407</v>
      </c>
      <c r="E236" s="1" t="str">
        <f ca="1">IFERROR(__xludf.DUMMYFUNCTION("""COMPUTED_VALUE"""),"Yes")</f>
        <v>Yes</v>
      </c>
      <c r="F236" s="1" t="str">
        <f ca="1">IFERROR(__xludf.DUMMYFUNCTION("""COMPUTED_VALUE"""),"हिन्दी")</f>
        <v>हिन्दी</v>
      </c>
      <c r="G236" s="1" t="str">
        <f ca="1">IFERROR(__xludf.DUMMYFUNCTION("""COMPUTED_VALUE"""),"समग्र स्वास्थ्य")</f>
        <v>समग्र स्वास्थ्य</v>
      </c>
      <c r="H236" s="1"/>
      <c r="I236" s="1"/>
      <c r="J236" s="1"/>
      <c r="K236" s="1"/>
      <c r="L236" s="1"/>
      <c r="M236" s="1"/>
      <c r="N236" s="1"/>
      <c r="O236" s="1"/>
      <c r="P236" s="1"/>
      <c r="Q236" s="1"/>
      <c r="R236" s="1"/>
      <c r="S236" s="1"/>
      <c r="T236" s="1"/>
      <c r="U236" s="1" t="str">
        <f ca="1">IFERROR(__xludf.DUMMYFUNCTION("""COMPUTED_VALUE"""),"स्वास्थ्य संवर्धन")</f>
        <v>स्वास्थ्य संवर्धन</v>
      </c>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f ca="1">IFERROR(__xludf.DUMMYFUNCTION("""COMPUTED_VALUE"""),39)</f>
        <v>39</v>
      </c>
      <c r="BX236" s="1">
        <f ca="1">IFERROR(__xludf.DUMMYFUNCTION("""COMPUTED_VALUE"""),32)</f>
        <v>32</v>
      </c>
      <c r="BY236" s="1">
        <f ca="1">IFERROR(__xludf.DUMMYFUNCTION("""COMPUTED_VALUE"""),11)</f>
        <v>11</v>
      </c>
      <c r="BZ236" s="1">
        <f ca="1">IFERROR(__xludf.DUMMYFUNCTION("""COMPUTED_VALUE"""),23)</f>
        <v>23</v>
      </c>
      <c r="CA236" s="1"/>
      <c r="CB236" s="1"/>
      <c r="CC236" s="1" t="str">
        <f ca="1">IFERROR(__xludf.DUMMYFUNCTION("""COMPUTED_VALUE"""),"स्वास्थ्य संवर्धन की दिशा में दो महत्वपूर्ण कदम : Rare Book")</f>
        <v>स्वास्थ्य संवर्धन की दिशा में दो महत्वपूर्ण कदम : Rare Book</v>
      </c>
      <c r="CD236" s="3" t="str">
        <f ca="1">IFERROR(__xludf.DUMMYFUNCTION("""COMPUTED_VALUE"""),"https://vicharkrantibooks.org/productdetail?book_name=HINP0897_SWASTHY_SANVARDHAN_KI_DISHA_MEIN_DO_MAHATVAPURN_KADAM_xx1981&amp;product_id=1462")</f>
        <v>https://vicharkrantibooks.org/productdetail?book_name=HINP0897_SWASTHY_SANVARDHAN_KI_DISHA_MEIN_DO_MAHATVAPURN_KADAM_xx1981&amp;product_id=1462</v>
      </c>
      <c r="CE236" s="1" t="str">
        <f ca="1">IFERROR(__xludf.DUMMYFUNCTION("""COMPUTED_VALUE"""),"Audiobook : स्वास्थ्य संवर्धन की दिशा में दो महत्वपूर्ण कदम : Rare Book : spmittalmumbai@gmail.com : Recorded")</f>
        <v>Audiobook : स्वास्थ्य संवर्धन की दिशा में दो महत्वपूर्ण कदम : Rare Book : spmittalmumbai@gmail.com : Recorded</v>
      </c>
      <c r="CF236" s="1" t="str">
        <f ca="1">IFERROR(__xludf.DUMMYFUNCTION("""COMPUTED_VALUE"""),"Audiobook : स्वास्थ्य संवर्धन की दिशा में दो महत्वपूर्ण कदम : Rare Book : spmittalmumbai@gmail.com : Recorded")</f>
        <v>Audiobook : स्वास्थ्य संवर्धन की दिशा में दो महत्वपूर्ण कदम : Rare Book : spmittalmumbai@gmail.com : Recorded</v>
      </c>
      <c r="CG236" s="1" t="str">
        <f ca="1">IFERROR(__xludf.DUMMYFUNCTION("""COMPUTED_VALUE"""),"Adarniya S.P.Mittal ji स्वास्थ्य संवर्धन की दिशा में दो महत्वपूर्ण कदम : Rare Book : Allocated on 10-May-24 Contact Number  9860003407")</f>
        <v>Adarniya S.P.Mittal ji स्वास्थ्य संवर्धन की दिशा में दो महत्वपूर्ण कदम : Rare Book : Allocated on 10-May-24 Contact Number  9860003407</v>
      </c>
      <c r="CH236" s="1" t="str">
        <f ca="1">IFERROR(__xludf.DUMMYFUNCTION("""COMPUTED_VALUE"""),"spmittalmumbai@gmail.com : स्वास्थ्य संवर्धन की दिशा में दो महत्वपूर्ण कदम : Rare Book")</f>
        <v>spmittalmumbai@gmail.com : स्वास्थ्य संवर्धन की दिशा में दो महत्वपूर्ण कदम : Rare Book</v>
      </c>
      <c r="CI236" s="5">
        <f ca="1">IFERROR(__xludf.DUMMYFUNCTION("""COMPUTED_VALUE"""),45422.6041900347)</f>
        <v>45422.604190034697</v>
      </c>
    </row>
    <row r="237" spans="1:87" x14ac:dyDescent="0.25">
      <c r="A237" s="5">
        <f ca="1">IFERROR(__xludf.DUMMYFUNCTION("""COMPUTED_VALUE"""),45421.9555128703)</f>
        <v>45421.9555128703</v>
      </c>
      <c r="B237" s="1" t="str">
        <f ca="1">IFERROR(__xludf.DUMMYFUNCTION("""COMPUTED_VALUE"""),"pmukhi1967@gmail.com")</f>
        <v>pmukhi1967@gmail.com</v>
      </c>
      <c r="C237" s="1" t="str">
        <f ca="1">IFERROR(__xludf.DUMMYFUNCTION("""COMPUTED_VALUE"""),"Padmini Mukhi ")</f>
        <v xml:space="preserve">Padmini Mukhi </v>
      </c>
      <c r="D237" s="1" t="str">
        <f ca="1">IFERROR(__xludf.DUMMYFUNCTION("""COMPUTED_VALUE"""),"971 197 2245 ")</f>
        <v xml:space="preserve">971 197 2245 </v>
      </c>
      <c r="E237" s="1" t="str">
        <f ca="1">IFERROR(__xludf.DUMMYFUNCTION("""COMPUTED_VALUE"""),"Yes")</f>
        <v>Yes</v>
      </c>
      <c r="F237" s="1" t="str">
        <f ca="1">IFERROR(__xludf.DUMMYFUNCTION("""COMPUTED_VALUE"""),"ओड़िया")</f>
        <v>ओड़िया</v>
      </c>
      <c r="G237" s="1" t="str">
        <f ca="1">IFERROR(__xludf.DUMMYFUNCTION("""COMPUTED_VALUE"""),"अध्यात्म, धर्म एवं दर्शन")</f>
        <v>अध्यात्म, धर्म एवं दर्शन</v>
      </c>
      <c r="H237" s="1" t="str">
        <f ca="1">IFERROR(__xludf.DUMMYFUNCTION("""COMPUTED_VALUE"""),"अध्यात्म, धर्म एवं आस्तिकता")</f>
        <v>अध्यात्म, धर्म एवं आस्तिकता</v>
      </c>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f ca="1">IFERROR(__xludf.DUMMYFUNCTION("""COMPUTED_VALUE"""),4)</f>
        <v>4</v>
      </c>
      <c r="BX237" s="1">
        <f ca="1">IFERROR(__xludf.DUMMYFUNCTION("""COMPUTED_VALUE"""),2)</f>
        <v>2</v>
      </c>
      <c r="BY237" s="1">
        <f ca="1">IFERROR(__xludf.DUMMYFUNCTION("""COMPUTED_VALUE"""),2)</f>
        <v>2</v>
      </c>
      <c r="BZ237" s="1">
        <f ca="1">IFERROR(__xludf.DUMMYFUNCTION("""COMPUTED_VALUE"""),0)</f>
        <v>0</v>
      </c>
      <c r="CA237" s="1"/>
      <c r="CB237" s="1"/>
      <c r="CC237" s="1" t="str">
        <f ca="1">IFERROR(__xludf.DUMMYFUNCTION("""COMPUTED_VALUE"""),"Oriya Temp Book 1")</f>
        <v>Oriya Temp Book 1</v>
      </c>
      <c r="CD237" s="3" t="str">
        <f ca="1">IFERROR(__xludf.DUMMYFUNCTION("""COMPUTED_VALUE"""),"https://drive.google.com/file/d/1GOABqL4sQL3rZa4vUgkBGoKqy3ObgOZS/view?usp=drive_link")</f>
        <v>https://drive.google.com/file/d/1GOABqL4sQL3rZa4vUgkBGoKqy3ObgOZS/view?usp=drive_link</v>
      </c>
      <c r="CE237" s="1" t="str">
        <f ca="1">IFERROR(__xludf.DUMMYFUNCTION("""COMPUTED_VALUE"""),"Audiobook : Oriya Temp Book 1 : pmukhi1967@gmail.com : Recorded")</f>
        <v>Audiobook : Oriya Temp Book 1 : pmukhi1967@gmail.com : Recorded</v>
      </c>
      <c r="CF237" s="1" t="str">
        <f ca="1">IFERROR(__xludf.DUMMYFUNCTION("""COMPUTED_VALUE"""),"#N/A")</f>
        <v>#N/A</v>
      </c>
      <c r="CG237" s="1" t="str">
        <f ca="1">IFERROR(__xludf.DUMMYFUNCTION("""COMPUTED_VALUE"""),"Adarniya Padmini Mukhi  ji Oriya Temp Book 1 : Allocated on 09-May-24 Contact Number  971 197 2245 ")</f>
        <v xml:space="preserve">Adarniya Padmini Mukhi  ji Oriya Temp Book 1 : Allocated on 09-May-24 Contact Number  971 197 2245 </v>
      </c>
      <c r="CH237" s="1" t="str">
        <f ca="1">IFERROR(__xludf.DUMMYFUNCTION("""COMPUTED_VALUE"""),"pmukhi1967@gmail.com : Oriya Temp Book 1")</f>
        <v>pmukhi1967@gmail.com : Oriya Temp Book 1</v>
      </c>
      <c r="CI237" s="5">
        <f ca="1">IFERROR(__xludf.DUMMYFUNCTION("""COMPUTED_VALUE"""),45421.9555128703)</f>
        <v>45421.9555128703</v>
      </c>
    </row>
    <row r="238" spans="1:87" x14ac:dyDescent="0.25">
      <c r="A238" s="5">
        <f ca="1">IFERROR(__xludf.DUMMYFUNCTION("""COMPUTED_VALUE"""),45421.7922104398)</f>
        <v>45421.792210439802</v>
      </c>
      <c r="B238" s="1" t="str">
        <f ca="1">IFERROR(__xludf.DUMMYFUNCTION("""COMPUTED_VALUE"""),"rekhabhagat2511@gmail.com")</f>
        <v>rekhabhagat2511@gmail.com</v>
      </c>
      <c r="C238" s="1" t="str">
        <f ca="1">IFERROR(__xludf.DUMMYFUNCTION("""COMPUTED_VALUE"""),"Rekha Bhagat ")</f>
        <v xml:space="preserve">Rekha Bhagat </v>
      </c>
      <c r="D238" s="1">
        <f ca="1">IFERROR(__xludf.DUMMYFUNCTION("""COMPUTED_VALUE"""),9424811235)</f>
        <v>9424811235</v>
      </c>
      <c r="E238" s="1" t="str">
        <f ca="1">IFERROR(__xludf.DUMMYFUNCTION("""COMPUTED_VALUE"""),"Yes")</f>
        <v>Yes</v>
      </c>
      <c r="F238" s="1" t="str">
        <f ca="1">IFERROR(__xludf.DUMMYFUNCTION("""COMPUTED_VALUE"""),"हिन्दी")</f>
        <v>हिन्दी</v>
      </c>
      <c r="G238" s="1" t="str">
        <f ca="1">IFERROR(__xludf.DUMMYFUNCTION("""COMPUTED_VALUE"""),"युग द्रष्टा पं. श्रीराम शर्मा आचार्यजी")</f>
        <v>युग द्रष्टा पं. श्रीराम शर्मा आचार्यजी</v>
      </c>
      <c r="H238" s="1"/>
      <c r="I238" s="1"/>
      <c r="J238" s="1"/>
      <c r="K238" s="1"/>
      <c r="L238" s="1"/>
      <c r="M238" s="1"/>
      <c r="N238" s="1"/>
      <c r="O238" s="1"/>
      <c r="P238" s="1" t="str">
        <f ca="1">IFERROR(__xludf.DUMMYFUNCTION("""COMPUTED_VALUE"""),"युगॠषी का जीवनदर्शन")</f>
        <v>युगॠषी का जीवनदर्शन</v>
      </c>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f ca="1">IFERROR(__xludf.DUMMYFUNCTION("""COMPUTED_VALUE"""),19)</f>
        <v>19</v>
      </c>
      <c r="BX238" s="1">
        <f ca="1">IFERROR(__xludf.DUMMYFUNCTION("""COMPUTED_VALUE"""),11)</f>
        <v>11</v>
      </c>
      <c r="BY238" s="1">
        <f ca="1">IFERROR(__xludf.DUMMYFUNCTION("""COMPUTED_VALUE"""),8)</f>
        <v>8</v>
      </c>
      <c r="BZ238" s="1">
        <f ca="1">IFERROR(__xludf.DUMMYFUNCTION("""COMPUTED_VALUE"""),4)</f>
        <v>4</v>
      </c>
      <c r="CA238" s="1"/>
      <c r="CB238" s="1"/>
      <c r="CC238" s="1" t="str">
        <f ca="1">IFERROR(__xludf.DUMMYFUNCTION("""COMPUTED_VALUE"""),"वृक्षारोपण को देवाराधना जितना महत्व दें : Rare Book")</f>
        <v>वृक्षारोपण को देवाराधना जितना महत्व दें : Rare Book</v>
      </c>
      <c r="CD238" s="3" t="str">
        <f ca="1">IFERROR(__xludf.DUMMYFUNCTION("""COMPUTED_VALUE"""),"https://vicharkrantibooks.org/productdetail?book_name=HINP1005_VRUKSHAROPAN_KO_DEVARADHNA_JITANA_MAHATV_DEN_xx1982&amp;product_id=1570")</f>
        <v>https://vicharkrantibooks.org/productdetail?book_name=HINP1005_VRUKSHAROPAN_KO_DEVARADHNA_JITANA_MAHATV_DEN_xx1982&amp;product_id=1570</v>
      </c>
      <c r="CE238" s="1" t="str">
        <f ca="1">IFERROR(__xludf.DUMMYFUNCTION("""COMPUTED_VALUE"""),"Audiobook : वृक्षारोपण को देवाराधना जितना महत्व दें : Rare Book : rekhabhagat2511@gmail.com : Recorded")</f>
        <v>Audiobook : वृक्षारोपण को देवाराधना जितना महत्व दें : Rare Book : rekhabhagat2511@gmail.com : Recorded</v>
      </c>
      <c r="CF238" s="1" t="str">
        <f ca="1">IFERROR(__xludf.DUMMYFUNCTION("""COMPUTED_VALUE"""),"Audiobook : वृक्षारोपण को देवाराधना जितना महत्व दें : Rare Book : rekhabhagat2511@gmail.com : Recorded")</f>
        <v>Audiobook : वृक्षारोपण को देवाराधना जितना महत्व दें : Rare Book : rekhabhagat2511@gmail.com : Recorded</v>
      </c>
      <c r="CG238" s="1" t="str">
        <f ca="1">IFERROR(__xludf.DUMMYFUNCTION("""COMPUTED_VALUE"""),"Adarniya Rekha Bhagat  ji वृक्षारोपण को देवाराधना जितना महत्व दें : Rare Book : Allocated on 09-May-24 Contact Number  9424811235")</f>
        <v>Adarniya Rekha Bhagat  ji वृक्षारोपण को देवाराधना जितना महत्व दें : Rare Book : Allocated on 09-May-24 Contact Number  9424811235</v>
      </c>
      <c r="CH238" s="1" t="str">
        <f ca="1">IFERROR(__xludf.DUMMYFUNCTION("""COMPUTED_VALUE"""),"rekhabhagat2511@gmail.com : वृक्षारोपण को देवाराधना जितना महत्व दें : Rare Book")</f>
        <v>rekhabhagat2511@gmail.com : वृक्षारोपण को देवाराधना जितना महत्व दें : Rare Book</v>
      </c>
      <c r="CI238" s="5">
        <f ca="1">IFERROR(__xludf.DUMMYFUNCTION("""COMPUTED_VALUE"""),45421.7922104398)</f>
        <v>45421.792210439802</v>
      </c>
    </row>
    <row r="239" spans="1:87" x14ac:dyDescent="0.25">
      <c r="A239" s="5">
        <f ca="1">IFERROR(__xludf.DUMMYFUNCTION("""COMPUTED_VALUE"""),45421.7073679513)</f>
        <v>45421.707367951298</v>
      </c>
      <c r="B239" s="1" t="str">
        <f ca="1">IFERROR(__xludf.DUMMYFUNCTION("""COMPUTED_VALUE"""),"nksaxena.yoga@gmail.com")</f>
        <v>nksaxena.yoga@gmail.com</v>
      </c>
      <c r="C239" s="1" t="str">
        <f ca="1">IFERROR(__xludf.DUMMYFUNCTION("""COMPUTED_VALUE"""),"Narendra Kumar Saxena ")</f>
        <v xml:space="preserve">Narendra Kumar Saxena </v>
      </c>
      <c r="D239" s="1">
        <f ca="1">IFERROR(__xludf.DUMMYFUNCTION("""COMPUTED_VALUE"""),8826499)</f>
        <v>8826499</v>
      </c>
      <c r="E239" s="1" t="str">
        <f ca="1">IFERROR(__xludf.DUMMYFUNCTION("""COMPUTED_VALUE"""),"Yes")</f>
        <v>Yes</v>
      </c>
      <c r="F239" s="1" t="str">
        <f ca="1">IFERROR(__xludf.DUMMYFUNCTION("""COMPUTED_VALUE"""),"हिन्दी")</f>
        <v>हिन्दी</v>
      </c>
      <c r="G239" s="1" t="str">
        <f ca="1">IFERROR(__xludf.DUMMYFUNCTION("""COMPUTED_VALUE"""),"समग्र स्वास्थ्य")</f>
        <v>समग्र स्वास्थ्य</v>
      </c>
      <c r="H239" s="1"/>
      <c r="I239" s="1"/>
      <c r="J239" s="1"/>
      <c r="K239" s="1"/>
      <c r="L239" s="1"/>
      <c r="M239" s="1"/>
      <c r="N239" s="1"/>
      <c r="O239" s="1"/>
      <c r="P239" s="1"/>
      <c r="Q239" s="1"/>
      <c r="R239" s="1"/>
      <c r="S239" s="1"/>
      <c r="T239" s="1"/>
      <c r="U239" s="1" t="str">
        <f ca="1">IFERROR(__xludf.DUMMYFUNCTION("""COMPUTED_VALUE"""),"आहार-विहार एवं उपवास")</f>
        <v>आहार-विहार एवं उपवास</v>
      </c>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f ca="1">IFERROR(__xludf.DUMMYFUNCTION("""COMPUTED_VALUE"""),29)</f>
        <v>29</v>
      </c>
      <c r="BX239" s="1">
        <f ca="1">IFERROR(__xludf.DUMMYFUNCTION("""COMPUTED_VALUE"""),30)</f>
        <v>30</v>
      </c>
      <c r="BY239" s="1">
        <f ca="1">IFERROR(__xludf.DUMMYFUNCTION("""COMPUTED_VALUE"""),3)</f>
        <v>3</v>
      </c>
      <c r="BZ239" s="1">
        <f ca="1">IFERROR(__xludf.DUMMYFUNCTION("""COMPUTED_VALUE"""),25)</f>
        <v>25</v>
      </c>
      <c r="CA239" s="1"/>
      <c r="CB239" s="1"/>
      <c r="CC239" s="1" t="str">
        <f ca="1">IFERROR(__xludf.DUMMYFUNCTION("""COMPUTED_VALUE"""),"सतोगुणी आहार लिया जाए : Rare Book")</f>
        <v>सतोगुणी आहार लिया जाए : Rare Book</v>
      </c>
      <c r="CD239" s="3" t="str">
        <f ca="1">IFERROR(__xludf.DUMMYFUNCTION("""COMPUTED_VALUE"""),"https://vicharkrantibooks.org/productdetail?book_name=HINP0820_SATOGUNI_AHAR_LIYA_JAE_xxyyyy&amp;product_id=1385")</f>
        <v>https://vicharkrantibooks.org/productdetail?book_name=HINP0820_SATOGUNI_AHAR_LIYA_JAE_xxyyyy&amp;product_id=1385</v>
      </c>
      <c r="CE239" s="1" t="str">
        <f ca="1">IFERROR(__xludf.DUMMYFUNCTION("""COMPUTED_VALUE"""),"Audiobook : सतोगुणी आहार लिया जाए : Rare Book : nksaxena.yoga@gmail.com : Recorded")</f>
        <v>Audiobook : सतोगुणी आहार लिया जाए : Rare Book : nksaxena.yoga@gmail.com : Recorded</v>
      </c>
      <c r="CF239" s="1" t="str">
        <f ca="1">IFERROR(__xludf.DUMMYFUNCTION("""COMPUTED_VALUE"""),"Audiobook : सतोगुणी आहार लिया जाए : Rare Book : nksaxena.yoga@gmail.com : Recorded")</f>
        <v>Audiobook : सतोगुणी आहार लिया जाए : Rare Book : nksaxena.yoga@gmail.com : Recorded</v>
      </c>
      <c r="CG239" s="1" t="str">
        <f ca="1">IFERROR(__xludf.DUMMYFUNCTION("""COMPUTED_VALUE"""),"Adarniya Narendra Kumar Saxena  ji सतोगुणी आहार लिया जाए : Rare Book : Allocated on 09-May-24 Contact Number  8826499")</f>
        <v>Adarniya Narendra Kumar Saxena  ji सतोगुणी आहार लिया जाए : Rare Book : Allocated on 09-May-24 Contact Number  8826499</v>
      </c>
      <c r="CH239" s="1" t="str">
        <f ca="1">IFERROR(__xludf.DUMMYFUNCTION("""COMPUTED_VALUE"""),"nksaxena.yoga@gmail.com : सतोगुणी आहार लिया जाए : Rare Book")</f>
        <v>nksaxena.yoga@gmail.com : सतोगुणी आहार लिया जाए : Rare Book</v>
      </c>
      <c r="CI239" s="5">
        <f ca="1">IFERROR(__xludf.DUMMYFUNCTION("""COMPUTED_VALUE"""),45421.7073679513)</f>
        <v>45421.707367951298</v>
      </c>
    </row>
    <row r="240" spans="1:87" x14ac:dyDescent="0.25">
      <c r="A240" s="5">
        <f ca="1">IFERROR(__xludf.DUMMYFUNCTION("""COMPUTED_VALUE"""),45421.5562268981)</f>
        <v>45421.556226898101</v>
      </c>
      <c r="B240" s="1" t="str">
        <f ca="1">IFERROR(__xludf.DUMMYFUNCTION("""COMPUTED_VALUE"""),"rajnivarma24.vns@gmail.com")</f>
        <v>rajnivarma24.vns@gmail.com</v>
      </c>
      <c r="C240" s="1" t="str">
        <f ca="1">IFERROR(__xludf.DUMMYFUNCTION("""COMPUTED_VALUE"""),"Rajni varma")</f>
        <v>Rajni varma</v>
      </c>
      <c r="D240" s="1">
        <f ca="1">IFERROR(__xludf.DUMMYFUNCTION("""COMPUTED_VALUE"""),9335661433)</f>
        <v>9335661433</v>
      </c>
      <c r="E240" s="1" t="str">
        <f ca="1">IFERROR(__xludf.DUMMYFUNCTION("""COMPUTED_VALUE"""),"No")</f>
        <v>No</v>
      </c>
      <c r="F240" s="1" t="str">
        <f ca="1">IFERROR(__xludf.DUMMYFUNCTION("""COMPUTED_VALUE"""),"हिन्दी")</f>
        <v>हिन्दी</v>
      </c>
      <c r="G240" s="1" t="str">
        <f ca="1">IFERROR(__xludf.DUMMYFUNCTION("""COMPUTED_VALUE"""),"युग द्रष्टा पं. श्रीराम शर्मा आचार्यजी")</f>
        <v>युग द्रष्टा पं. श्रीराम शर्मा आचार्यजी</v>
      </c>
      <c r="H240" s="1"/>
      <c r="I240" s="1"/>
      <c r="J240" s="1"/>
      <c r="K240" s="1"/>
      <c r="L240" s="1"/>
      <c r="M240" s="1"/>
      <c r="N240" s="1"/>
      <c r="O240" s="1"/>
      <c r="P240" s="1" t="str">
        <f ca="1">IFERROR(__xludf.DUMMYFUNCTION("""COMPUTED_VALUE"""),"युगॠषी की अमृतवाणी")</f>
        <v>युगॠषी की अमृतवाणी</v>
      </c>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f ca="1">IFERROR(__xludf.DUMMYFUNCTION("""COMPUTED_VALUE"""),30)</f>
        <v>30</v>
      </c>
      <c r="BX240" s="1">
        <f ca="1">IFERROR(__xludf.DUMMYFUNCTION("""COMPUTED_VALUE"""),25)</f>
        <v>25</v>
      </c>
      <c r="BY240" s="1">
        <f ca="1">IFERROR(__xludf.DUMMYFUNCTION("""COMPUTED_VALUE"""),7)</f>
        <v>7</v>
      </c>
      <c r="BZ240" s="1">
        <f ca="1">IFERROR(__xludf.DUMMYFUNCTION("""COMPUTED_VALUE"""),7)</f>
        <v>7</v>
      </c>
      <c r="CA240" s="1"/>
      <c r="CB240" s="1"/>
      <c r="CC240" s="1" t="str">
        <f ca="1">IFERROR(__xludf.DUMMYFUNCTION("""COMPUTED_VALUE"""),"सम्पत्ति ही नहीं विभूतियाँ कमायें : Rare Book")</f>
        <v>सम्पत्ति ही नहीं विभूतियाँ कमायें : Rare Book</v>
      </c>
      <c r="CD240" s="3" t="str">
        <f ca="1">IFERROR(__xludf.DUMMYFUNCTION("""COMPUTED_VALUE"""),"https://vicharkrantibooks.org/productdetail?book_name=HINP0777_SAMPATTI_HI_NAHIN_VIBHUTIYAN_KAMAYEN_xx1979&amp;product_id=1342")</f>
        <v>https://vicharkrantibooks.org/productdetail?book_name=HINP0777_SAMPATTI_HI_NAHIN_VIBHUTIYAN_KAMAYEN_xx1979&amp;product_id=1342</v>
      </c>
      <c r="CE240" s="1" t="str">
        <f ca="1">IFERROR(__xludf.DUMMYFUNCTION("""COMPUTED_VALUE"""),"Audiobook : सम्पत्ति ही नहीं विभूतियाँ कमायें : Rare Book : rajnivarma24.vns@gmail.com : Recorded")</f>
        <v>Audiobook : सम्पत्ति ही नहीं विभूतियाँ कमायें : Rare Book : rajnivarma24.vns@gmail.com : Recorded</v>
      </c>
      <c r="CF240" s="1" t="str">
        <f ca="1">IFERROR(__xludf.DUMMYFUNCTION("""COMPUTED_VALUE"""),"Audiobook : सम्पत्ति ही नहीं विभूतियाँ कमायें : Rare Book : rajnivarma24.vns@gmail.com : Recorded")</f>
        <v>Audiobook : सम्पत्ति ही नहीं विभूतियाँ कमायें : Rare Book : rajnivarma24.vns@gmail.com : Recorded</v>
      </c>
      <c r="CG240" s="1" t="str">
        <f ca="1">IFERROR(__xludf.DUMMYFUNCTION("""COMPUTED_VALUE"""),"Adarniya Rajni varma ji सम्पत्ति ही नहीं विभूतियाँ कमायें : Rare Book : Allocated on 09-May-24 Contact Number  9335661433")</f>
        <v>Adarniya Rajni varma ji सम्पत्ति ही नहीं विभूतियाँ कमायें : Rare Book : Allocated on 09-May-24 Contact Number  9335661433</v>
      </c>
      <c r="CH240" s="1" t="str">
        <f ca="1">IFERROR(__xludf.DUMMYFUNCTION("""COMPUTED_VALUE"""),"rajnivarma24.vns@gmail.com : सम्पत्ति ही नहीं विभूतियाँ कमायें : Rare Book")</f>
        <v>rajnivarma24.vns@gmail.com : सम्पत्ति ही नहीं विभूतियाँ कमायें : Rare Book</v>
      </c>
      <c r="CI240" s="5">
        <f ca="1">IFERROR(__xludf.DUMMYFUNCTION("""COMPUTED_VALUE"""),45421.5562268981)</f>
        <v>45421.556226898101</v>
      </c>
    </row>
    <row r="241" spans="1:87" x14ac:dyDescent="0.25">
      <c r="A241" s="5">
        <f ca="1">IFERROR(__xludf.DUMMYFUNCTION("""COMPUTED_VALUE"""),45420.9614958449)</f>
        <v>45420.961495844902</v>
      </c>
      <c r="B241" s="1" t="str">
        <f ca="1">IFERROR(__xludf.DUMMYFUNCTION("""COMPUTED_VALUE"""),"dave.chhaya@gmail.com")</f>
        <v>dave.chhaya@gmail.com</v>
      </c>
      <c r="C241" s="1" t="str">
        <f ca="1">IFERROR(__xludf.DUMMYFUNCTION("""COMPUTED_VALUE"""),"Chhaya Deepak Dave ")</f>
        <v xml:space="preserve">Chhaya Deepak Dave </v>
      </c>
      <c r="D241" s="1">
        <f ca="1">IFERROR(__xludf.DUMMYFUNCTION("""COMPUTED_VALUE"""),9879596556)</f>
        <v>9879596556</v>
      </c>
      <c r="E241" s="1" t="str">
        <f ca="1">IFERROR(__xludf.DUMMYFUNCTION("""COMPUTED_VALUE"""),"Yes")</f>
        <v>Yes</v>
      </c>
      <c r="F241" s="1" t="str">
        <f ca="1">IFERROR(__xludf.DUMMYFUNCTION("""COMPUTED_VALUE"""),"गुजराती")</f>
        <v>गुजराती</v>
      </c>
      <c r="G241" s="1" t="str">
        <f ca="1">IFERROR(__xludf.DUMMYFUNCTION("""COMPUTED_VALUE"""),"युग द्रष्टा पं. श्रीराम शर्मा आचार्यजी")</f>
        <v>युग द्रष्टा पं. श्रीराम शर्मा आचार्यजी</v>
      </c>
      <c r="H241" s="1"/>
      <c r="I241" s="1"/>
      <c r="J241" s="1"/>
      <c r="K241" s="1"/>
      <c r="L241" s="1"/>
      <c r="M241" s="1"/>
      <c r="N241" s="1"/>
      <c r="O241" s="1"/>
      <c r="P241" s="1" t="str">
        <f ca="1">IFERROR(__xludf.DUMMYFUNCTION("""COMPUTED_VALUE"""),"युगॠषी की अमृतवाणी")</f>
        <v>युगॠषी की अमृतवाणी</v>
      </c>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f ca="1">IFERROR(__xludf.DUMMYFUNCTION("""COMPUTED_VALUE"""),46)</f>
        <v>46</v>
      </c>
      <c r="BX241" s="1">
        <f ca="1">IFERROR(__xludf.DUMMYFUNCTION("""COMPUTED_VALUE"""),39)</f>
        <v>39</v>
      </c>
      <c r="BY241" s="1">
        <f ca="1">IFERROR(__xludf.DUMMYFUNCTION("""COMPUTED_VALUE"""),6)</f>
        <v>6</v>
      </c>
      <c r="BZ241" s="1">
        <f ca="1">IFERROR(__xludf.DUMMYFUNCTION("""COMPUTED_VALUE"""),16)</f>
        <v>16</v>
      </c>
      <c r="CA241" s="1"/>
      <c r="CB241" s="1"/>
      <c r="CC241" s="1" t="str">
        <f ca="1">IFERROR(__xludf.DUMMYFUNCTION("""COMPUTED_VALUE"""),"આસ્તિકતાનો પ્રાણ છે શ્રદ્ધા : G_JS_48")</f>
        <v>આસ્તિકતાનો પ્રાણ છે શ્રદ્ધા : G_JS_48</v>
      </c>
      <c r="CD241" s="3" t="str">
        <f ca="1">IFERROR(__xludf.DUMMYFUNCTION("""COMPUTED_VALUE"""),"https://vicharkrantibooks.org/productdetail?product_id=3773")</f>
        <v>https://vicharkrantibooks.org/productdetail?product_id=3773</v>
      </c>
      <c r="CE241" s="1" t="str">
        <f ca="1">IFERROR(__xludf.DUMMYFUNCTION("""COMPUTED_VALUE"""),"Audiobook : આસ્તિકતાનો પ્રાણ છે શ્રદ્ધા : G_JS_48 : dave.chhaya@gmail.com : Recorded")</f>
        <v>Audiobook : આસ્તિકતાનો પ્રાણ છે શ્રદ્ધા : G_JS_48 : dave.chhaya@gmail.com : Recorded</v>
      </c>
      <c r="CF241" s="1" t="str">
        <f ca="1">IFERROR(__xludf.DUMMYFUNCTION("""COMPUTED_VALUE"""),"#N/A")</f>
        <v>#N/A</v>
      </c>
      <c r="CG241" s="1" t="str">
        <f ca="1">IFERROR(__xludf.DUMMYFUNCTION("""COMPUTED_VALUE"""),"Adarniya Chhaya Deepak Dave  ji આસ્તિકતાનો પ્રાણ છે શ્રદ્ધા : G_JS_48 : Allocated on 08-May-24 Contact Number  9879596556")</f>
        <v>Adarniya Chhaya Deepak Dave  ji આસ્તિકતાનો પ્રાણ છે શ્રદ્ધા : G_JS_48 : Allocated on 08-May-24 Contact Number  9879596556</v>
      </c>
      <c r="CH241" s="1" t="str">
        <f ca="1">IFERROR(__xludf.DUMMYFUNCTION("""COMPUTED_VALUE"""),"dave.chhaya@gmail.com : આસ્તિકતાનો પ્રાણ છે શ્રદ્ધા : G_JS_48")</f>
        <v>dave.chhaya@gmail.com : આસ્તિકતાનો પ્રાણ છે શ્રદ્ધા : G_JS_48</v>
      </c>
      <c r="CI241" s="5">
        <f ca="1">IFERROR(__xludf.DUMMYFUNCTION("""COMPUTED_VALUE"""),45420.9614958449)</f>
        <v>45420.961495844902</v>
      </c>
    </row>
    <row r="242" spans="1:87" x14ac:dyDescent="0.25">
      <c r="A242" s="5">
        <f ca="1">IFERROR(__xludf.DUMMYFUNCTION("""COMPUTED_VALUE"""),45420.9233942592)</f>
        <v>45420.923394259204</v>
      </c>
      <c r="B242" s="1" t="str">
        <f ca="1">IFERROR(__xludf.DUMMYFUNCTION("""COMPUTED_VALUE"""),"vandana15rastogi@gmail.com")</f>
        <v>vandana15rastogi@gmail.com</v>
      </c>
      <c r="C242" s="1" t="str">
        <f ca="1">IFERROR(__xludf.DUMMYFUNCTION("""COMPUTED_VALUE"""),"Vandana Rastogi")</f>
        <v>Vandana Rastogi</v>
      </c>
      <c r="D242" s="1">
        <f ca="1">IFERROR(__xludf.DUMMYFUNCTION("""COMPUTED_VALUE"""),9359528684)</f>
        <v>9359528684</v>
      </c>
      <c r="E242" s="1" t="str">
        <f ca="1">IFERROR(__xludf.DUMMYFUNCTION("""COMPUTED_VALUE"""),"Yes")</f>
        <v>Yes</v>
      </c>
      <c r="F242" s="1" t="str">
        <f ca="1">IFERROR(__xludf.DUMMYFUNCTION("""COMPUTED_VALUE"""),"हिन्दी")</f>
        <v>हिन्दी</v>
      </c>
      <c r="G242" s="1" t="str">
        <f ca="1">IFERROR(__xludf.DUMMYFUNCTION("""COMPUTED_VALUE"""),"अध्यात्म, धर्म एवं दर्शन")</f>
        <v>अध्यात्म, धर्म एवं दर्शन</v>
      </c>
      <c r="H242" s="1" t="str">
        <f ca="1">IFERROR(__xludf.DUMMYFUNCTION("""COMPUTED_VALUE"""),"अध्यात्म, धर्म एवं आस्तिकता")</f>
        <v>अध्यात्म, धर्म एवं आस्तिकता</v>
      </c>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f ca="1">IFERROR(__xludf.DUMMYFUNCTION("""COMPUTED_VALUE"""),33)</f>
        <v>33</v>
      </c>
      <c r="BX242" s="1">
        <f ca="1">IFERROR(__xludf.DUMMYFUNCTION("""COMPUTED_VALUE"""),19)</f>
        <v>19</v>
      </c>
      <c r="BY242" s="1">
        <f ca="1">IFERROR(__xludf.DUMMYFUNCTION("""COMPUTED_VALUE"""),17)</f>
        <v>17</v>
      </c>
      <c r="BZ242" s="1">
        <f ca="1">IFERROR(__xludf.DUMMYFUNCTION("""COMPUTED_VALUE"""),14)</f>
        <v>14</v>
      </c>
      <c r="CA242" s="1"/>
      <c r="CB242" s="1"/>
      <c r="CC242" s="1" t="str">
        <f ca="1">IFERROR(__xludf.DUMMYFUNCTION("""COMPUTED_VALUE"""),"धर्म और संप्रदाय अलग अलग है : Rare Book")</f>
        <v>धर्म और संप्रदाय अलग अलग है : Rare Book</v>
      </c>
      <c r="CD242" s="3" t="str">
        <f ca="1">IFERROR(__xludf.DUMMYFUNCTION("""COMPUTED_VALUE"""),"https://vicharkrantibooks.org/productdetail?book_name=HINP0230_DHARM_AUR_SAMPRADAY_ALAG_ALAG_HAIN_xxyyyy&amp;product_id=795")</f>
        <v>https://vicharkrantibooks.org/productdetail?book_name=HINP0230_DHARM_AUR_SAMPRADAY_ALAG_ALAG_HAIN_xxyyyy&amp;product_id=795</v>
      </c>
      <c r="CE242" s="1" t="str">
        <f ca="1">IFERROR(__xludf.DUMMYFUNCTION("""COMPUTED_VALUE"""),"Audiobook : धर्म और संप्रदाय अलग अलग है : Rare Book : vandana15rastogi@gmail.com : Recorded")</f>
        <v>Audiobook : धर्म और संप्रदाय अलग अलग है : Rare Book : vandana15rastogi@gmail.com : Recorded</v>
      </c>
      <c r="CF242" s="1" t="str">
        <f ca="1">IFERROR(__xludf.DUMMYFUNCTION("""COMPUTED_VALUE"""),"#N/A")</f>
        <v>#N/A</v>
      </c>
      <c r="CG242" s="1" t="str">
        <f ca="1">IFERROR(__xludf.DUMMYFUNCTION("""COMPUTED_VALUE"""),"Adarniya Vandana Rastogi ji धर्म और संप्रदाय अलग अलग है : Rare Book : Allocated on 08-May-24 Contact Number  9359528684")</f>
        <v>Adarniya Vandana Rastogi ji धर्म और संप्रदाय अलग अलग है : Rare Book : Allocated on 08-May-24 Contact Number  9359528684</v>
      </c>
      <c r="CH242" s="1" t="str">
        <f ca="1">IFERROR(__xludf.DUMMYFUNCTION("""COMPUTED_VALUE"""),"vandana15rastogi@gmail.com : धर्म और संप्रदाय अलग अलग है : Rare Book")</f>
        <v>vandana15rastogi@gmail.com : धर्म और संप्रदाय अलग अलग है : Rare Book</v>
      </c>
      <c r="CI242" s="5">
        <f ca="1">IFERROR(__xludf.DUMMYFUNCTION("""COMPUTED_VALUE"""),45420.9233942592)</f>
        <v>45420.923394259204</v>
      </c>
    </row>
    <row r="243" spans="1:87" x14ac:dyDescent="0.25">
      <c r="A243" s="5">
        <f ca="1">IFERROR(__xludf.DUMMYFUNCTION("""COMPUTED_VALUE"""),45420.8073272801)</f>
        <v>45420.807327280098</v>
      </c>
      <c r="B243" s="1" t="str">
        <f ca="1">IFERROR(__xludf.DUMMYFUNCTION("""COMPUTED_VALUE"""),"nksaxena.yoga@gmail.com")</f>
        <v>nksaxena.yoga@gmail.com</v>
      </c>
      <c r="C243" s="1" t="str">
        <f ca="1">IFERROR(__xludf.DUMMYFUNCTION("""COMPUTED_VALUE"""),"Narendra Kumar Saxena ")</f>
        <v xml:space="preserve">Narendra Kumar Saxena </v>
      </c>
      <c r="D243" s="1" t="str">
        <f ca="1">IFERROR(__xludf.DUMMYFUNCTION("""COMPUTED_VALUE"""),"08826499188")</f>
        <v>08826499188</v>
      </c>
      <c r="E243" s="1" t="str">
        <f ca="1">IFERROR(__xludf.DUMMYFUNCTION("""COMPUTED_VALUE"""),"Yes")</f>
        <v>Yes</v>
      </c>
      <c r="F243" s="1" t="str">
        <f ca="1">IFERROR(__xludf.DUMMYFUNCTION("""COMPUTED_VALUE"""),"हिन्दी")</f>
        <v>हिन्दी</v>
      </c>
      <c r="G243" s="1" t="str">
        <f ca="1">IFERROR(__xludf.DUMMYFUNCTION("""COMPUTED_VALUE"""),"समग्र स्वास्थ्य")</f>
        <v>समग्र स्वास्थ्य</v>
      </c>
      <c r="H243" s="1"/>
      <c r="I243" s="1"/>
      <c r="J243" s="1"/>
      <c r="K243" s="1"/>
      <c r="L243" s="1"/>
      <c r="M243" s="1"/>
      <c r="N243" s="1"/>
      <c r="O243" s="1"/>
      <c r="P243" s="1"/>
      <c r="Q243" s="1"/>
      <c r="R243" s="1"/>
      <c r="S243" s="1"/>
      <c r="T243" s="1"/>
      <c r="U243" s="1" t="str">
        <f ca="1">IFERROR(__xludf.DUMMYFUNCTION("""COMPUTED_VALUE"""),"स्वास्थ्य संवर्धन")</f>
        <v>स्वास्थ्य संवर्धन</v>
      </c>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f ca="1">IFERROR(__xludf.DUMMYFUNCTION("""COMPUTED_VALUE"""),29)</f>
        <v>29</v>
      </c>
      <c r="BX243" s="1">
        <f ca="1">IFERROR(__xludf.DUMMYFUNCTION("""COMPUTED_VALUE"""),30)</f>
        <v>30</v>
      </c>
      <c r="BY243" s="1">
        <f ca="1">IFERROR(__xludf.DUMMYFUNCTION("""COMPUTED_VALUE"""),3)</f>
        <v>3</v>
      </c>
      <c r="BZ243" s="1">
        <f ca="1">IFERROR(__xludf.DUMMYFUNCTION("""COMPUTED_VALUE"""),25)</f>
        <v>25</v>
      </c>
      <c r="CA243" s="1"/>
      <c r="CB243" s="1"/>
      <c r="CC243" s="1" t="str">
        <f ca="1">IFERROR(__xludf.DUMMYFUNCTION("""COMPUTED_VALUE"""),"स्वस्थ एवं दीर्घ जीवन की कुंजी आहार संयम : Rare Book")</f>
        <v>स्वस्थ एवं दीर्घ जीवन की कुंजी आहार संयम : Rare Book</v>
      </c>
      <c r="CD243" s="3" t="str">
        <f ca="1">IFERROR(__xludf.DUMMYFUNCTION("""COMPUTED_VALUE"""),"https://vicharkrantibooks.org/productdetail?book_name=HINP0893_SWASTH_EVAM_DIRGH_JIVAN_KI_KUNJI_AHAR_SANYAM_xx1982&amp;product_id=1458")</f>
        <v>https://vicharkrantibooks.org/productdetail?book_name=HINP0893_SWASTH_EVAM_DIRGH_JIVAN_KI_KUNJI_AHAR_SANYAM_xx1982&amp;product_id=1458</v>
      </c>
      <c r="CE243" s="1" t="str">
        <f ca="1">IFERROR(__xludf.DUMMYFUNCTION("""COMPUTED_VALUE"""),"Audiobook : स्वस्थ एवं दीर्घ जीवन की कुंजी आहार संयम : Rare Book : nksaxena.yoga@gmail.com : Recorded")</f>
        <v>Audiobook : स्वस्थ एवं दीर्घ जीवन की कुंजी आहार संयम : Rare Book : nksaxena.yoga@gmail.com : Recorded</v>
      </c>
      <c r="CF243" s="1" t="str">
        <f ca="1">IFERROR(__xludf.DUMMYFUNCTION("""COMPUTED_VALUE"""),"Audiobook : स्वस्थ एवं दीर्घ जीवन की कुंजी आहार संयम : Rare Book : nksaxena.yoga@gmail.com : Recorded")</f>
        <v>Audiobook : स्वस्थ एवं दीर्घ जीवन की कुंजी आहार संयम : Rare Book : nksaxena.yoga@gmail.com : Recorded</v>
      </c>
      <c r="CG243" s="1" t="str">
        <f ca="1">IFERROR(__xludf.DUMMYFUNCTION("""COMPUTED_VALUE"""),"Adarniya Narendra Kumar Saxena  ji स्वस्थ एवं दीर्घ जीवन की कुंजी आहार संयम : Rare Book : Allocated on 08-May-24 Contact Number  08826499188")</f>
        <v>Adarniya Narendra Kumar Saxena  ji स्वस्थ एवं दीर्घ जीवन की कुंजी आहार संयम : Rare Book : Allocated on 08-May-24 Contact Number  08826499188</v>
      </c>
      <c r="CH243" s="1" t="str">
        <f ca="1">IFERROR(__xludf.DUMMYFUNCTION("""COMPUTED_VALUE"""),"nksaxena.yoga@gmail.com : स्वस्थ एवं दीर्घ जीवन की कुंजी आहार संयम : Rare Book")</f>
        <v>nksaxena.yoga@gmail.com : स्वस्थ एवं दीर्घ जीवन की कुंजी आहार संयम : Rare Book</v>
      </c>
      <c r="CI243" s="5">
        <f ca="1">IFERROR(__xludf.DUMMYFUNCTION("""COMPUTED_VALUE"""),45420.8073272801)</f>
        <v>45420.807327280098</v>
      </c>
    </row>
    <row r="244" spans="1:87" x14ac:dyDescent="0.25">
      <c r="A244" s="5">
        <f ca="1">IFERROR(__xludf.DUMMYFUNCTION("""COMPUTED_VALUE"""),45420.5757398611)</f>
        <v>45420.575739861102</v>
      </c>
      <c r="B244" s="1" t="str">
        <f ca="1">IFERROR(__xludf.DUMMYFUNCTION("""COMPUTED_VALUE"""),"ritesh6.technical@gmail.com")</f>
        <v>ritesh6.technical@gmail.com</v>
      </c>
      <c r="C244" s="1" t="str">
        <f ca="1">IFERROR(__xludf.DUMMYFUNCTION("""COMPUTED_VALUE"""),"Ritesh Prasad Mohapatra ")</f>
        <v xml:space="preserve">Ritesh Prasad Mohapatra </v>
      </c>
      <c r="D244" s="1">
        <f ca="1">IFERROR(__xludf.DUMMYFUNCTION("""COMPUTED_VALUE"""),9040769505)</f>
        <v>9040769505</v>
      </c>
      <c r="E244" s="1" t="str">
        <f ca="1">IFERROR(__xludf.DUMMYFUNCTION("""COMPUTED_VALUE"""),"Yes")</f>
        <v>Yes</v>
      </c>
      <c r="F244" s="1" t="str">
        <f ca="1">IFERROR(__xludf.DUMMYFUNCTION("""COMPUTED_VALUE"""),"English")</f>
        <v>English</v>
      </c>
      <c r="G244" s="1" t="str">
        <f ca="1">IFERROR(__xludf.DUMMYFUNCTION("""COMPUTED_VALUE"""),"English")</f>
        <v>English</v>
      </c>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f ca="1">IFERROR(__xludf.DUMMYFUNCTION("""COMPUTED_VALUE"""),1)</f>
        <v>1</v>
      </c>
      <c r="BX244" s="1">
        <f ca="1">IFERROR(__xludf.DUMMYFUNCTION("""COMPUTED_VALUE"""),0)</f>
        <v>0</v>
      </c>
      <c r="BY244" s="1">
        <f ca="1">IFERROR(__xludf.DUMMYFUNCTION("""COMPUTED_VALUE"""),1)</f>
        <v>1</v>
      </c>
      <c r="BZ244" s="1">
        <f ca="1">IFERROR(__xludf.DUMMYFUNCTION("""COMPUTED_VALUE"""),0)</f>
        <v>0</v>
      </c>
      <c r="CA244" s="1"/>
      <c r="CB244" s="1"/>
      <c r="CC244" s="1" t="str">
        <f ca="1">IFERROR(__xludf.DUMMYFUNCTION("""COMPUTED_VALUE"""),"Honourable Income : EPB_142")</f>
        <v>Honourable Income : EPB_142</v>
      </c>
      <c r="CD244" s="3" t="str">
        <f ca="1">IFERROR(__xludf.DUMMYFUNCTION("""COMPUTED_VALUE"""),"https://vicharkrantibooks.org/productdetail?book_name=ENGB0217_HONOURABLE_INCOME_1st2013&amp;product_id=3527")</f>
        <v>https://vicharkrantibooks.org/productdetail?book_name=ENGB0217_HONOURABLE_INCOME_1st2013&amp;product_id=3527</v>
      </c>
      <c r="CE244" s="1" t="str">
        <f ca="1">IFERROR(__xludf.DUMMYFUNCTION("""COMPUTED_VALUE"""),"Audiobook : Honourable Income : EPB_142 : ritesh6.technical@gmail.com : Recorded")</f>
        <v>Audiobook : Honourable Income : EPB_142 : ritesh6.technical@gmail.com : Recorded</v>
      </c>
      <c r="CF244" s="1" t="str">
        <f ca="1">IFERROR(__xludf.DUMMYFUNCTION("""COMPUTED_VALUE"""),"#N/A")</f>
        <v>#N/A</v>
      </c>
      <c r="CG244" s="1" t="str">
        <f ca="1">IFERROR(__xludf.DUMMYFUNCTION("""COMPUTED_VALUE"""),"Adarniya Ritesh Prasad Mohapatra  ji Honourable Income : EPB_142 : Allocated on 08-May-24 Contact Number  9040769505")</f>
        <v>Adarniya Ritesh Prasad Mohapatra  ji Honourable Income : EPB_142 : Allocated on 08-May-24 Contact Number  9040769505</v>
      </c>
      <c r="CH244" s="1" t="str">
        <f ca="1">IFERROR(__xludf.DUMMYFUNCTION("""COMPUTED_VALUE"""),"ritesh6.technical@gmail.com : Honourable Income : EPB_142")</f>
        <v>ritesh6.technical@gmail.com : Honourable Income : EPB_142</v>
      </c>
      <c r="CI244" s="5">
        <f ca="1">IFERROR(__xludf.DUMMYFUNCTION("""COMPUTED_VALUE"""),45420.5757398611)</f>
        <v>45420.575739861102</v>
      </c>
    </row>
    <row r="245" spans="1:87" x14ac:dyDescent="0.25">
      <c r="A245" s="5">
        <f ca="1">IFERROR(__xludf.DUMMYFUNCTION("""COMPUTED_VALUE"""),45420.3928920486)</f>
        <v>45420.3928920486</v>
      </c>
      <c r="B245" s="1" t="str">
        <f ca="1">IFERROR(__xludf.DUMMYFUNCTION("""COMPUTED_VALUE"""),"druma4107@gmail.com")</f>
        <v>druma4107@gmail.com</v>
      </c>
      <c r="C245" s="1" t="str">
        <f ca="1">IFERROR(__xludf.DUMMYFUNCTION("""COMPUTED_VALUE"""),"Dr Uma Agrawal ")</f>
        <v xml:space="preserve">Dr Uma Agrawal </v>
      </c>
      <c r="D245" s="1">
        <f ca="1">IFERROR(__xludf.DUMMYFUNCTION("""COMPUTED_VALUE"""),9410861182)</f>
        <v>9410861182</v>
      </c>
      <c r="E245" s="1" t="str">
        <f ca="1">IFERROR(__xludf.DUMMYFUNCTION("""COMPUTED_VALUE"""),"Yes")</f>
        <v>Yes</v>
      </c>
      <c r="F245" s="1" t="str">
        <f ca="1">IFERROR(__xludf.DUMMYFUNCTION("""COMPUTED_VALUE"""),"हिन्दी")</f>
        <v>हिन्दी</v>
      </c>
      <c r="G245" s="1" t="str">
        <f ca="1">IFERROR(__xludf.DUMMYFUNCTION("""COMPUTED_VALUE"""),"भारतीय संस्कृति")</f>
        <v>भारतीय संस्कृति</v>
      </c>
      <c r="H245" s="1"/>
      <c r="I245" s="1"/>
      <c r="J245" s="1"/>
      <c r="K245" s="1"/>
      <c r="L245" s="1"/>
      <c r="M245" s="1"/>
      <c r="N245" s="1"/>
      <c r="O245" s="1" t="str">
        <f ca="1">IFERROR(__xludf.DUMMYFUNCTION("""COMPUTED_VALUE"""),"भारतीय संस्कृति")</f>
        <v>भारतीय संस्कृति</v>
      </c>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f ca="1">IFERROR(__xludf.DUMMYFUNCTION("""COMPUTED_VALUE"""),104)</f>
        <v>104</v>
      </c>
      <c r="BX245" s="1">
        <f ca="1">IFERROR(__xludf.DUMMYFUNCTION("""COMPUTED_VALUE"""),106)</f>
        <v>106</v>
      </c>
      <c r="BY245" s="1">
        <f ca="1">IFERROR(__xludf.DUMMYFUNCTION("""COMPUTED_VALUE"""),9)</f>
        <v>9</v>
      </c>
      <c r="BZ245" s="1">
        <f ca="1">IFERROR(__xludf.DUMMYFUNCTION("""COMPUTED_VALUE"""),43)</f>
        <v>43</v>
      </c>
      <c r="CA245" s="1"/>
      <c r="CB245" s="1"/>
      <c r="CC245" s="1" t="str">
        <f ca="1">IFERROR(__xludf.DUMMYFUNCTION("""COMPUTED_VALUE"""),"गायत्री यज्ञ का तत्वज्ञान एवं प्रेरणायें : Rare Book")</f>
        <v>गायत्री यज्ञ का तत्वज्ञान एवं प्रेरणायें : Rare Book</v>
      </c>
      <c r="CD245" s="3" t="str">
        <f ca="1">IFERROR(__xludf.DUMMYFUNCTION("""COMPUTED_VALUE"""),"https://vicharkrantibooks.org/productdetail?book_name=HINP0303_GAYATRI_YAGY_KA_TATVAGYAN_EVAM_PRERANAYEN_xx1982&amp;product_id=868")</f>
        <v>https://vicharkrantibooks.org/productdetail?book_name=HINP0303_GAYATRI_YAGY_KA_TATVAGYAN_EVAM_PRERANAYEN_xx1982&amp;product_id=868</v>
      </c>
      <c r="CE245" s="1" t="str">
        <f ca="1">IFERROR(__xludf.DUMMYFUNCTION("""COMPUTED_VALUE"""),"Audiobook : गायत्री यज्ञ का तत्वज्ञान एवं प्रेरणायें : Rare Book : druma4107@gmail.com : Recorded")</f>
        <v>Audiobook : गायत्री यज्ञ का तत्वज्ञान एवं प्रेरणायें : Rare Book : druma4107@gmail.com : Recorded</v>
      </c>
      <c r="CF245" s="1" t="str">
        <f ca="1">IFERROR(__xludf.DUMMYFUNCTION("""COMPUTED_VALUE"""),"Audiobook : गायत्री यज्ञ का तत्वज्ञान एवं प्रेरणायें : Rare Book : druma4107@gmail.com : Recorded")</f>
        <v>Audiobook : गायत्री यज्ञ का तत्वज्ञान एवं प्रेरणायें : Rare Book : druma4107@gmail.com : Recorded</v>
      </c>
      <c r="CG245" s="1" t="str">
        <f ca="1">IFERROR(__xludf.DUMMYFUNCTION("""COMPUTED_VALUE"""),"Adarniya Dr Uma Agrawal  ji गायत्री यज्ञ का तत्वज्ञान एवं प्रेरणायें : Rare Book : Allocated on 08-May-24 Contact Number  9410861182")</f>
        <v>Adarniya Dr Uma Agrawal  ji गायत्री यज्ञ का तत्वज्ञान एवं प्रेरणायें : Rare Book : Allocated on 08-May-24 Contact Number  9410861182</v>
      </c>
      <c r="CH245" s="1" t="str">
        <f ca="1">IFERROR(__xludf.DUMMYFUNCTION("""COMPUTED_VALUE"""),"druma4107@gmail.com : गायत्री यज्ञ का तत्वज्ञान एवं प्रेरणायें : Rare Book")</f>
        <v>druma4107@gmail.com : गायत्री यज्ञ का तत्वज्ञान एवं प्रेरणायें : Rare Book</v>
      </c>
      <c r="CI245" s="5">
        <f ca="1">IFERROR(__xludf.DUMMYFUNCTION("""COMPUTED_VALUE"""),45420.3928920486)</f>
        <v>45420.3928920486</v>
      </c>
    </row>
    <row r="246" spans="1:87" x14ac:dyDescent="0.25">
      <c r="A246" s="5">
        <f ca="1">IFERROR(__xludf.DUMMYFUNCTION("""COMPUTED_VALUE"""),45419.8439808217)</f>
        <v>45419.843980821701</v>
      </c>
      <c r="B246" s="1" t="str">
        <f ca="1">IFERROR(__xludf.DUMMYFUNCTION("""COMPUTED_VALUE"""),"nksaxena.yoga@gmail.com")</f>
        <v>nksaxena.yoga@gmail.com</v>
      </c>
      <c r="C246" s="1" t="str">
        <f ca="1">IFERROR(__xludf.DUMMYFUNCTION("""COMPUTED_VALUE"""),"Narendra Kumar Saxena ")</f>
        <v xml:space="preserve">Narendra Kumar Saxena </v>
      </c>
      <c r="D246" s="1">
        <f ca="1">IFERROR(__xludf.DUMMYFUNCTION("""COMPUTED_VALUE"""),8826499188)</f>
        <v>8826499188</v>
      </c>
      <c r="E246" s="1" t="str">
        <f ca="1">IFERROR(__xludf.DUMMYFUNCTION("""COMPUTED_VALUE"""),"Yes")</f>
        <v>Yes</v>
      </c>
      <c r="F246" s="1"/>
      <c r="G246" s="1" t="str">
        <f ca="1">IFERROR(__xludf.DUMMYFUNCTION("""COMPUTED_VALUE"""),"समग्र स्वास्थ्य")</f>
        <v>समग्र स्वास्थ्य</v>
      </c>
      <c r="H246" s="1"/>
      <c r="I246" s="1"/>
      <c r="J246" s="1"/>
      <c r="K246" s="1"/>
      <c r="L246" s="1"/>
      <c r="M246" s="1"/>
      <c r="N246" s="1"/>
      <c r="O246" s="1"/>
      <c r="P246" s="1"/>
      <c r="Q246" s="1"/>
      <c r="R246" s="1"/>
      <c r="S246" s="1"/>
      <c r="T246" s="1"/>
      <c r="U246" s="1" t="str">
        <f ca="1">IFERROR(__xludf.DUMMYFUNCTION("""COMPUTED_VALUE"""),"आहार-विहार एवं उपवास")</f>
        <v>आहार-विहार एवं उपवास</v>
      </c>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f ca="1">IFERROR(__xludf.DUMMYFUNCTION("""COMPUTED_VALUE"""),29)</f>
        <v>29</v>
      </c>
      <c r="BX246" s="1">
        <f ca="1">IFERROR(__xludf.DUMMYFUNCTION("""COMPUTED_VALUE"""),30)</f>
        <v>30</v>
      </c>
      <c r="BY246" s="1">
        <f ca="1">IFERROR(__xludf.DUMMYFUNCTION("""COMPUTED_VALUE"""),3)</f>
        <v>3</v>
      </c>
      <c r="BZ246" s="1">
        <f ca="1">IFERROR(__xludf.DUMMYFUNCTION("""COMPUTED_VALUE"""),25)</f>
        <v>25</v>
      </c>
      <c r="CA246" s="1"/>
      <c r="CB246" s="1"/>
      <c r="CC246" s="1" t="str">
        <f ca="1">IFERROR(__xludf.DUMMYFUNCTION("""COMPUTED_VALUE"""),"सर्वसुलभ पोषण आहार स्वास्थ्य का आधार : Rare Book")</f>
        <v>सर्वसुलभ पोषण आहार स्वास्थ्य का आधार : Rare Book</v>
      </c>
      <c r="CD246" s="3" t="str">
        <f ca="1">IFERROR(__xludf.DUMMYFUNCTION("""COMPUTED_VALUE"""),"https://vicharkrantibooks.org/productdetail?book_name=HINP0815_SARVASULABH_POSHAN_AHAR_SWASTHY_KA_ADHAR_xx1982&amp;product_id=1380")</f>
        <v>https://vicharkrantibooks.org/productdetail?book_name=HINP0815_SARVASULABH_POSHAN_AHAR_SWASTHY_KA_ADHAR_xx1982&amp;product_id=1380</v>
      </c>
      <c r="CE246" s="1" t="str">
        <f ca="1">IFERROR(__xludf.DUMMYFUNCTION("""COMPUTED_VALUE"""),"Audiobook : सर्वसुलभ पोषण आहार स्वास्थ्य का आधार : Rare Book : nksaxena.yoga@gmail.com : Recorded")</f>
        <v>Audiobook : सर्वसुलभ पोषण आहार स्वास्थ्य का आधार : Rare Book : nksaxena.yoga@gmail.com : Recorded</v>
      </c>
      <c r="CF246" s="1" t="str">
        <f ca="1">IFERROR(__xludf.DUMMYFUNCTION("""COMPUTED_VALUE"""),"Audiobook : सर्वसुलभ पोषण आहार स्वास्थ्य का आधार : Rare Book : nksaxena.yoga@gmail.com : Recorded")</f>
        <v>Audiobook : सर्वसुलभ पोषण आहार स्वास्थ्य का आधार : Rare Book : nksaxena.yoga@gmail.com : Recorded</v>
      </c>
      <c r="CG246" s="1" t="str">
        <f ca="1">IFERROR(__xludf.DUMMYFUNCTION("""COMPUTED_VALUE"""),"Adarniya Narendra Kumar Saxena  ji सर्वसुलभ पोषण आहार स्वास्थ्य का आधार : Rare Book : Allocated on 07-May-24 Contact Number  8826499188")</f>
        <v>Adarniya Narendra Kumar Saxena  ji सर्वसुलभ पोषण आहार स्वास्थ्य का आधार : Rare Book : Allocated on 07-May-24 Contact Number  8826499188</v>
      </c>
      <c r="CH246" s="1" t="str">
        <f ca="1">IFERROR(__xludf.DUMMYFUNCTION("""COMPUTED_VALUE"""),"nksaxena.yoga@gmail.com : सर्वसुलभ पोषण आहार स्वास्थ्य का आधार : Rare Book")</f>
        <v>nksaxena.yoga@gmail.com : सर्वसुलभ पोषण आहार स्वास्थ्य का आधार : Rare Book</v>
      </c>
      <c r="CI246" s="5">
        <f ca="1">IFERROR(__xludf.DUMMYFUNCTION("""COMPUTED_VALUE"""),45419.8439808217)</f>
        <v>45419.843980821701</v>
      </c>
    </row>
    <row r="247" spans="1:87" x14ac:dyDescent="0.25">
      <c r="A247" s="5">
        <f ca="1">IFERROR(__xludf.DUMMYFUNCTION("""COMPUTED_VALUE"""),45419.5582197453)</f>
        <v>45419.558219745297</v>
      </c>
      <c r="B247" s="1" t="str">
        <f ca="1">IFERROR(__xludf.DUMMYFUNCTION("""COMPUTED_VALUE"""),"mohantytapaswini40@gmail.com")</f>
        <v>mohantytapaswini40@gmail.com</v>
      </c>
      <c r="C247" s="1" t="str">
        <f ca="1">IFERROR(__xludf.DUMMYFUNCTION("""COMPUTED_VALUE"""),"Raseswari Tapaswini Mohanty ")</f>
        <v xml:space="preserve">Raseswari Tapaswini Mohanty </v>
      </c>
      <c r="D247" s="1">
        <f ca="1">IFERROR(__xludf.DUMMYFUNCTION("""COMPUTED_VALUE"""),8984338189)</f>
        <v>8984338189</v>
      </c>
      <c r="E247" s="1"/>
      <c r="F247" s="1" t="str">
        <f ca="1">IFERROR(__xludf.DUMMYFUNCTION("""COMPUTED_VALUE"""),"ओड़िया")</f>
        <v>ओड़िया</v>
      </c>
      <c r="G247" s="1" t="str">
        <f ca="1">IFERROR(__xludf.DUMMYFUNCTION("""COMPUTED_VALUE"""),"अध्यात्म, धर्म एवं दर्शन")</f>
        <v>अध्यात्म, धर्म एवं दर्शन</v>
      </c>
      <c r="H247" s="1" t="str">
        <f ca="1">IFERROR(__xludf.DUMMYFUNCTION("""COMPUTED_VALUE"""),"अध्यात्म, धर्म एवं आस्तिकता")</f>
        <v>अध्यात्म, धर्म एवं आस्तिकता</v>
      </c>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f ca="1">IFERROR(__xludf.DUMMYFUNCTION("""COMPUTED_VALUE"""),2)</f>
        <v>2</v>
      </c>
      <c r="BX247" s="1">
        <f ca="1">IFERROR(__xludf.DUMMYFUNCTION("""COMPUTED_VALUE"""),2)</f>
        <v>2</v>
      </c>
      <c r="BY247" s="1">
        <f ca="1">IFERROR(__xludf.DUMMYFUNCTION("""COMPUTED_VALUE"""),2)</f>
        <v>2</v>
      </c>
      <c r="BZ247" s="1">
        <f ca="1">IFERROR(__xludf.DUMMYFUNCTION("""COMPUTED_VALUE"""),0)</f>
        <v>0</v>
      </c>
      <c r="CA247" s="1"/>
      <c r="CB247" s="1"/>
      <c r="CC247" s="1" t="str">
        <f ca="1">IFERROR(__xludf.DUMMYFUNCTION("""COMPUTED_VALUE"""),"Oriya Temp Book 4")</f>
        <v>Oriya Temp Book 4</v>
      </c>
      <c r="CD247" s="3" t="str">
        <f ca="1">IFERROR(__xludf.DUMMYFUNCTION("""COMPUTED_VALUE"""),"https://drive.google.com/file/d/1NccXhcUsWMqR-yXJhzEih8BYrBfPiaUz/view?usp=sharing")</f>
        <v>https://drive.google.com/file/d/1NccXhcUsWMqR-yXJhzEih8BYrBfPiaUz/view?usp=sharing</v>
      </c>
      <c r="CE247" s="1" t="str">
        <f ca="1">IFERROR(__xludf.DUMMYFUNCTION("""COMPUTED_VALUE"""),"Audiobook : Oriya Temp Book 4 : mohantytapaswini40@gmail.com : Recorded")</f>
        <v>Audiobook : Oriya Temp Book 4 : mohantytapaswini40@gmail.com : Recorded</v>
      </c>
      <c r="CF247" s="1" t="str">
        <f ca="1">IFERROR(__xludf.DUMMYFUNCTION("""COMPUTED_VALUE"""),"#N/A")</f>
        <v>#N/A</v>
      </c>
      <c r="CG247" s="1" t="str">
        <f ca="1">IFERROR(__xludf.DUMMYFUNCTION("""COMPUTED_VALUE"""),"Adarniya Raseswari Tapaswini Mohanty  ji Oriya Temp Book 4 : Allocated on 07-May-24 Contact Number  8984338189")</f>
        <v>Adarniya Raseswari Tapaswini Mohanty  ji Oriya Temp Book 4 : Allocated on 07-May-24 Contact Number  8984338189</v>
      </c>
      <c r="CH247" s="1" t="str">
        <f ca="1">IFERROR(__xludf.DUMMYFUNCTION("""COMPUTED_VALUE"""),"mohantytapaswini40@gmail.com : Oriya Temp Book 4")</f>
        <v>mohantytapaswini40@gmail.com : Oriya Temp Book 4</v>
      </c>
      <c r="CI247" s="5">
        <f ca="1">IFERROR(__xludf.DUMMYFUNCTION("""COMPUTED_VALUE"""),45419.5582197453)</f>
        <v>45419.558219745297</v>
      </c>
    </row>
    <row r="248" spans="1:87" x14ac:dyDescent="0.25">
      <c r="A248" s="5">
        <f ca="1">IFERROR(__xludf.DUMMYFUNCTION("""COMPUTED_VALUE"""),45419.3600066898)</f>
        <v>45419.3600066898</v>
      </c>
      <c r="B248" s="1" t="str">
        <f ca="1">IFERROR(__xludf.DUMMYFUNCTION("""COMPUTED_VALUE"""),"kalagpatel1959@gmail.com")</f>
        <v>kalagpatel1959@gmail.com</v>
      </c>
      <c r="C248" s="1" t="str">
        <f ca="1">IFERROR(__xludf.DUMMYFUNCTION("""COMPUTED_VALUE"""),"Kala Patel ")</f>
        <v xml:space="preserve">Kala Patel </v>
      </c>
      <c r="D248" s="1">
        <f ca="1">IFERROR(__xludf.DUMMYFUNCTION("""COMPUTED_VALUE"""),9016250929)</f>
        <v>9016250929</v>
      </c>
      <c r="E248" s="1" t="str">
        <f ca="1">IFERROR(__xludf.DUMMYFUNCTION("""COMPUTED_VALUE"""),"Yes")</f>
        <v>Yes</v>
      </c>
      <c r="F248" s="1" t="str">
        <f ca="1">IFERROR(__xludf.DUMMYFUNCTION("""COMPUTED_VALUE"""),"गुजराती")</f>
        <v>गुजराती</v>
      </c>
      <c r="G248" s="1" t="str">
        <f ca="1">IFERROR(__xludf.DUMMYFUNCTION("""COMPUTED_VALUE"""),"भारतीय संस्कृति")</f>
        <v>भारतीय संस्कृति</v>
      </c>
      <c r="H248" s="1"/>
      <c r="I248" s="1"/>
      <c r="J248" s="1"/>
      <c r="K248" s="1"/>
      <c r="L248" s="1"/>
      <c r="M248" s="1"/>
      <c r="N248" s="1"/>
      <c r="O248" s="1" t="str">
        <f ca="1">IFERROR(__xludf.DUMMYFUNCTION("""COMPUTED_VALUE"""),"भारतीय संस्कृति")</f>
        <v>भारतीय संस्कृति</v>
      </c>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f ca="1">IFERROR(__xludf.DUMMYFUNCTION("""COMPUTED_VALUE"""),34)</f>
        <v>34</v>
      </c>
      <c r="BX248" s="1">
        <f ca="1">IFERROR(__xludf.DUMMYFUNCTION("""COMPUTED_VALUE"""),34)</f>
        <v>34</v>
      </c>
      <c r="BY248" s="1">
        <f ca="1">IFERROR(__xludf.DUMMYFUNCTION("""COMPUTED_VALUE"""),4)</f>
        <v>4</v>
      </c>
      <c r="BZ248" s="1">
        <f ca="1">IFERROR(__xludf.DUMMYFUNCTION("""COMPUTED_VALUE"""),11)</f>
        <v>11</v>
      </c>
      <c r="CA248" s="1"/>
      <c r="CB248" s="1"/>
      <c r="CC248" s="1" t="str">
        <f ca="1">IFERROR(__xludf.DUMMYFUNCTION("""COMPUTED_VALUE"""),"દેવસંસ્કૃતિ ત્યાગ અને બલિદાનની : G_JS_73")</f>
        <v>દેવસંસ્કૃતિ ત્યાગ અને બલિદાનની : G_JS_73</v>
      </c>
      <c r="CD248" s="1"/>
      <c r="CE248" s="1" t="str">
        <f ca="1">IFERROR(__xludf.DUMMYFUNCTION("""COMPUTED_VALUE"""),"Audiobook : દેવસંસ્કૃતિ ત્યાગ અને બલિદાનની : G_JS_73 : kalagpatel1959@gmail.com : Recorded")</f>
        <v>Audiobook : દેવસંસ્કૃતિ ત્યાગ અને બલિદાનની : G_JS_73 : kalagpatel1959@gmail.com : Recorded</v>
      </c>
      <c r="CF248" s="1" t="str">
        <f ca="1">IFERROR(__xludf.DUMMYFUNCTION("""COMPUTED_VALUE"""),"Audiobook : દેવસંસ્કૃતિ ત્યાગ અને બલિદાનની : G_JS_73 : kalagpatel1959@gmail.com : Recorded")</f>
        <v>Audiobook : દેવસંસ્કૃતિ ત્યાગ અને બલિદાનની : G_JS_73 : kalagpatel1959@gmail.com : Recorded</v>
      </c>
      <c r="CG248" s="1" t="str">
        <f ca="1">IFERROR(__xludf.DUMMYFUNCTION("""COMPUTED_VALUE"""),"Adarniya Kala Patel  ji દેવસંસ્કૃતિ ત્યાગ અને બલિદાનની : G_JS_73 : Allocated on 07-May-24 Contact Number  9016250929")</f>
        <v>Adarniya Kala Patel  ji દેવસંસ્કૃતિ ત્યાગ અને બલિદાનની : G_JS_73 : Allocated on 07-May-24 Contact Number  9016250929</v>
      </c>
      <c r="CH248" s="1" t="str">
        <f ca="1">IFERROR(__xludf.DUMMYFUNCTION("""COMPUTED_VALUE"""),"kalagpatel1959@gmail.com : દેવસંસ્કૃતિ ત્યાગ અને બલિદાનની : G_JS_73")</f>
        <v>kalagpatel1959@gmail.com : દેવસંસ્કૃતિ ત્યાગ અને બલિદાનની : G_JS_73</v>
      </c>
      <c r="CI248" s="5">
        <f ca="1">IFERROR(__xludf.DUMMYFUNCTION("""COMPUTED_VALUE"""),45419.3600066898)</f>
        <v>45419.3600066898</v>
      </c>
    </row>
    <row r="249" spans="1:87" x14ac:dyDescent="0.25">
      <c r="A249" s="5">
        <f ca="1">IFERROR(__xludf.DUMMYFUNCTION("""COMPUTED_VALUE"""),45418.5463649768)</f>
        <v>45418.546364976799</v>
      </c>
      <c r="B249" s="1" t="str">
        <f ca="1">IFERROR(__xludf.DUMMYFUNCTION("""COMPUTED_VALUE"""),"csprasad108@gmail.com")</f>
        <v>csprasad108@gmail.com</v>
      </c>
      <c r="C249" s="1" t="str">
        <f ca="1">IFERROR(__xludf.DUMMYFUNCTION("""COMPUTED_VALUE"""),"Kumkum prasad")</f>
        <v>Kumkum prasad</v>
      </c>
      <c r="D249" s="1">
        <f ca="1">IFERROR(__xludf.DUMMYFUNCTION("""COMPUTED_VALUE"""),7978055621)</f>
        <v>7978055621</v>
      </c>
      <c r="E249" s="1"/>
      <c r="F249" s="1" t="str">
        <f ca="1">IFERROR(__xludf.DUMMYFUNCTION("""COMPUTED_VALUE"""),"हिन्दी")</f>
        <v>हिन्दी</v>
      </c>
      <c r="G249" s="1" t="str">
        <f ca="1">IFERROR(__xludf.DUMMYFUNCTION("""COMPUTED_VALUE"""),"संस्कार, कर्मकाण्ड, पाठ, पूजा, गीत-संगीत")</f>
        <v>संस्कार, कर्मकाण्ड, पाठ, पूजा, गीत-संगीत</v>
      </c>
      <c r="H249" s="1"/>
      <c r="I249" s="1"/>
      <c r="J249" s="1"/>
      <c r="K249" s="1"/>
      <c r="L249" s="1"/>
      <c r="M249" s="1"/>
      <c r="N249" s="1"/>
      <c r="O249" s="1"/>
      <c r="P249" s="1"/>
      <c r="Q249" s="1"/>
      <c r="R249" s="1"/>
      <c r="S249" s="1"/>
      <c r="T249" s="1"/>
      <c r="U249" s="1"/>
      <c r="V249" s="1"/>
      <c r="W249" s="1" t="str">
        <f ca="1">IFERROR(__xludf.DUMMYFUNCTION("""COMPUTED_VALUE"""),"पाठ, पूजा, चालीसा, प्रार्थना,")</f>
        <v>पाठ, पूजा, चालीसा, प्रार्थना,</v>
      </c>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t="str">
        <f ca="1">IFERROR(__xludf.DUMMYFUNCTION("""COMPUTED_VALUE"""),"गुरूगीता पाठ विधि")</f>
        <v>गुरूगीता पाठ विधि</v>
      </c>
      <c r="BI249" s="1"/>
      <c r="BJ249" s="1"/>
      <c r="BK249" s="1"/>
      <c r="BL249" s="1"/>
      <c r="BM249" s="1"/>
      <c r="BN249" s="1"/>
      <c r="BO249" s="1"/>
      <c r="BP249" s="1"/>
      <c r="BQ249" s="1"/>
      <c r="BR249" s="1"/>
      <c r="BS249" s="1"/>
      <c r="BT249" s="1"/>
      <c r="BU249" s="1"/>
      <c r="BV249" s="1"/>
      <c r="BW249" s="1">
        <f ca="1">IFERROR(__xludf.DUMMYFUNCTION("""COMPUTED_VALUE"""),52)</f>
        <v>52</v>
      </c>
      <c r="BX249" s="1">
        <f ca="1">IFERROR(__xludf.DUMMYFUNCTION("""COMPUTED_VALUE"""),54)</f>
        <v>54</v>
      </c>
      <c r="BY249" s="1">
        <f ca="1">IFERROR(__xludf.DUMMYFUNCTION("""COMPUTED_VALUE"""),3)</f>
        <v>3</v>
      </c>
      <c r="BZ249" s="1">
        <f ca="1">IFERROR(__xludf.DUMMYFUNCTION("""COMPUTED_VALUE"""),24)</f>
        <v>24</v>
      </c>
      <c r="CA249" s="1"/>
      <c r="CB249" s="1"/>
      <c r="CC249" s="1" t="str">
        <f ca="1">IFERROR(__xludf.DUMMYFUNCTION("""COMPUTED_VALUE"""),"दीपयज्ञ मंत्रा: : Rare Book")</f>
        <v>दीपयज्ञ मंत्रा: : Rare Book</v>
      </c>
      <c r="CD249" s="3" t="str">
        <f ca="1">IFERROR(__xludf.DUMMYFUNCTION("""COMPUTED_VALUE"""),"https://vicharkrantibooks.org/productdetail?product_id=311")</f>
        <v>https://vicharkrantibooks.org/productdetail?product_id=311</v>
      </c>
      <c r="CE249" s="1" t="str">
        <f ca="1">IFERROR(__xludf.DUMMYFUNCTION("""COMPUTED_VALUE"""),"Audiobook : दीपयज्ञ मंत्रा: : Rare Book : csprasad108@gmail.com : Recorded")</f>
        <v>Audiobook : दीपयज्ञ मंत्रा: : Rare Book : csprasad108@gmail.com : Recorded</v>
      </c>
      <c r="CF249" s="1" t="str">
        <f ca="1">IFERROR(__xludf.DUMMYFUNCTION("""COMPUTED_VALUE"""),"#N/A")</f>
        <v>#N/A</v>
      </c>
      <c r="CG249" s="1" t="str">
        <f ca="1">IFERROR(__xludf.DUMMYFUNCTION("""COMPUTED_VALUE"""),"Adarniya Kumkum prasad ji दीपयज्ञ मंत्रा: : Rare Book : Allocated on 06-May-24 Contact Number  7978055621")</f>
        <v>Adarniya Kumkum prasad ji दीपयज्ञ मंत्रा: : Rare Book : Allocated on 06-May-24 Contact Number  7978055621</v>
      </c>
      <c r="CH249" s="1" t="str">
        <f ca="1">IFERROR(__xludf.DUMMYFUNCTION("""COMPUTED_VALUE"""),"csprasad108@gmail.com : दीपयज्ञ मंत्रा: : Rare Book")</f>
        <v>csprasad108@gmail.com : दीपयज्ञ मंत्रा: : Rare Book</v>
      </c>
      <c r="CI249" s="5">
        <f ca="1">IFERROR(__xludf.DUMMYFUNCTION("""COMPUTED_VALUE"""),45418.5463649768)</f>
        <v>45418.546364976799</v>
      </c>
    </row>
    <row r="250" spans="1:87" x14ac:dyDescent="0.25">
      <c r="A250" s="7">
        <f ca="1">IFERROR(__xludf.DUMMYFUNCTION("""COMPUTED_VALUE"""),45418)</f>
        <v>45418</v>
      </c>
      <c r="B250" s="1" t="str">
        <f ca="1">IFERROR(__xludf.DUMMYFUNCTION("""COMPUTED_VALUE"""),"jamunashukla17@gmail.com")</f>
        <v>jamunashukla17@gmail.com</v>
      </c>
      <c r="C250" s="1" t="str">
        <f ca="1">IFERROR(__xludf.DUMMYFUNCTION("""COMPUTED_VALUE"""),"J S Shukla ")</f>
        <v xml:space="preserve">J S Shukla </v>
      </c>
      <c r="D250" s="1">
        <f ca="1">IFERROR(__xludf.DUMMYFUNCTION("""COMPUTED_VALUE"""),8010712106)</f>
        <v>8010712106</v>
      </c>
      <c r="E250" s="1" t="str">
        <f ca="1">IFERROR(__xludf.DUMMYFUNCTION("""COMPUTED_VALUE"""),"Yes")</f>
        <v>Yes</v>
      </c>
      <c r="F250" s="1" t="str">
        <f ca="1">IFERROR(__xludf.DUMMYFUNCTION("""COMPUTED_VALUE"""),"हिन्दी")</f>
        <v>हिन्दी</v>
      </c>
      <c r="G250" s="1" t="str">
        <f ca="1">IFERROR(__xludf.DUMMYFUNCTION("""COMPUTED_VALUE"""),"अध्यात्म, धर्म एवं दर्शन")</f>
        <v>अध्यात्म, धर्म एवं दर्शन</v>
      </c>
      <c r="H250" s="1" t="str">
        <f ca="1">IFERROR(__xludf.DUMMYFUNCTION("""COMPUTED_VALUE"""),"अध्यात्म, धर्म एवं आस्तिकता")</f>
        <v>अध्यात्म, धर्म एवं आस्तिकता</v>
      </c>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f ca="1">IFERROR(__xludf.DUMMYFUNCTION("""COMPUTED_VALUE"""),53)</f>
        <v>53</v>
      </c>
      <c r="BX250" s="1">
        <f ca="1">IFERROR(__xludf.DUMMYFUNCTION("""COMPUTED_VALUE"""),53)</f>
        <v>53</v>
      </c>
      <c r="BY250" s="1">
        <f ca="1">IFERROR(__xludf.DUMMYFUNCTION("""COMPUTED_VALUE"""),9)</f>
        <v>9</v>
      </c>
      <c r="BZ250" s="1">
        <f ca="1">IFERROR(__xludf.DUMMYFUNCTION("""COMPUTED_VALUE"""),25)</f>
        <v>25</v>
      </c>
      <c r="CA250" s="1"/>
      <c r="CB250" s="1"/>
      <c r="CC250" s="1" t="str">
        <f ca="1">IFERROR(__xludf.DUMMYFUNCTION("""COMPUTED_VALUE"""),"दानशीलता में गरीबी बाधक नहीं : Rare Book")</f>
        <v>दानशीलता में गरीबी बाधक नहीं : Rare Book</v>
      </c>
      <c r="CD250" s="3" t="str">
        <f ca="1">IFERROR(__xludf.DUMMYFUNCTION("""COMPUTED_VALUE"""),"https://vicharkrantibooks.org/productdetail?book_name=HINP0204_DANASHILATA_MEIN_GARIBI_BADHAK_NAHI_xx1982&amp;product_id=769")</f>
        <v>https://vicharkrantibooks.org/productdetail?book_name=HINP0204_DANASHILATA_MEIN_GARIBI_BADHAK_NAHI_xx1982&amp;product_id=769</v>
      </c>
      <c r="CE250" s="1" t="str">
        <f ca="1">IFERROR(__xludf.DUMMYFUNCTION("""COMPUTED_VALUE"""),"Audiobook : दानशीलता में गरीबी बाधक नहीं : Rare Book : jamunashukla17@gmail.com : Recorded")</f>
        <v>Audiobook : दानशीलता में गरीबी बाधक नहीं : Rare Book : jamunashukla17@gmail.com : Recorded</v>
      </c>
      <c r="CF250" s="1" t="str">
        <f ca="1">IFERROR(__xludf.DUMMYFUNCTION("""COMPUTED_VALUE"""),"Audiobook : दानशीलता में गरीबी बाधक नहीं : Rare Book : jamunashukla17@gmail.com : Recorded")</f>
        <v>Audiobook : दानशीलता में गरीबी बाधक नहीं : Rare Book : jamunashukla17@gmail.com : Recorded</v>
      </c>
      <c r="CG250" s="1" t="str">
        <f ca="1">IFERROR(__xludf.DUMMYFUNCTION("""COMPUTED_VALUE"""),"Adarniya J S Shukla  ji दानशीलता में गरीबी बाधक नहीं : Rare Book : Allocated on 06-May-24 Contact Number  8010712106")</f>
        <v>Adarniya J S Shukla  ji दानशीलता में गरीबी बाधक नहीं : Rare Book : Allocated on 06-May-24 Contact Number  8010712106</v>
      </c>
      <c r="CH250" s="1" t="str">
        <f ca="1">IFERROR(__xludf.DUMMYFUNCTION("""COMPUTED_VALUE"""),"jamunashukla17@gmail.com : दानशीलता में गरीबी बाधक नहीं : Rare Book")</f>
        <v>jamunashukla17@gmail.com : दानशीलता में गरीबी बाधक नहीं : Rare Book</v>
      </c>
      <c r="CI250" s="7">
        <f ca="1">IFERROR(__xludf.DUMMYFUNCTION("""COMPUTED_VALUE"""),45418)</f>
        <v>45418</v>
      </c>
    </row>
    <row r="251" spans="1:87" x14ac:dyDescent="0.25">
      <c r="A251" s="5">
        <f ca="1">IFERROR(__xludf.DUMMYFUNCTION("""COMPUTED_VALUE"""),45417.8498139467)</f>
        <v>45417.849813946697</v>
      </c>
      <c r="B251" s="1" t="str">
        <f ca="1">IFERROR(__xludf.DUMMYFUNCTION("""COMPUTED_VALUE"""),"tushar.pandit7686@gmail.com")</f>
        <v>tushar.pandit7686@gmail.com</v>
      </c>
      <c r="C251" s="1" t="str">
        <f ca="1">IFERROR(__xludf.DUMMYFUNCTION("""COMPUTED_VALUE"""),"Hetal ")</f>
        <v xml:space="preserve">Hetal </v>
      </c>
      <c r="D251" s="1">
        <f ca="1">IFERROR(__xludf.DUMMYFUNCTION("""COMPUTED_VALUE"""),7874048920)</f>
        <v>7874048920</v>
      </c>
      <c r="E251" s="1" t="str">
        <f ca="1">IFERROR(__xludf.DUMMYFUNCTION("""COMPUTED_VALUE"""),"Yes")</f>
        <v>Yes</v>
      </c>
      <c r="F251" s="1" t="str">
        <f ca="1">IFERROR(__xludf.DUMMYFUNCTION("""COMPUTED_VALUE"""),"गुजराती")</f>
        <v>गुजराती</v>
      </c>
      <c r="G251" s="1" t="str">
        <f ca="1">IFERROR(__xludf.DUMMYFUNCTION("""COMPUTED_VALUE"""),"अध्यात्म, धर्म एवं दर्शन")</f>
        <v>अध्यात्म, धर्म एवं दर्शन</v>
      </c>
      <c r="H251" s="1" t="str">
        <f ca="1">IFERROR(__xludf.DUMMYFUNCTION("""COMPUTED_VALUE"""),"साधना")</f>
        <v>साधना</v>
      </c>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f ca="1">IFERROR(__xludf.DUMMYFUNCTION("""COMPUTED_VALUE"""),13)</f>
        <v>13</v>
      </c>
      <c r="BX251" s="1">
        <f ca="1">IFERROR(__xludf.DUMMYFUNCTION("""COMPUTED_VALUE"""),13)</f>
        <v>13</v>
      </c>
      <c r="BY251" s="1">
        <f ca="1">IFERROR(__xludf.DUMMYFUNCTION("""COMPUTED_VALUE"""),3)</f>
        <v>3</v>
      </c>
      <c r="BZ251" s="1">
        <f ca="1">IFERROR(__xludf.DUMMYFUNCTION("""COMPUTED_VALUE"""),0)</f>
        <v>0</v>
      </c>
      <c r="CA251" s="1"/>
      <c r="CB251" s="1"/>
      <c r="CC251" s="1" t="str">
        <f ca="1">IFERROR(__xludf.DUMMYFUNCTION("""COMPUTED_VALUE"""),"અધ્યાત્મને જીવંત બનાવો : G_JS_47")</f>
        <v>અધ્યાત્મને જીવંત બનાવો : G_JS_47</v>
      </c>
      <c r="CD251" s="3" t="str">
        <f ca="1">IFERROR(__xludf.DUMMYFUNCTION("""COMPUTED_VALUE"""),"https://vicharkrantibooks.org/productdetail?product_id=3772")</f>
        <v>https://vicharkrantibooks.org/productdetail?product_id=3772</v>
      </c>
      <c r="CE251" s="1" t="str">
        <f ca="1">IFERROR(__xludf.DUMMYFUNCTION("""COMPUTED_VALUE"""),"Audiobook : અધ્યાત્મને જીવંત બનાવો : G_JS_47 : tushar.pandit7686@gmail.com : Recorded")</f>
        <v>Audiobook : અધ્યાત્મને જીવંત બનાવો : G_JS_47 : tushar.pandit7686@gmail.com : Recorded</v>
      </c>
      <c r="CF251" s="1" t="str">
        <f ca="1">IFERROR(__xludf.DUMMYFUNCTION("""COMPUTED_VALUE"""),"#N/A")</f>
        <v>#N/A</v>
      </c>
      <c r="CG251" s="1" t="str">
        <f ca="1">IFERROR(__xludf.DUMMYFUNCTION("""COMPUTED_VALUE"""),"Adarniya Hetal  ji અધ્યાત્મને જીવંત બનાવો : G_JS_47 : Allocated on 05-May-24 Contact Number  7874048920")</f>
        <v>Adarniya Hetal  ji અધ્યાત્મને જીવંત બનાવો : G_JS_47 : Allocated on 05-May-24 Contact Number  7874048920</v>
      </c>
      <c r="CH251" s="1" t="str">
        <f ca="1">IFERROR(__xludf.DUMMYFUNCTION("""COMPUTED_VALUE"""),"tushar.pandit7686@gmail.com : અધ્યાત્મને જીવંત બનાવો : G_JS_47")</f>
        <v>tushar.pandit7686@gmail.com : અધ્યાત્મને જીવંત બનાવો : G_JS_47</v>
      </c>
      <c r="CI251" s="5">
        <f ca="1">IFERROR(__xludf.DUMMYFUNCTION("""COMPUTED_VALUE"""),45417.8498139467)</f>
        <v>45417.849813946697</v>
      </c>
    </row>
    <row r="252" spans="1:87" x14ac:dyDescent="0.25">
      <c r="A252" s="5">
        <f ca="1">IFERROR(__xludf.DUMMYFUNCTION("""COMPUTED_VALUE"""),45417.8189294907)</f>
        <v>45417.818929490699</v>
      </c>
      <c r="B252" s="1" t="str">
        <f ca="1">IFERROR(__xludf.DUMMYFUNCTION("""COMPUTED_VALUE"""),"nksaxena.yoga@gmail.com")</f>
        <v>nksaxena.yoga@gmail.com</v>
      </c>
      <c r="C252" s="1" t="str">
        <f ca="1">IFERROR(__xludf.DUMMYFUNCTION("""COMPUTED_VALUE"""),"Narendra Kumar Saxena ")</f>
        <v xml:space="preserve">Narendra Kumar Saxena </v>
      </c>
      <c r="D252" s="1" t="str">
        <f ca="1">IFERROR(__xludf.DUMMYFUNCTION("""COMPUTED_VALUE"""),"08826499188")</f>
        <v>08826499188</v>
      </c>
      <c r="E252" s="1" t="str">
        <f ca="1">IFERROR(__xludf.DUMMYFUNCTION("""COMPUTED_VALUE"""),"Yes")</f>
        <v>Yes</v>
      </c>
      <c r="F252" s="1" t="str">
        <f ca="1">IFERROR(__xludf.DUMMYFUNCTION("""COMPUTED_VALUE"""),"हिन्दी")</f>
        <v>हिन्दी</v>
      </c>
      <c r="G252" s="1" t="str">
        <f ca="1">IFERROR(__xludf.DUMMYFUNCTION("""COMPUTED_VALUE"""),"समग्र स्वास्थ्य")</f>
        <v>समग्र स्वास्थ्य</v>
      </c>
      <c r="H252" s="1"/>
      <c r="I252" s="1"/>
      <c r="J252" s="1"/>
      <c r="K252" s="1"/>
      <c r="L252" s="1"/>
      <c r="M252" s="1"/>
      <c r="N252" s="1"/>
      <c r="O252" s="1"/>
      <c r="P252" s="1"/>
      <c r="Q252" s="1"/>
      <c r="R252" s="1"/>
      <c r="S252" s="1"/>
      <c r="T252" s="1"/>
      <c r="U252" s="1" t="str">
        <f ca="1">IFERROR(__xludf.DUMMYFUNCTION("""COMPUTED_VALUE"""),"आहार-विहार एवं उपवास")</f>
        <v>आहार-विहार एवं उपवास</v>
      </c>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f ca="1">IFERROR(__xludf.DUMMYFUNCTION("""COMPUTED_VALUE"""),29)</f>
        <v>29</v>
      </c>
      <c r="BX252" s="1">
        <f ca="1">IFERROR(__xludf.DUMMYFUNCTION("""COMPUTED_VALUE"""),30)</f>
        <v>30</v>
      </c>
      <c r="BY252" s="1">
        <f ca="1">IFERROR(__xludf.DUMMYFUNCTION("""COMPUTED_VALUE"""),3)</f>
        <v>3</v>
      </c>
      <c r="BZ252" s="1">
        <f ca="1">IFERROR(__xludf.DUMMYFUNCTION("""COMPUTED_VALUE"""),25)</f>
        <v>25</v>
      </c>
      <c r="CA252" s="1"/>
      <c r="CB252" s="1"/>
      <c r="CC252" s="1" t="str">
        <f ca="1">IFERROR(__xludf.DUMMYFUNCTION("""COMPUTED_VALUE"""),"हमें मानसिक चिंताएँ क्यों घेरती हैं : Rare Book")</f>
        <v>हमें मानसिक चिंताएँ क्यों घेरती हैं : Rare Book</v>
      </c>
      <c r="CD252" s="3" t="str">
        <f ca="1">IFERROR(__xludf.DUMMYFUNCTION("""COMPUTED_VALUE"""),"https://vicharkrantibooks.org/productdetail?book_name=HINP0336_HAMEN_MANASIK_CHINTAEN_KYON_GHERATI_HAIN_xxyyyy&amp;product_id=901")</f>
        <v>https://vicharkrantibooks.org/productdetail?book_name=HINP0336_HAMEN_MANASIK_CHINTAEN_KYON_GHERATI_HAIN_xxyyyy&amp;product_id=901</v>
      </c>
      <c r="CE252" s="1" t="str">
        <f ca="1">IFERROR(__xludf.DUMMYFUNCTION("""COMPUTED_VALUE"""),"Audiobook : हमें मानसिक चिंताएँ क्यों घेरती हैं : Rare Book : nksaxena.yoga@gmail.com : Recorded")</f>
        <v>Audiobook : हमें मानसिक चिंताएँ क्यों घेरती हैं : Rare Book : nksaxena.yoga@gmail.com : Recorded</v>
      </c>
      <c r="CF252" s="1" t="str">
        <f ca="1">IFERROR(__xludf.DUMMYFUNCTION("""COMPUTED_VALUE"""),"Audiobook : हमें मानसिक चिंताएँ क्यों घेरती हैं : Rare Book : nksaxena.yoga@gmail.com : Recorded")</f>
        <v>Audiobook : हमें मानसिक चिंताएँ क्यों घेरती हैं : Rare Book : nksaxena.yoga@gmail.com : Recorded</v>
      </c>
      <c r="CG252" s="1" t="str">
        <f ca="1">IFERROR(__xludf.DUMMYFUNCTION("""COMPUTED_VALUE"""),"Adarniya Narendra Kumar Saxena  ji हमें मानसिक चिंताएँ क्यों घेरती हैं : Rare Book : Allocated on 05-May-24 Contact Number  08826499188")</f>
        <v>Adarniya Narendra Kumar Saxena  ji हमें मानसिक चिंताएँ क्यों घेरती हैं : Rare Book : Allocated on 05-May-24 Contact Number  08826499188</v>
      </c>
      <c r="CH252" s="1" t="str">
        <f ca="1">IFERROR(__xludf.DUMMYFUNCTION("""COMPUTED_VALUE"""),"nksaxena.yoga@gmail.com : हमें मानसिक चिंताएँ क्यों घेरती हैं : Rare Book")</f>
        <v>nksaxena.yoga@gmail.com : हमें मानसिक चिंताएँ क्यों घेरती हैं : Rare Book</v>
      </c>
      <c r="CI252" s="5">
        <f ca="1">IFERROR(__xludf.DUMMYFUNCTION("""COMPUTED_VALUE"""),45417.8189294907)</f>
        <v>45417.818929490699</v>
      </c>
    </row>
    <row r="253" spans="1:87" x14ac:dyDescent="0.25">
      <c r="A253" s="5">
        <f ca="1">IFERROR(__xludf.DUMMYFUNCTION("""COMPUTED_VALUE"""),45417.7443242361)</f>
        <v>45417.744324236097</v>
      </c>
      <c r="B253" s="1" t="str">
        <f ca="1">IFERROR(__xludf.DUMMYFUNCTION("""COMPUTED_VALUE"""),"divyabhatnagar73@gmail.com")</f>
        <v>divyabhatnagar73@gmail.com</v>
      </c>
      <c r="C253" s="1" t="str">
        <f ca="1">IFERROR(__xludf.DUMMYFUNCTION("""COMPUTED_VALUE"""),"Divya Bhatnagar")</f>
        <v>Divya Bhatnagar</v>
      </c>
      <c r="D253" s="1" t="str">
        <f ca="1">IFERROR(__xludf.DUMMYFUNCTION("""COMPUTED_VALUE"""),"09672806579")</f>
        <v>09672806579</v>
      </c>
      <c r="E253" s="1" t="str">
        <f ca="1">IFERROR(__xludf.DUMMYFUNCTION("""COMPUTED_VALUE"""),"Yes")</f>
        <v>Yes</v>
      </c>
      <c r="F253" s="1"/>
      <c r="G253" s="1" t="str">
        <f ca="1">IFERROR(__xludf.DUMMYFUNCTION("""COMPUTED_VALUE"""),"English")</f>
        <v>English</v>
      </c>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f ca="1">IFERROR(__xludf.DUMMYFUNCTION("""COMPUTED_VALUE"""),12)</f>
        <v>12</v>
      </c>
      <c r="BX253" s="1">
        <f ca="1">IFERROR(__xludf.DUMMYFUNCTION("""COMPUTED_VALUE"""),6)</f>
        <v>6</v>
      </c>
      <c r="BY253" s="1">
        <f ca="1">IFERROR(__xludf.DUMMYFUNCTION("""COMPUTED_VALUE"""),7)</f>
        <v>7</v>
      </c>
      <c r="BZ253" s="1">
        <f ca="1">IFERROR(__xludf.DUMMYFUNCTION("""COMPUTED_VALUE"""),1)</f>
        <v>1</v>
      </c>
      <c r="CA253" s="1"/>
      <c r="CB253" s="1"/>
      <c r="CC253" s="1" t="str">
        <f ca="1">IFERROR(__xludf.DUMMYFUNCTION("""COMPUTED_VALUE"""),"Firm Endeavour : EPB_148")</f>
        <v>Firm Endeavour : EPB_148</v>
      </c>
      <c r="CD253" s="3" t="str">
        <f ca="1">IFERROR(__xludf.DUMMYFUNCTION("""COMPUTED_VALUE"""),"https://vicharkrantibooks.org/productdetail?book_name=ENGB0216_FIRM_ENDEAVOUR_1st2013&amp;product_id=3533")</f>
        <v>https://vicharkrantibooks.org/productdetail?book_name=ENGB0216_FIRM_ENDEAVOUR_1st2013&amp;product_id=3533</v>
      </c>
      <c r="CE253" s="1" t="str">
        <f ca="1">IFERROR(__xludf.DUMMYFUNCTION("""COMPUTED_VALUE"""),"Audiobook : Firm Endeavour : EPB_148 : divyabhatnagar73@gmail.com : Recorded")</f>
        <v>Audiobook : Firm Endeavour : EPB_148 : divyabhatnagar73@gmail.com : Recorded</v>
      </c>
      <c r="CF253" s="1" t="str">
        <f ca="1">IFERROR(__xludf.DUMMYFUNCTION("""COMPUTED_VALUE"""),"Audiobook : Firm Endeavour : EPB_148 : divyabhatnagar73@gmail.com : Recorded")</f>
        <v>Audiobook : Firm Endeavour : EPB_148 : divyabhatnagar73@gmail.com : Recorded</v>
      </c>
      <c r="CG253" s="1" t="str">
        <f ca="1">IFERROR(__xludf.DUMMYFUNCTION("""COMPUTED_VALUE"""),"Adarniya Divya Bhatnagar ji Firm Endeavour : EPB_148 : Allocated on 05-May-24 Contact Number  09672806579")</f>
        <v>Adarniya Divya Bhatnagar ji Firm Endeavour : EPB_148 : Allocated on 05-May-24 Contact Number  09672806579</v>
      </c>
      <c r="CH253" s="1" t="str">
        <f ca="1">IFERROR(__xludf.DUMMYFUNCTION("""COMPUTED_VALUE"""),"divyabhatnagar73@gmail.com : Firm Endeavour : EPB_148")</f>
        <v>divyabhatnagar73@gmail.com : Firm Endeavour : EPB_148</v>
      </c>
      <c r="CI253" s="5">
        <f ca="1">IFERROR(__xludf.DUMMYFUNCTION("""COMPUTED_VALUE"""),45417.7443242361)</f>
        <v>45417.744324236097</v>
      </c>
    </row>
    <row r="254" spans="1:87" x14ac:dyDescent="0.25">
      <c r="A254" s="5">
        <f ca="1">IFERROR(__xludf.DUMMYFUNCTION("""COMPUTED_VALUE"""),45417.731520787)</f>
        <v>45417.731520786998</v>
      </c>
      <c r="B254" s="1" t="str">
        <f ca="1">IFERROR(__xludf.DUMMYFUNCTION("""COMPUTED_VALUE"""),"dave.chhaya@gmail.com")</f>
        <v>dave.chhaya@gmail.com</v>
      </c>
      <c r="C254" s="1" t="str">
        <f ca="1">IFERROR(__xludf.DUMMYFUNCTION("""COMPUTED_VALUE"""),"Chhaya Deepak Dave ")</f>
        <v xml:space="preserve">Chhaya Deepak Dave </v>
      </c>
      <c r="D254" s="1">
        <f ca="1">IFERROR(__xludf.DUMMYFUNCTION("""COMPUTED_VALUE"""),9879596556)</f>
        <v>9879596556</v>
      </c>
      <c r="E254" s="1" t="str">
        <f ca="1">IFERROR(__xludf.DUMMYFUNCTION("""COMPUTED_VALUE"""),"Yes")</f>
        <v>Yes</v>
      </c>
      <c r="F254" s="1" t="str">
        <f ca="1">IFERROR(__xludf.DUMMYFUNCTION("""COMPUTED_VALUE"""),"गुजराती")</f>
        <v>गुजराती</v>
      </c>
      <c r="G254" s="1" t="str">
        <f ca="1">IFERROR(__xludf.DUMMYFUNCTION("""COMPUTED_VALUE"""),"युग द्रष्टा पं. श्रीराम शर्मा आचार्यजी")</f>
        <v>युग द्रष्टा पं. श्रीराम शर्मा आचार्यजी</v>
      </c>
      <c r="H254" s="1"/>
      <c r="I254" s="1"/>
      <c r="J254" s="1"/>
      <c r="K254" s="1"/>
      <c r="L254" s="1"/>
      <c r="M254" s="1"/>
      <c r="N254" s="1"/>
      <c r="O254" s="1"/>
      <c r="P254" s="1" t="str">
        <f ca="1">IFERROR(__xludf.DUMMYFUNCTION("""COMPUTED_VALUE"""),"युगॠषी की अमृतवाणी")</f>
        <v>युगॠषी की अमृतवाणी</v>
      </c>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f ca="1">IFERROR(__xludf.DUMMYFUNCTION("""COMPUTED_VALUE"""),46)</f>
        <v>46</v>
      </c>
      <c r="BX254" s="1">
        <f ca="1">IFERROR(__xludf.DUMMYFUNCTION("""COMPUTED_VALUE"""),39)</f>
        <v>39</v>
      </c>
      <c r="BY254" s="1">
        <f ca="1">IFERROR(__xludf.DUMMYFUNCTION("""COMPUTED_VALUE"""),6)</f>
        <v>6</v>
      </c>
      <c r="BZ254" s="1">
        <f ca="1">IFERROR(__xludf.DUMMYFUNCTION("""COMPUTED_VALUE"""),16)</f>
        <v>16</v>
      </c>
      <c r="CA254" s="1"/>
      <c r="CB254" s="1"/>
      <c r="CC254" s="1" t="str">
        <f ca="1">IFERROR(__xludf.DUMMYFUNCTION("""COMPUTED_VALUE"""),"ગાયત્રી મહાવિદ્યાની ઉચ્ચ કક્ષાની સાધના : G_JS_70")</f>
        <v>ગાયત્રી મહાવિદ્યાની ઉચ્ચ કક્ષાની સાધના : G_JS_70</v>
      </c>
      <c r="CD254" s="3" t="str">
        <f ca="1">IFERROR(__xludf.DUMMYFUNCTION("""COMPUTED_VALUE"""),"https://vicharkrantibooks.org/productdetail?product_id=3795")</f>
        <v>https://vicharkrantibooks.org/productdetail?product_id=3795</v>
      </c>
      <c r="CE254" s="1" t="str">
        <f ca="1">IFERROR(__xludf.DUMMYFUNCTION("""COMPUTED_VALUE"""),"Audiobook : ગાયત્રી મહાવિદ્યાની ઉચ્ચ કક્ષાની સાધના : G_JS_70 : dave.chhaya@gmail.com : Recorded")</f>
        <v>Audiobook : ગાયત્રી મહાવિદ્યાની ઉચ્ચ કક્ષાની સાધના : G_JS_70 : dave.chhaya@gmail.com : Recorded</v>
      </c>
      <c r="CF254" s="1" t="str">
        <f ca="1">IFERROR(__xludf.DUMMYFUNCTION("""COMPUTED_VALUE"""),"Audiobook : ગાયત્રી મહાવિદ્યાની ઉચ્ચ કક્ષાની સાધના : G_JS_70 : dave.chhaya@gmail.com : Recorded")</f>
        <v>Audiobook : ગાયત્રી મહાવિદ્યાની ઉચ્ચ કક્ષાની સાધના : G_JS_70 : dave.chhaya@gmail.com : Recorded</v>
      </c>
      <c r="CG254" s="1" t="str">
        <f ca="1">IFERROR(__xludf.DUMMYFUNCTION("""COMPUTED_VALUE"""),"Adarniya Chhaya Deepak Dave  ji ગાયત્રી મહાવિદ્યાની ઉચ્ચ કક્ષાની સાધના : G_JS_70 : Allocated on 05-May-24 Contact Number  9879596556")</f>
        <v>Adarniya Chhaya Deepak Dave  ji ગાયત્રી મહાવિદ્યાની ઉચ્ચ કક્ષાની સાધના : G_JS_70 : Allocated on 05-May-24 Contact Number  9879596556</v>
      </c>
      <c r="CH254" s="1" t="str">
        <f ca="1">IFERROR(__xludf.DUMMYFUNCTION("""COMPUTED_VALUE"""),"dave.chhaya@gmail.com : ગાયત્રી મહાવિદ્યાની ઉચ્ચ કક્ષાની સાધના : G_JS_70")</f>
        <v>dave.chhaya@gmail.com : ગાયત્રી મહાવિદ્યાની ઉચ્ચ કક્ષાની સાધના : G_JS_70</v>
      </c>
      <c r="CI254" s="5">
        <f ca="1">IFERROR(__xludf.DUMMYFUNCTION("""COMPUTED_VALUE"""),45417.731520787)</f>
        <v>45417.731520786998</v>
      </c>
    </row>
    <row r="255" spans="1:87" x14ac:dyDescent="0.25">
      <c r="A255" s="5">
        <f ca="1">IFERROR(__xludf.DUMMYFUNCTION("""COMPUTED_VALUE"""),45417.3059894097)</f>
        <v>45417.305989409702</v>
      </c>
      <c r="B255" s="1" t="str">
        <f ca="1">IFERROR(__xludf.DUMMYFUNCTION("""COMPUTED_VALUE"""),"savita.dubey@gmail.com")</f>
        <v>savita.dubey@gmail.com</v>
      </c>
      <c r="C255" s="1" t="str">
        <f ca="1">IFERROR(__xludf.DUMMYFUNCTION("""COMPUTED_VALUE"""),"Savita Dubey")</f>
        <v>Savita Dubey</v>
      </c>
      <c r="D255" s="1">
        <f ca="1">IFERROR(__xludf.DUMMYFUNCTION("""COMPUTED_VALUE"""),4692640779)</f>
        <v>4692640779</v>
      </c>
      <c r="E255" s="1" t="str">
        <f ca="1">IFERROR(__xludf.DUMMYFUNCTION("""COMPUTED_VALUE"""),"Yes")</f>
        <v>Yes</v>
      </c>
      <c r="F255" s="1" t="str">
        <f ca="1">IFERROR(__xludf.DUMMYFUNCTION("""COMPUTED_VALUE"""),"हिन्दी")</f>
        <v>हिन्दी</v>
      </c>
      <c r="G255" s="1" t="str">
        <f ca="1">IFERROR(__xludf.DUMMYFUNCTION("""COMPUTED_VALUE"""),"भारतीय संस्कृति")</f>
        <v>भारतीय संस्कृति</v>
      </c>
      <c r="H255" s="1"/>
      <c r="I255" s="1"/>
      <c r="J255" s="1"/>
      <c r="K255" s="1"/>
      <c r="L255" s="1"/>
      <c r="M255" s="1"/>
      <c r="N255" s="1"/>
      <c r="O255" s="1" t="str">
        <f ca="1">IFERROR(__xludf.DUMMYFUNCTION("""COMPUTED_VALUE"""),"भारतीय संस्कृति")</f>
        <v>भारतीय संस्कृति</v>
      </c>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f ca="1">IFERROR(__xludf.DUMMYFUNCTION("""COMPUTED_VALUE"""),9)</f>
        <v>9</v>
      </c>
      <c r="BX255" s="1">
        <f ca="1">IFERROR(__xludf.DUMMYFUNCTION("""COMPUTED_VALUE"""),10)</f>
        <v>10</v>
      </c>
      <c r="BY255" s="1">
        <f ca="1">IFERROR(__xludf.DUMMYFUNCTION("""COMPUTED_VALUE"""),3)</f>
        <v>3</v>
      </c>
      <c r="BZ255" s="1">
        <f ca="1">IFERROR(__xludf.DUMMYFUNCTION("""COMPUTED_VALUE"""),9)</f>
        <v>9</v>
      </c>
      <c r="CA255" s="1"/>
      <c r="CB255" s="1"/>
      <c r="CC255" s="1" t="str">
        <f ca="1">IFERROR(__xludf.DUMMYFUNCTION("""COMPUTED_VALUE"""),"शिखा सूत्र एवं प्रतीकों का महत्व : Rare Book")</f>
        <v>शिखा सूत्र एवं प्रतीकों का महत्व : Rare Book</v>
      </c>
      <c r="CD255" s="3" t="str">
        <f ca="1">IFERROR(__xludf.DUMMYFUNCTION("""COMPUTED_VALUE"""),"https://vicharkrantibooks.org/productdetail?book_name=HINP0845_SHIKHA_SUTR_EVAM_PRATIKON_KA_MAHATV_xxyyyy&amp;product_id=1410")</f>
        <v>https://vicharkrantibooks.org/productdetail?book_name=HINP0845_SHIKHA_SUTR_EVAM_PRATIKON_KA_MAHATV_xxyyyy&amp;product_id=1410</v>
      </c>
      <c r="CE255" s="1" t="str">
        <f ca="1">IFERROR(__xludf.DUMMYFUNCTION("""COMPUTED_VALUE"""),"Audiobook : शिखा सूत्र एवं प्रतीकों का महत्व : Rare Book : savita.dubey@gmail.com : Recorded")</f>
        <v>Audiobook : शिखा सूत्र एवं प्रतीकों का महत्व : Rare Book : savita.dubey@gmail.com : Recorded</v>
      </c>
      <c r="CF255" s="1" t="str">
        <f ca="1">IFERROR(__xludf.DUMMYFUNCTION("""COMPUTED_VALUE"""),"#N/A")</f>
        <v>#N/A</v>
      </c>
      <c r="CG255" s="1" t="str">
        <f ca="1">IFERROR(__xludf.DUMMYFUNCTION("""COMPUTED_VALUE"""),"Adarniya Savita Dubey ji शिखा सूत्र एवं प्रतीकों का महत्व : Rare Book : Allocated on 05-May-24 Contact Number  4692640779")</f>
        <v>Adarniya Savita Dubey ji शिखा सूत्र एवं प्रतीकों का महत्व : Rare Book : Allocated on 05-May-24 Contact Number  4692640779</v>
      </c>
      <c r="CH255" s="1" t="str">
        <f ca="1">IFERROR(__xludf.DUMMYFUNCTION("""COMPUTED_VALUE"""),"savita.dubey@gmail.com : शिखा सूत्र एवं प्रतीकों का महत्व : Rare Book")</f>
        <v>savita.dubey@gmail.com : शिखा सूत्र एवं प्रतीकों का महत्व : Rare Book</v>
      </c>
      <c r="CI255" s="5">
        <f ca="1">IFERROR(__xludf.DUMMYFUNCTION("""COMPUTED_VALUE"""),45417.3059894097)</f>
        <v>45417.305989409702</v>
      </c>
    </row>
    <row r="256" spans="1:87" x14ac:dyDescent="0.25">
      <c r="A256" s="5">
        <f ca="1">IFERROR(__xludf.DUMMYFUNCTION("""COMPUTED_VALUE"""),45417.0220893055)</f>
        <v>45417.022089305501</v>
      </c>
      <c r="B256" s="1" t="str">
        <f ca="1">IFERROR(__xludf.DUMMYFUNCTION("""COMPUTED_VALUE"""),"sanjayneha1@yahoo.com")</f>
        <v>sanjayneha1@yahoo.com</v>
      </c>
      <c r="C256" s="1" t="str">
        <f ca="1">IFERROR(__xludf.DUMMYFUNCTION("""COMPUTED_VALUE"""),"Neha Manocha")</f>
        <v>Neha Manocha</v>
      </c>
      <c r="D256" s="1">
        <f ca="1">IFERROR(__xludf.DUMMYFUNCTION("""COMPUTED_VALUE"""),16174130446)</f>
        <v>16174130446</v>
      </c>
      <c r="E256" s="1" t="str">
        <f ca="1">IFERROR(__xludf.DUMMYFUNCTION("""COMPUTED_VALUE"""),"Yes")</f>
        <v>Yes</v>
      </c>
      <c r="F256" s="1" t="str">
        <f ca="1">IFERROR(__xludf.DUMMYFUNCTION("""COMPUTED_VALUE"""),"हिन्दी or English")</f>
        <v>हिन्दी or English</v>
      </c>
      <c r="G256" s="1" t="str">
        <f ca="1">IFERROR(__xludf.DUMMYFUNCTION("""COMPUTED_VALUE"""),"जीवन प्रबंध")</f>
        <v>जीवन प्रबंध</v>
      </c>
      <c r="H256" s="1"/>
      <c r="I256" s="1"/>
      <c r="J256" s="1"/>
      <c r="K256" s="1"/>
      <c r="L256" s="1" t="str">
        <f ca="1">IFERROR(__xludf.DUMMYFUNCTION("""COMPUTED_VALUE"""),"मानव जीवन की गरिमा")</f>
        <v>मानव जीवन की गरिमा</v>
      </c>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f ca="1">IFERROR(__xludf.DUMMYFUNCTION("""COMPUTED_VALUE"""),33)</f>
        <v>33</v>
      </c>
      <c r="BX256" s="1">
        <f ca="1">IFERROR(__xludf.DUMMYFUNCTION("""COMPUTED_VALUE"""),40)</f>
        <v>40</v>
      </c>
      <c r="BY256" s="1">
        <f ca="1">IFERROR(__xludf.DUMMYFUNCTION("""COMPUTED_VALUE"""),3)</f>
        <v>3</v>
      </c>
      <c r="BZ256" s="1">
        <f ca="1">IFERROR(__xludf.DUMMYFUNCTION("""COMPUTED_VALUE"""),22)</f>
        <v>22</v>
      </c>
      <c r="CA256" s="1"/>
      <c r="CB256" s="1"/>
      <c r="CC256" s="1" t="str">
        <f ca="1">IFERROR(__xludf.DUMMYFUNCTION("""COMPUTED_VALUE"""),"वृक्षारोपण और संवर्धन एक अति आवश्यक कार्य : Rare Book")</f>
        <v>वृक्षारोपण और संवर्धन एक अति आवश्यक कार्य : Rare Book</v>
      </c>
      <c r="CD256" s="3" t="str">
        <f ca="1">IFERROR(__xludf.DUMMYFUNCTION("""COMPUTED_VALUE"""),"https://vicharkrantibooks.org/productdetail?book_name=HINP1004_VRUKSHAROPAN_AUR_SANVARDHAN_EK_ATI_AVASHYAK_KARY_xxyyyy&amp;product_id=1569")</f>
        <v>https://vicharkrantibooks.org/productdetail?book_name=HINP1004_VRUKSHAROPAN_AUR_SANVARDHAN_EK_ATI_AVASHYAK_KARY_xxyyyy&amp;product_id=1569</v>
      </c>
      <c r="CE256" s="1" t="str">
        <f ca="1">IFERROR(__xludf.DUMMYFUNCTION("""COMPUTED_VALUE"""),"Audiobook : वृक्षारोपण और संवर्धन एक अति आवश्यक कार्य : Rare Book : sanjayneha1@yahoo.com : Recorded")</f>
        <v>Audiobook : वृक्षारोपण और संवर्धन एक अति आवश्यक कार्य : Rare Book : sanjayneha1@yahoo.com : Recorded</v>
      </c>
      <c r="CF256" s="1" t="str">
        <f ca="1">IFERROR(__xludf.DUMMYFUNCTION("""COMPUTED_VALUE"""),"Audiobook : वृक्षारोपण और संवर्धन एक अति आवश्यक कार्य : Rare Book : sanjayneha1@yahoo.com : Recorded")</f>
        <v>Audiobook : वृक्षारोपण और संवर्धन एक अति आवश्यक कार्य : Rare Book : sanjayneha1@yahoo.com : Recorded</v>
      </c>
      <c r="CG256" s="1" t="str">
        <f ca="1">IFERROR(__xludf.DUMMYFUNCTION("""COMPUTED_VALUE"""),"Adarniya Neha Manocha ji वृक्षारोपण और संवर्धन एक अति आवश्यक कार्य : Rare Book : Allocated on 05-May-24 Contact Number  16174130446")</f>
        <v>Adarniya Neha Manocha ji वृक्षारोपण और संवर्धन एक अति आवश्यक कार्य : Rare Book : Allocated on 05-May-24 Contact Number  16174130446</v>
      </c>
      <c r="CH256" s="1" t="str">
        <f ca="1">IFERROR(__xludf.DUMMYFUNCTION("""COMPUTED_VALUE"""),"sanjayneha1@yahoo.com : वृक्षारोपण और संवर्धन एक अति आवश्यक कार्य : Rare Book")</f>
        <v>sanjayneha1@yahoo.com : वृक्षारोपण और संवर्धन एक अति आवश्यक कार्य : Rare Book</v>
      </c>
      <c r="CI256" s="5">
        <f ca="1">IFERROR(__xludf.DUMMYFUNCTION("""COMPUTED_VALUE"""),45417.0220893055)</f>
        <v>45417.022089305501</v>
      </c>
    </row>
    <row r="257" spans="1:87" x14ac:dyDescent="0.25">
      <c r="A257" s="5">
        <f ca="1">IFERROR(__xludf.DUMMYFUNCTION("""COMPUTED_VALUE"""),45416.8340725925)</f>
        <v>45416.834072592501</v>
      </c>
      <c r="B257" s="1" t="str">
        <f ca="1">IFERROR(__xludf.DUMMYFUNCTION("""COMPUTED_VALUE"""),"kalagpatel1959@gmail.com")</f>
        <v>kalagpatel1959@gmail.com</v>
      </c>
      <c r="C257" s="1" t="str">
        <f ca="1">IFERROR(__xludf.DUMMYFUNCTION("""COMPUTED_VALUE"""),"Kala Patel ")</f>
        <v xml:space="preserve">Kala Patel </v>
      </c>
      <c r="D257" s="1">
        <f ca="1">IFERROR(__xludf.DUMMYFUNCTION("""COMPUTED_VALUE"""),9016250929)</f>
        <v>9016250929</v>
      </c>
      <c r="E257" s="1" t="str">
        <f ca="1">IFERROR(__xludf.DUMMYFUNCTION("""COMPUTED_VALUE"""),"Yes")</f>
        <v>Yes</v>
      </c>
      <c r="F257" s="1" t="str">
        <f ca="1">IFERROR(__xludf.DUMMYFUNCTION("""COMPUTED_VALUE"""),"गुजराती")</f>
        <v>गुजराती</v>
      </c>
      <c r="G257" s="1" t="str">
        <f ca="1">IFERROR(__xludf.DUMMYFUNCTION("""COMPUTED_VALUE"""),"युग परिवर्तन-विचार क्रांति")</f>
        <v>युग परिवर्तन-विचार क्रांति</v>
      </c>
      <c r="H257" s="1"/>
      <c r="I257" s="1"/>
      <c r="J257" s="1"/>
      <c r="K257" s="1"/>
      <c r="L257" s="1"/>
      <c r="M257" s="1"/>
      <c r="N257" s="1"/>
      <c r="O257" s="1"/>
      <c r="P257" s="1"/>
      <c r="Q257" s="1" t="str">
        <f ca="1">IFERROR(__xludf.DUMMYFUNCTION("""COMPUTED_VALUE"""),"विचार क्रांति")</f>
        <v>विचार क्रांति</v>
      </c>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f ca="1">IFERROR(__xludf.DUMMYFUNCTION("""COMPUTED_VALUE"""),34)</f>
        <v>34</v>
      </c>
      <c r="BX257" s="1">
        <f ca="1">IFERROR(__xludf.DUMMYFUNCTION("""COMPUTED_VALUE"""),34)</f>
        <v>34</v>
      </c>
      <c r="BY257" s="1">
        <f ca="1">IFERROR(__xludf.DUMMYFUNCTION("""COMPUTED_VALUE"""),4)</f>
        <v>4</v>
      </c>
      <c r="BZ257" s="1">
        <f ca="1">IFERROR(__xludf.DUMMYFUNCTION("""COMPUTED_VALUE"""),11)</f>
        <v>11</v>
      </c>
      <c r="CA257" s="1"/>
      <c r="CB257" s="1"/>
      <c r="CC257" s="1" t="str">
        <f ca="1">IFERROR(__xludf.DUMMYFUNCTION("""COMPUTED_VALUE"""),"દેશનો નેતા કેવો હોય ? : G_PP_13")</f>
        <v>દેશનો નેતા કેવો હોય ? : G_PP_13</v>
      </c>
      <c r="CD257" s="3" t="str">
        <f ca="1">IFERROR(__xludf.DUMMYFUNCTION("""COMPUTED_VALUE"""),"https://vicharkrantibooks.org/productdetail?product_id=3918")</f>
        <v>https://vicharkrantibooks.org/productdetail?product_id=3918</v>
      </c>
      <c r="CE257" s="1" t="str">
        <f ca="1">IFERROR(__xludf.DUMMYFUNCTION("""COMPUTED_VALUE"""),"Audiobook : દેશનો નેતા કેવો હોય ? : G_PP_13 : kalagpatel1959@gmail.com : Recorded")</f>
        <v>Audiobook : દેશનો નેતા કેવો હોય ? : G_PP_13 : kalagpatel1959@gmail.com : Recorded</v>
      </c>
      <c r="CF257" s="1" t="str">
        <f ca="1">IFERROR(__xludf.DUMMYFUNCTION("""COMPUTED_VALUE"""),"Audiobook : દેશનો નેતા કેવો હોય ? : G_PP_13 : kalagpatel1959@gmail.com : Recorded")</f>
        <v>Audiobook : દેશનો નેતા કેવો હોય ? : G_PP_13 : kalagpatel1959@gmail.com : Recorded</v>
      </c>
      <c r="CG257" s="1" t="str">
        <f ca="1">IFERROR(__xludf.DUMMYFUNCTION("""COMPUTED_VALUE"""),"Adarniya Kala Patel  ji દેશનો નેતા કેવો હોય ? : G_PP_13 : Allocated on 04-May-24 Contact Number  9016250929")</f>
        <v>Adarniya Kala Patel  ji દેશનો નેતા કેવો હોય ? : G_PP_13 : Allocated on 04-May-24 Contact Number  9016250929</v>
      </c>
      <c r="CH257" s="1" t="str">
        <f ca="1">IFERROR(__xludf.DUMMYFUNCTION("""COMPUTED_VALUE"""),"kalagpatel1959@gmail.com : દેશનો નેતા કેવો હોય ? : G_PP_13")</f>
        <v>kalagpatel1959@gmail.com : દેશનો નેતા કેવો હોય ? : G_PP_13</v>
      </c>
      <c r="CI257" s="5">
        <f ca="1">IFERROR(__xludf.DUMMYFUNCTION("""COMPUTED_VALUE"""),45416.8340725925)</f>
        <v>45416.834072592501</v>
      </c>
    </row>
    <row r="258" spans="1:87" x14ac:dyDescent="0.25">
      <c r="A258" s="5">
        <f ca="1">IFERROR(__xludf.DUMMYFUNCTION("""COMPUTED_VALUE"""),45416.694214375)</f>
        <v>45416.694214374998</v>
      </c>
      <c r="B258" s="1" t="str">
        <f ca="1">IFERROR(__xludf.DUMMYFUNCTION("""COMPUTED_VALUE"""),"anuradha.udgata9@gmail.com")</f>
        <v>anuradha.udgata9@gmail.com</v>
      </c>
      <c r="C258" s="1" t="str">
        <f ca="1">IFERROR(__xludf.DUMMYFUNCTION("""COMPUTED_VALUE"""),"Anuradha Tripathy")</f>
        <v>Anuradha Tripathy</v>
      </c>
      <c r="D258" s="1">
        <f ca="1">IFERROR(__xludf.DUMMYFUNCTION("""COMPUTED_VALUE"""),7008286507)</f>
        <v>7008286507</v>
      </c>
      <c r="E258" s="1" t="str">
        <f ca="1">IFERROR(__xludf.DUMMYFUNCTION("""COMPUTED_VALUE"""),"Not Relevant")</f>
        <v>Not Relevant</v>
      </c>
      <c r="F258" s="1" t="str">
        <f ca="1">IFERROR(__xludf.DUMMYFUNCTION("""COMPUTED_VALUE"""),"ओड़िया")</f>
        <v>ओड़िया</v>
      </c>
      <c r="G258" s="1" t="str">
        <f ca="1">IFERROR(__xludf.DUMMYFUNCTION("""COMPUTED_VALUE"""),"गायत्री परिवार")</f>
        <v>गायत्री परिवार</v>
      </c>
      <c r="H258" s="1"/>
      <c r="I258" s="1"/>
      <c r="J258" s="1" t="str">
        <f ca="1">IFERROR(__xludf.DUMMYFUNCTION("""COMPUTED_VALUE"""),"सृजन शिल्पियों की योजनाबद्ध कार्य पद्धति")</f>
        <v>सृजन शिल्पियों की योजनाबद्ध कार्य पद्धति</v>
      </c>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f ca="1">IFERROR(__xludf.DUMMYFUNCTION("""COMPUTED_VALUE"""),2)</f>
        <v>2</v>
      </c>
      <c r="BX258" s="1">
        <f ca="1">IFERROR(__xludf.DUMMYFUNCTION("""COMPUTED_VALUE"""),0)</f>
        <v>0</v>
      </c>
      <c r="BY258" s="1">
        <f ca="1">IFERROR(__xludf.DUMMYFUNCTION("""COMPUTED_VALUE"""),2)</f>
        <v>2</v>
      </c>
      <c r="BZ258" s="1">
        <f ca="1">IFERROR(__xludf.DUMMYFUNCTION("""COMPUTED_VALUE"""),0)</f>
        <v>0</v>
      </c>
      <c r="CA258" s="1"/>
      <c r="CB258" s="1"/>
      <c r="CC258" s="1" t="str">
        <f ca="1">IFERROR(__xludf.DUMMYFUNCTION("""COMPUTED_VALUE"""),"Oriya Temp Book 5")</f>
        <v>Oriya Temp Book 5</v>
      </c>
      <c r="CD258" s="3" t="str">
        <f ca="1">IFERROR(__xludf.DUMMYFUNCTION("""COMPUTED_VALUE"""),"https://drive.google.com/file/d/1WUeRb3ax7B3IUEP0kBfBXJ87-BT8H0Wv/view?usp=sharing")</f>
        <v>https://drive.google.com/file/d/1WUeRb3ax7B3IUEP0kBfBXJ87-BT8H0Wv/view?usp=sharing</v>
      </c>
      <c r="CE258" s="1" t="str">
        <f ca="1">IFERROR(__xludf.DUMMYFUNCTION("""COMPUTED_VALUE"""),"Audiobook : Oriya Temp Book 5 : anuradha.udgata9@gmail.com : Recorded")</f>
        <v>Audiobook : Oriya Temp Book 5 : anuradha.udgata9@gmail.com : Recorded</v>
      </c>
      <c r="CF258" s="1" t="str">
        <f ca="1">IFERROR(__xludf.DUMMYFUNCTION("""COMPUTED_VALUE"""),"#N/A")</f>
        <v>#N/A</v>
      </c>
      <c r="CG258" s="1" t="str">
        <f ca="1">IFERROR(__xludf.DUMMYFUNCTION("""COMPUTED_VALUE"""),"Adarniya Anuradha Tripathy ji Oriya Temp Book 5 : Allocated on 04-May-24 Contact Number  7008286507")</f>
        <v>Adarniya Anuradha Tripathy ji Oriya Temp Book 5 : Allocated on 04-May-24 Contact Number  7008286507</v>
      </c>
      <c r="CH258" s="1" t="str">
        <f ca="1">IFERROR(__xludf.DUMMYFUNCTION("""COMPUTED_VALUE"""),"anuradha.udgata9@gmail.com : Oriya Temp Book 5")</f>
        <v>anuradha.udgata9@gmail.com : Oriya Temp Book 5</v>
      </c>
      <c r="CI258" s="5">
        <f ca="1">IFERROR(__xludf.DUMMYFUNCTION("""COMPUTED_VALUE"""),45416.694214375)</f>
        <v>45416.694214374998</v>
      </c>
    </row>
    <row r="259" spans="1:87" x14ac:dyDescent="0.25">
      <c r="A259" s="5">
        <f ca="1">IFERROR(__xludf.DUMMYFUNCTION("""COMPUTED_VALUE"""),45415.7374148263)</f>
        <v>45415.737414826297</v>
      </c>
      <c r="B259" s="1" t="str">
        <f ca="1">IFERROR(__xludf.DUMMYFUNCTION("""COMPUTED_VALUE"""),"binisai1972@gmail.com")</f>
        <v>binisai1972@gmail.com</v>
      </c>
      <c r="C259" s="1" t="str">
        <f ca="1">IFERROR(__xludf.DUMMYFUNCTION("""COMPUTED_VALUE"""),"BINODINI ROUT ")</f>
        <v xml:space="preserve">BINODINI ROUT </v>
      </c>
      <c r="D259" s="1">
        <f ca="1">IFERROR(__xludf.DUMMYFUNCTION("""COMPUTED_VALUE"""),9853947438)</f>
        <v>9853947438</v>
      </c>
      <c r="E259" s="1" t="str">
        <f ca="1">IFERROR(__xludf.DUMMYFUNCTION("""COMPUTED_VALUE"""),"No")</f>
        <v>No</v>
      </c>
      <c r="F259" s="1" t="str">
        <f ca="1">IFERROR(__xludf.DUMMYFUNCTION("""COMPUTED_VALUE"""),"ओड़िया")</f>
        <v>ओड़िया</v>
      </c>
      <c r="G259" s="1" t="str">
        <f ca="1">IFERROR(__xludf.DUMMYFUNCTION("""COMPUTED_VALUE"""),"संस्कार, कर्मकाण्ड, पाठ, पूजा, गीत-संगीत")</f>
        <v>संस्कार, कर्मकाण्ड, पाठ, पूजा, गीत-संगीत</v>
      </c>
      <c r="H259" s="1"/>
      <c r="I259" s="1"/>
      <c r="J259" s="1"/>
      <c r="K259" s="1"/>
      <c r="L259" s="1"/>
      <c r="M259" s="1"/>
      <c r="N259" s="1"/>
      <c r="O259" s="1"/>
      <c r="P259" s="1"/>
      <c r="Q259" s="1"/>
      <c r="R259" s="1"/>
      <c r="S259" s="1"/>
      <c r="T259" s="1"/>
      <c r="U259" s="1"/>
      <c r="V259" s="1"/>
      <c r="W259" s="1" t="str">
        <f ca="1">IFERROR(__xludf.DUMMYFUNCTION("""COMPUTED_VALUE"""),"पाठ, पूजा, चालीसा, प्रार्थना,")</f>
        <v>पाठ, पूजा, चालीसा, प्रार्थना,</v>
      </c>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t="str">
        <f ca="1">IFERROR(__xludf.DUMMYFUNCTION("""COMPUTED_VALUE"""),"प्रतिक पूजा का वैज्ञानिक आधार")</f>
        <v>प्रतिक पूजा का वैज्ञानिक आधार</v>
      </c>
      <c r="BI259" s="1"/>
      <c r="BJ259" s="1"/>
      <c r="BK259" s="1"/>
      <c r="BL259" s="1"/>
      <c r="BM259" s="1"/>
      <c r="BN259" s="1"/>
      <c r="BO259" s="1"/>
      <c r="BP259" s="1"/>
      <c r="BQ259" s="1"/>
      <c r="BR259" s="1"/>
      <c r="BS259" s="1"/>
      <c r="BT259" s="1"/>
      <c r="BU259" s="1"/>
      <c r="BV259" s="1"/>
      <c r="BW259" s="1">
        <f ca="1">IFERROR(__xludf.DUMMYFUNCTION("""COMPUTED_VALUE"""),1)</f>
        <v>1</v>
      </c>
      <c r="BX259" s="1">
        <f ca="1">IFERROR(__xludf.DUMMYFUNCTION("""COMPUTED_VALUE"""),0)</f>
        <v>0</v>
      </c>
      <c r="BY259" s="1">
        <f ca="1">IFERROR(__xludf.DUMMYFUNCTION("""COMPUTED_VALUE"""),1)</f>
        <v>1</v>
      </c>
      <c r="BZ259" s="1">
        <f ca="1">IFERROR(__xludf.DUMMYFUNCTION("""COMPUTED_VALUE"""),0)</f>
        <v>0</v>
      </c>
      <c r="CA259" s="1"/>
      <c r="CB259" s="1"/>
      <c r="CC259" s="1" t="str">
        <f ca="1">IFERROR(__xludf.DUMMYFUNCTION("""COMPUTED_VALUE"""),"Oriya Temp Book 4")</f>
        <v>Oriya Temp Book 4</v>
      </c>
      <c r="CD259" s="3" t="str">
        <f ca="1">IFERROR(__xludf.DUMMYFUNCTION("""COMPUTED_VALUE"""),"https://drive.google.com/file/d/1NccXhcUsWMqR-yXJhzEih8BYrBfPiaUz/view?usp=sharing")</f>
        <v>https://drive.google.com/file/d/1NccXhcUsWMqR-yXJhzEih8BYrBfPiaUz/view?usp=sharing</v>
      </c>
      <c r="CE259" s="1" t="str">
        <f ca="1">IFERROR(__xludf.DUMMYFUNCTION("""COMPUTED_VALUE"""),"Audiobook : Oriya Temp Book 4 : binisai1972@gmail.com : Recorded")</f>
        <v>Audiobook : Oriya Temp Book 4 : binisai1972@gmail.com : Recorded</v>
      </c>
      <c r="CF259" s="1" t="str">
        <f ca="1">IFERROR(__xludf.DUMMYFUNCTION("""COMPUTED_VALUE"""),"#N/A")</f>
        <v>#N/A</v>
      </c>
      <c r="CG259" s="1" t="str">
        <f ca="1">IFERROR(__xludf.DUMMYFUNCTION("""COMPUTED_VALUE"""),"Adarniya BINODINI ROUT  ji Oriya Temp Book 4 : Allocated on 03-May-24 Contact Number  9853947438")</f>
        <v>Adarniya BINODINI ROUT  ji Oriya Temp Book 4 : Allocated on 03-May-24 Contact Number  9853947438</v>
      </c>
      <c r="CH259" s="1" t="str">
        <f ca="1">IFERROR(__xludf.DUMMYFUNCTION("""COMPUTED_VALUE"""),"binisai1972@gmail.com : Oriya Temp Book 4")</f>
        <v>binisai1972@gmail.com : Oriya Temp Book 4</v>
      </c>
      <c r="CI259" s="5">
        <f ca="1">IFERROR(__xludf.DUMMYFUNCTION("""COMPUTED_VALUE"""),45415.7374148263)</f>
        <v>45415.737414826297</v>
      </c>
    </row>
    <row r="260" spans="1:87" x14ac:dyDescent="0.25">
      <c r="A260" s="5">
        <f ca="1">IFERROR(__xludf.DUMMYFUNCTION("""COMPUTED_VALUE"""),45415.5874513541)</f>
        <v>45415.587451354098</v>
      </c>
      <c r="B260" s="1" t="str">
        <f ca="1">IFERROR(__xludf.DUMMYFUNCTION("""COMPUTED_VALUE"""),"rajnivarma24.vns@gmail.com")</f>
        <v>rajnivarma24.vns@gmail.com</v>
      </c>
      <c r="C260" s="1" t="str">
        <f ca="1">IFERROR(__xludf.DUMMYFUNCTION("""COMPUTED_VALUE"""),"Rajni varma")</f>
        <v>Rajni varma</v>
      </c>
      <c r="D260" s="1">
        <f ca="1">IFERROR(__xludf.DUMMYFUNCTION("""COMPUTED_VALUE"""),9335661433)</f>
        <v>9335661433</v>
      </c>
      <c r="E260" s="1" t="str">
        <f ca="1">IFERROR(__xludf.DUMMYFUNCTION("""COMPUTED_VALUE"""),"No")</f>
        <v>No</v>
      </c>
      <c r="F260" s="1" t="str">
        <f ca="1">IFERROR(__xludf.DUMMYFUNCTION("""COMPUTED_VALUE"""),"हिन्दी")</f>
        <v>हिन्दी</v>
      </c>
      <c r="G260" s="1" t="str">
        <f ca="1">IFERROR(__xludf.DUMMYFUNCTION("""COMPUTED_VALUE"""),"भारतीय संस्कृति")</f>
        <v>भारतीय संस्कृति</v>
      </c>
      <c r="H260" s="1"/>
      <c r="I260" s="1"/>
      <c r="J260" s="1"/>
      <c r="K260" s="1"/>
      <c r="L260" s="1"/>
      <c r="M260" s="1"/>
      <c r="N260" s="1"/>
      <c r="O260" s="1" t="str">
        <f ca="1">IFERROR(__xludf.DUMMYFUNCTION("""COMPUTED_VALUE"""),"भारतीय संस्कृति")</f>
        <v>भारतीय संस्कृति</v>
      </c>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f ca="1">IFERROR(__xludf.DUMMYFUNCTION("""COMPUTED_VALUE"""),30)</f>
        <v>30</v>
      </c>
      <c r="BX260" s="1">
        <f ca="1">IFERROR(__xludf.DUMMYFUNCTION("""COMPUTED_VALUE"""),25)</f>
        <v>25</v>
      </c>
      <c r="BY260" s="1">
        <f ca="1">IFERROR(__xludf.DUMMYFUNCTION("""COMPUTED_VALUE"""),7)</f>
        <v>7</v>
      </c>
      <c r="BZ260" s="1">
        <f ca="1">IFERROR(__xludf.DUMMYFUNCTION("""COMPUTED_VALUE"""),7)</f>
        <v>7</v>
      </c>
      <c r="CA260" s="1"/>
      <c r="CB260" s="1"/>
      <c r="CC260" s="1" t="str">
        <f ca="1">IFERROR(__xludf.DUMMYFUNCTION("""COMPUTED_VALUE"""),"देव संस्कृति एवं दिव्य कलाएं : Rare Book")</f>
        <v>देव संस्कृति एवं दिव्य कलाएं : Rare Book</v>
      </c>
      <c r="CD260" s="3" t="str">
        <f ca="1">IFERROR(__xludf.DUMMYFUNCTION("""COMPUTED_VALUE"""),"https://vicharkrantibooks.org/productdetail?book_name=HINP0210_DEV_SANSKRUTI_EVAM_DIVY_KALAEN_xxyyyy&amp;product_id=775")</f>
        <v>https://vicharkrantibooks.org/productdetail?book_name=HINP0210_DEV_SANSKRUTI_EVAM_DIVY_KALAEN_xxyyyy&amp;product_id=775</v>
      </c>
      <c r="CE260" s="1" t="str">
        <f ca="1">IFERROR(__xludf.DUMMYFUNCTION("""COMPUTED_VALUE"""),"Audiobook : देव संस्कृति एवं दिव्य कलाएं : Rare Book : rajnivarma24.vns@gmail.com : Recorded")</f>
        <v>Audiobook : देव संस्कृति एवं दिव्य कलाएं : Rare Book : rajnivarma24.vns@gmail.com : Recorded</v>
      </c>
      <c r="CF260" s="1" t="str">
        <f ca="1">IFERROR(__xludf.DUMMYFUNCTION("""COMPUTED_VALUE"""),"#N/A")</f>
        <v>#N/A</v>
      </c>
      <c r="CG260" s="1" t="str">
        <f ca="1">IFERROR(__xludf.DUMMYFUNCTION("""COMPUTED_VALUE"""),"Adarniya Rajni varma ji देव संस्कृति एवं दिव्य कलाएं : Rare Book : Allocated on 03-May-24 Contact Number  9335661433")</f>
        <v>Adarniya Rajni varma ji देव संस्कृति एवं दिव्य कलाएं : Rare Book : Allocated on 03-May-24 Contact Number  9335661433</v>
      </c>
      <c r="CH260" s="1" t="str">
        <f ca="1">IFERROR(__xludf.DUMMYFUNCTION("""COMPUTED_VALUE"""),"rajnivarma24.vns@gmail.com : देव संस्कृति एवं दिव्य कलाएं : Rare Book")</f>
        <v>rajnivarma24.vns@gmail.com : देव संस्कृति एवं दिव्य कलाएं : Rare Book</v>
      </c>
      <c r="CI260" s="5">
        <f ca="1">IFERROR(__xludf.DUMMYFUNCTION("""COMPUTED_VALUE"""),45415.5874513541)</f>
        <v>45415.587451354098</v>
      </c>
    </row>
    <row r="261" spans="1:87" x14ac:dyDescent="0.25">
      <c r="A261" s="5">
        <f ca="1">IFERROR(__xludf.DUMMYFUNCTION("""COMPUTED_VALUE"""),45414.9057050925)</f>
        <v>45414.905705092497</v>
      </c>
      <c r="B261" s="1" t="str">
        <f ca="1">IFERROR(__xludf.DUMMYFUNCTION("""COMPUTED_VALUE"""),"drbrpraj@gmail.com")</f>
        <v>drbrpraj@gmail.com</v>
      </c>
      <c r="C261" s="1" t="str">
        <f ca="1">IFERROR(__xludf.DUMMYFUNCTION("""COMPUTED_VALUE"""),"Dr. Baidyanath Ram Prajapati")</f>
        <v>Dr. Baidyanath Ram Prajapati</v>
      </c>
      <c r="D261" s="1" t="str">
        <f ca="1">IFERROR(__xludf.DUMMYFUNCTION("""COMPUTED_VALUE"""),"09811724821")</f>
        <v>09811724821</v>
      </c>
      <c r="E261" s="1" t="str">
        <f ca="1">IFERROR(__xludf.DUMMYFUNCTION("""COMPUTED_VALUE"""),"Yes")</f>
        <v>Yes</v>
      </c>
      <c r="F261" s="1" t="str">
        <f ca="1">IFERROR(__xludf.DUMMYFUNCTION("""COMPUTED_VALUE"""),"हिन्दी")</f>
        <v>हिन्दी</v>
      </c>
      <c r="G261" s="1" t="str">
        <f ca="1">IFERROR(__xludf.DUMMYFUNCTION("""COMPUTED_VALUE"""),"अध्यात्म, धर्म एवं दर्शन")</f>
        <v>अध्यात्म, धर्म एवं दर्शन</v>
      </c>
      <c r="H261" s="1" t="str">
        <f ca="1">IFERROR(__xludf.DUMMYFUNCTION("""COMPUTED_VALUE"""),"अध्यात्म, धर्म एवं आस्तिकता")</f>
        <v>अध्यात्म, धर्म एवं आस्तिकता</v>
      </c>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f ca="1">IFERROR(__xludf.DUMMYFUNCTION("""COMPUTED_VALUE"""),8)</f>
        <v>8</v>
      </c>
      <c r="BX261" s="1">
        <f ca="1">IFERROR(__xludf.DUMMYFUNCTION("""COMPUTED_VALUE"""),5)</f>
        <v>5</v>
      </c>
      <c r="BY261" s="1">
        <f ca="1">IFERROR(__xludf.DUMMYFUNCTION("""COMPUTED_VALUE"""),3)</f>
        <v>3</v>
      </c>
      <c r="BZ261" s="1">
        <f ca="1">IFERROR(__xludf.DUMMYFUNCTION("""COMPUTED_VALUE"""),1)</f>
        <v>1</v>
      </c>
      <c r="CA261" s="1"/>
      <c r="CB261" s="1"/>
      <c r="CC261" s="1" t="str">
        <f ca="1">IFERROR(__xludf.DUMMYFUNCTION("""COMPUTED_VALUE"""),"आत्मिक प्रगति की दिशाधारा : Rare Book")</f>
        <v>आत्मिक प्रगति की दिशाधारा : Rare Book</v>
      </c>
      <c r="CD261" s="3" t="str">
        <f ca="1">IFERROR(__xludf.DUMMYFUNCTION("""COMPUTED_VALUE"""),"https://vicharkrantibooks.org/productdetail?book_name=HINF0052_ATMIK_PRAGATI_KI_DISHADHARA_xxyyyy&amp;product_id=272")</f>
        <v>https://vicharkrantibooks.org/productdetail?book_name=HINF0052_ATMIK_PRAGATI_KI_DISHADHARA_xxyyyy&amp;product_id=272</v>
      </c>
      <c r="CE261" s="1" t="str">
        <f ca="1">IFERROR(__xludf.DUMMYFUNCTION("""COMPUTED_VALUE"""),"Audiobook : आत्मिक प्रगति की दिशाधारा : Rare Book : drbrpraj@gmail.com : Recorded")</f>
        <v>Audiobook : आत्मिक प्रगति की दिशाधारा : Rare Book : drbrpraj@gmail.com : Recorded</v>
      </c>
      <c r="CF261" s="1" t="str">
        <f ca="1">IFERROR(__xludf.DUMMYFUNCTION("""COMPUTED_VALUE"""),"Audiobook : आत्मिक प्रगति की दिशाधारा : Rare Book : drbrpraj@gmail.com : Recorded")</f>
        <v>Audiobook : आत्मिक प्रगति की दिशाधारा : Rare Book : drbrpraj@gmail.com : Recorded</v>
      </c>
      <c r="CG261" s="1" t="str">
        <f ca="1">IFERROR(__xludf.DUMMYFUNCTION("""COMPUTED_VALUE"""),"Adarniya Dr. Baidyanath Ram Prajapati ji आत्मिक प्रगति की दिशाधारा : Rare Book : Allocated on 02-May-24 Contact Number  09811724821")</f>
        <v>Adarniya Dr. Baidyanath Ram Prajapati ji आत्मिक प्रगति की दिशाधारा : Rare Book : Allocated on 02-May-24 Contact Number  09811724821</v>
      </c>
      <c r="CH261" s="1" t="str">
        <f ca="1">IFERROR(__xludf.DUMMYFUNCTION("""COMPUTED_VALUE"""),"drbrpraj@gmail.com : आत्मिक प्रगति की दिशाधारा : Rare Book")</f>
        <v>drbrpraj@gmail.com : आत्मिक प्रगति की दिशाधारा : Rare Book</v>
      </c>
      <c r="CI261" s="5">
        <f ca="1">IFERROR(__xludf.DUMMYFUNCTION("""COMPUTED_VALUE"""),45414.9057050925)</f>
        <v>45414.905705092497</v>
      </c>
    </row>
    <row r="262" spans="1:87" x14ac:dyDescent="0.25">
      <c r="A262" s="5">
        <f ca="1">IFERROR(__xludf.DUMMYFUNCTION("""COMPUTED_VALUE"""),45414.7273476041)</f>
        <v>45414.727347604101</v>
      </c>
      <c r="B262" s="1" t="str">
        <f ca="1">IFERROR(__xludf.DUMMYFUNCTION("""COMPUTED_VALUE"""),"30rakhi@gmail.com")</f>
        <v>30rakhi@gmail.com</v>
      </c>
      <c r="C262" s="1" t="str">
        <f ca="1">IFERROR(__xludf.DUMMYFUNCTION("""COMPUTED_VALUE"""),"Rakhi Ahuja ")</f>
        <v xml:space="preserve">Rakhi Ahuja </v>
      </c>
      <c r="D262" s="1">
        <f ca="1">IFERROR(__xludf.DUMMYFUNCTION("""COMPUTED_VALUE"""),9760726888)</f>
        <v>9760726888</v>
      </c>
      <c r="E262" s="1" t="str">
        <f ca="1">IFERROR(__xludf.DUMMYFUNCTION("""COMPUTED_VALUE"""),"Yes")</f>
        <v>Yes</v>
      </c>
      <c r="F262" s="1" t="str">
        <f ca="1">IFERROR(__xludf.DUMMYFUNCTION("""COMPUTED_VALUE"""),"हिन्दी")</f>
        <v>हिन्दी</v>
      </c>
      <c r="G262" s="1" t="str">
        <f ca="1">IFERROR(__xludf.DUMMYFUNCTION("""COMPUTED_VALUE"""),"परिवार निर्माण")</f>
        <v>परिवार निर्माण</v>
      </c>
      <c r="H262" s="1"/>
      <c r="I262" s="1"/>
      <c r="J262" s="1"/>
      <c r="K262" s="1"/>
      <c r="L262" s="1"/>
      <c r="M262" s="1" t="str">
        <f ca="1">IFERROR(__xludf.DUMMYFUNCTION("""COMPUTED_VALUE"""),"बाल मनोविज्ञान")</f>
        <v>बाल मनोविज्ञान</v>
      </c>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f ca="1">IFERROR(__xludf.DUMMYFUNCTION("""COMPUTED_VALUE"""),4)</f>
        <v>4</v>
      </c>
      <c r="BX262" s="1">
        <f ca="1">IFERROR(__xludf.DUMMYFUNCTION("""COMPUTED_VALUE"""),2)</f>
        <v>2</v>
      </c>
      <c r="BY262" s="1">
        <f ca="1">IFERROR(__xludf.DUMMYFUNCTION("""COMPUTED_VALUE"""),2)</f>
        <v>2</v>
      </c>
      <c r="BZ262" s="1">
        <f ca="1">IFERROR(__xludf.DUMMYFUNCTION("""COMPUTED_VALUE"""),1)</f>
        <v>1</v>
      </c>
      <c r="CA262" s="1"/>
      <c r="CB262" s="1"/>
      <c r="CC262" s="1" t="str">
        <f ca="1">IFERROR(__xludf.DUMMYFUNCTION("""COMPUTED_VALUE"""),"बच्चों का निर्माण वाणी से नहीं, आचरण से किया जाए : Rare Book")</f>
        <v>बच्चों का निर्माण वाणी से नहीं, आचरण से किया जाए : Rare Book</v>
      </c>
      <c r="CD262" s="3" t="str">
        <f ca="1">IFERROR(__xludf.DUMMYFUNCTION("""COMPUTED_VALUE"""),"https://vicharkrantibooks.org/productdetail?book_name=HINP0120_BACHCHON_KA_NIRMAN_VANI_SE_NAHIN_ACHARAN_SE_KIYA_JAE_xxyyyy&amp;product_id=685")</f>
        <v>https://vicharkrantibooks.org/productdetail?book_name=HINP0120_BACHCHON_KA_NIRMAN_VANI_SE_NAHIN_ACHARAN_SE_KIYA_JAE_xxyyyy&amp;product_id=685</v>
      </c>
      <c r="CE262" s="1" t="str">
        <f ca="1">IFERROR(__xludf.DUMMYFUNCTION("""COMPUTED_VALUE"""),"Audiobook : बच्चों का निर्माण वाणी से नहीं, आचरण से किया जाए : Rare Book : 30rakhi@gmail.com : Recorded")</f>
        <v>Audiobook : बच्चों का निर्माण वाणी से नहीं, आचरण से किया जाए : Rare Book : 30rakhi@gmail.com : Recorded</v>
      </c>
      <c r="CF262" s="1" t="str">
        <f ca="1">IFERROR(__xludf.DUMMYFUNCTION("""COMPUTED_VALUE"""),"#N/A")</f>
        <v>#N/A</v>
      </c>
      <c r="CG262" s="1" t="str">
        <f ca="1">IFERROR(__xludf.DUMMYFUNCTION("""COMPUTED_VALUE"""),"Adarniya Rakhi Ahuja  ji बच्चों का निर्माण वाणी से नहीं, आचरण से किया जाए : Rare Book : Allocated on 02-May-24 Contact Number  9760726888")</f>
        <v>Adarniya Rakhi Ahuja  ji बच्चों का निर्माण वाणी से नहीं, आचरण से किया जाए : Rare Book : Allocated on 02-May-24 Contact Number  9760726888</v>
      </c>
      <c r="CH262" s="1" t="str">
        <f ca="1">IFERROR(__xludf.DUMMYFUNCTION("""COMPUTED_VALUE"""),"30rakhi@gmail.com : बच्चों का निर्माण वाणी से नहीं, आचरण से किया जाए : Rare Book")</f>
        <v>30rakhi@gmail.com : बच्चों का निर्माण वाणी से नहीं, आचरण से किया जाए : Rare Book</v>
      </c>
      <c r="CI262" s="5">
        <f ca="1">IFERROR(__xludf.DUMMYFUNCTION("""COMPUTED_VALUE"""),45414.7273476041)</f>
        <v>45414.727347604101</v>
      </c>
    </row>
    <row r="263" spans="1:87" x14ac:dyDescent="0.25">
      <c r="A263" s="5">
        <f ca="1">IFERROR(__xludf.DUMMYFUNCTION("""COMPUTED_VALUE"""),45413.9952740856)</f>
        <v>45413.995274085602</v>
      </c>
      <c r="B263" s="1" t="str">
        <f ca="1">IFERROR(__xludf.DUMMYFUNCTION("""COMPUTED_VALUE"""),"guptarakhi072@gmail.com")</f>
        <v>guptarakhi072@gmail.com</v>
      </c>
      <c r="C263" s="1" t="str">
        <f ca="1">IFERROR(__xludf.DUMMYFUNCTION("""COMPUTED_VALUE"""),"Rakhi Gupta ")</f>
        <v xml:space="preserve">Rakhi Gupta </v>
      </c>
      <c r="D263" s="1">
        <f ca="1">IFERROR(__xludf.DUMMYFUNCTION("""COMPUTED_VALUE"""),8128540757)</f>
        <v>8128540757</v>
      </c>
      <c r="E263" s="1" t="str">
        <f ca="1">IFERROR(__xludf.DUMMYFUNCTION("""COMPUTED_VALUE"""),"Yes")</f>
        <v>Yes</v>
      </c>
      <c r="F263" s="1" t="str">
        <f ca="1">IFERROR(__xludf.DUMMYFUNCTION("""COMPUTED_VALUE"""),"हिन्दी")</f>
        <v>हिन्दी</v>
      </c>
      <c r="G263" s="1" t="str">
        <f ca="1">IFERROR(__xludf.DUMMYFUNCTION("""COMPUTED_VALUE"""),"भारतीय संस्कृति")</f>
        <v>भारतीय संस्कृति</v>
      </c>
      <c r="H263" s="1"/>
      <c r="I263" s="1"/>
      <c r="J263" s="1"/>
      <c r="K263" s="1"/>
      <c r="L263" s="1"/>
      <c r="M263" s="1"/>
      <c r="N263" s="1"/>
      <c r="O263" s="1" t="str">
        <f ca="1">IFERROR(__xludf.DUMMYFUNCTION("""COMPUTED_VALUE"""),"भारतीय संस्कृति")</f>
        <v>भारतीय संस्कृति</v>
      </c>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f ca="1">IFERROR(__xludf.DUMMYFUNCTION("""COMPUTED_VALUE"""),21)</f>
        <v>21</v>
      </c>
      <c r="BX263" s="1">
        <f ca="1">IFERROR(__xludf.DUMMYFUNCTION("""COMPUTED_VALUE"""),20)</f>
        <v>20</v>
      </c>
      <c r="BY263" s="1">
        <f ca="1">IFERROR(__xludf.DUMMYFUNCTION("""COMPUTED_VALUE"""),2)</f>
        <v>2</v>
      </c>
      <c r="BZ263" s="1">
        <f ca="1">IFERROR(__xludf.DUMMYFUNCTION("""COMPUTED_VALUE"""),14)</f>
        <v>14</v>
      </c>
      <c r="CA263" s="1"/>
      <c r="CB263" s="1"/>
      <c r="CC263" s="1" t="str">
        <f ca="1">IFERROR(__xludf.DUMMYFUNCTION("""COMPUTED_VALUE"""),"गायत्री महिमा : Rare Book")</f>
        <v>गायत्री महिमा : Rare Book</v>
      </c>
      <c r="CD263" s="3" t="str">
        <f ca="1">IFERROR(__xludf.DUMMYFUNCTION("""COMPUTED_VALUE"""),"https://vicharkrantibooks.org/productdetail?book_name=HINP0287_GAYATRI_MAHIMA_xxyyyy&amp;product_id=852")</f>
        <v>https://vicharkrantibooks.org/productdetail?book_name=HINP0287_GAYATRI_MAHIMA_xxyyyy&amp;product_id=852</v>
      </c>
      <c r="CE263" s="1" t="str">
        <f ca="1">IFERROR(__xludf.DUMMYFUNCTION("""COMPUTED_VALUE"""),"Audiobook : गायत्री महिमा : Rare Book : guptarakhi072@gmail.com : Recorded")</f>
        <v>Audiobook : गायत्री महिमा : Rare Book : guptarakhi072@gmail.com : Recorded</v>
      </c>
      <c r="CF263" s="1" t="str">
        <f ca="1">IFERROR(__xludf.DUMMYFUNCTION("""COMPUTED_VALUE"""),"Audiobook : गायत्री महिमा : Rare Book : guptarakhi072@gmail.com : Recorded")</f>
        <v>Audiobook : गायत्री महिमा : Rare Book : guptarakhi072@gmail.com : Recorded</v>
      </c>
      <c r="CG263" s="1" t="str">
        <f ca="1">IFERROR(__xludf.DUMMYFUNCTION("""COMPUTED_VALUE"""),"Adarniya Rakhi Gupta  ji गायत्री महिमा : Rare Book : Allocated on 01-May-24 Contact Number  8128540757")</f>
        <v>Adarniya Rakhi Gupta  ji गायत्री महिमा : Rare Book : Allocated on 01-May-24 Contact Number  8128540757</v>
      </c>
      <c r="CH263" s="1" t="str">
        <f ca="1">IFERROR(__xludf.DUMMYFUNCTION("""COMPUTED_VALUE"""),"guptarakhi072@gmail.com : गायत्री महिमा : Rare Book")</f>
        <v>guptarakhi072@gmail.com : गायत्री महिमा : Rare Book</v>
      </c>
      <c r="CI263" s="5">
        <f ca="1">IFERROR(__xludf.DUMMYFUNCTION("""COMPUTED_VALUE"""),45413.9952740856)</f>
        <v>45413.995274085602</v>
      </c>
    </row>
    <row r="264" spans="1:87" x14ac:dyDescent="0.25">
      <c r="A264" s="5">
        <f ca="1">IFERROR(__xludf.DUMMYFUNCTION("""COMPUTED_VALUE"""),45413.7335639814)</f>
        <v>45413.733563981397</v>
      </c>
      <c r="B264" s="1" t="str">
        <f ca="1">IFERROR(__xludf.DUMMYFUNCTION("""COMPUTED_VALUE"""),"jamunashukla17@gmail.com")</f>
        <v>jamunashukla17@gmail.com</v>
      </c>
      <c r="C264" s="1" t="str">
        <f ca="1">IFERROR(__xludf.DUMMYFUNCTION("""COMPUTED_VALUE"""),"J S Shukla ")</f>
        <v xml:space="preserve">J S Shukla </v>
      </c>
      <c r="D264" s="1">
        <f ca="1">IFERROR(__xludf.DUMMYFUNCTION("""COMPUTED_VALUE"""),8010712106)</f>
        <v>8010712106</v>
      </c>
      <c r="E264" s="1" t="str">
        <f ca="1">IFERROR(__xludf.DUMMYFUNCTION("""COMPUTED_VALUE"""),"Yes")</f>
        <v>Yes</v>
      </c>
      <c r="F264" s="1" t="str">
        <f ca="1">IFERROR(__xludf.DUMMYFUNCTION("""COMPUTED_VALUE"""),"हिन्दी")</f>
        <v>हिन्दी</v>
      </c>
      <c r="G264" s="1" t="str">
        <f ca="1">IFERROR(__xludf.DUMMYFUNCTION("""COMPUTED_VALUE"""),"अध्यात्म, धर्म एवं दर्शन")</f>
        <v>अध्यात्म, धर्म एवं दर्शन</v>
      </c>
      <c r="H264" s="1" t="str">
        <f ca="1">IFERROR(__xludf.DUMMYFUNCTION("""COMPUTED_VALUE"""),"अध्यात्म, धर्म एवं आस्तिकता")</f>
        <v>अध्यात्म, धर्म एवं आस्तिकता</v>
      </c>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f ca="1">IFERROR(__xludf.DUMMYFUNCTION("""COMPUTED_VALUE"""),53)</f>
        <v>53</v>
      </c>
      <c r="BX264" s="1">
        <f ca="1">IFERROR(__xludf.DUMMYFUNCTION("""COMPUTED_VALUE"""),53)</f>
        <v>53</v>
      </c>
      <c r="BY264" s="1">
        <f ca="1">IFERROR(__xludf.DUMMYFUNCTION("""COMPUTED_VALUE"""),9)</f>
        <v>9</v>
      </c>
      <c r="BZ264" s="1">
        <f ca="1">IFERROR(__xludf.DUMMYFUNCTION("""COMPUTED_VALUE"""),25)</f>
        <v>25</v>
      </c>
      <c r="CA264" s="1"/>
      <c r="CB264" s="1"/>
      <c r="CC264" s="1" t="str">
        <f ca="1">IFERROR(__xludf.DUMMYFUNCTION("""COMPUTED_VALUE"""),"त्याग से प्राप्ति का सुनिश्चित एवं अकाट़्य नियम : Rare Book")</f>
        <v>त्याग से प्राप्ति का सुनिश्चित एवं अकाट़्य नियम : Rare Book</v>
      </c>
      <c r="CD264" s="3" t="str">
        <f ca="1">IFERROR(__xludf.DUMMYFUNCTION("""COMPUTED_VALUE"""),"https://vicharkrantibooks.org/productdetail?book_name=HINP0914_TYAG_SE_PRAPTI_KA_SUNISHCHIT_EVAM_AKATY_NIYAM_xx1982&amp;product_id=1479")</f>
        <v>https://vicharkrantibooks.org/productdetail?book_name=HINP0914_TYAG_SE_PRAPTI_KA_SUNISHCHIT_EVAM_AKATY_NIYAM_xx1982&amp;product_id=1479</v>
      </c>
      <c r="CE264" s="1" t="str">
        <f ca="1">IFERROR(__xludf.DUMMYFUNCTION("""COMPUTED_VALUE"""),"Audiobook : त्याग से प्राप्ति का सुनिश्चित एवं अकाट़्य नियम : Rare Book : jamunashukla17@gmail.com : Recorded")</f>
        <v>Audiobook : त्याग से प्राप्ति का सुनिश्चित एवं अकाट़्य नियम : Rare Book : jamunashukla17@gmail.com : Recorded</v>
      </c>
      <c r="CF264" s="1" t="str">
        <f ca="1">IFERROR(__xludf.DUMMYFUNCTION("""COMPUTED_VALUE"""),"#N/A")</f>
        <v>#N/A</v>
      </c>
      <c r="CG264" s="1" t="str">
        <f ca="1">IFERROR(__xludf.DUMMYFUNCTION("""COMPUTED_VALUE"""),"Adarniya J S Shukla  ji त्याग से प्राप्ति का सुनिश्चित एवं अकाट़्य नियम : Rare Book : Allocated on 01-May-24 Contact Number  8010712106")</f>
        <v>Adarniya J S Shukla  ji त्याग से प्राप्ति का सुनिश्चित एवं अकाट़्य नियम : Rare Book : Allocated on 01-May-24 Contact Number  8010712106</v>
      </c>
      <c r="CH264" s="1" t="str">
        <f ca="1">IFERROR(__xludf.DUMMYFUNCTION("""COMPUTED_VALUE"""),"jamunashukla17@gmail.com : त्याग से प्राप्ति का सुनिश्चित एवं अकाट़्य नियम : Rare Book")</f>
        <v>jamunashukla17@gmail.com : त्याग से प्राप्ति का सुनिश्चित एवं अकाट़्य नियम : Rare Book</v>
      </c>
      <c r="CI264" s="5">
        <f ca="1">IFERROR(__xludf.DUMMYFUNCTION("""COMPUTED_VALUE"""),45413.7335639814)</f>
        <v>45413.733563981397</v>
      </c>
    </row>
    <row r="265" spans="1:87" x14ac:dyDescent="0.25">
      <c r="A265" s="5">
        <f ca="1">IFERROR(__xludf.DUMMYFUNCTION("""COMPUTED_VALUE"""),45413.7327305671)</f>
        <v>45413.732730567099</v>
      </c>
      <c r="B265" s="1" t="str">
        <f ca="1">IFERROR(__xludf.DUMMYFUNCTION("""COMPUTED_VALUE"""),"babula228@gmail.com")</f>
        <v>babula228@gmail.com</v>
      </c>
      <c r="C265" s="1" t="str">
        <f ca="1">IFERROR(__xludf.DUMMYFUNCTION("""COMPUTED_VALUE"""),"Jyoshna Rani Devi")</f>
        <v>Jyoshna Rani Devi</v>
      </c>
      <c r="D265" s="1">
        <f ca="1">IFERROR(__xludf.DUMMYFUNCTION("""COMPUTED_VALUE"""),7678404485)</f>
        <v>7678404485</v>
      </c>
      <c r="E265" s="1" t="str">
        <f ca="1">IFERROR(__xludf.DUMMYFUNCTION("""COMPUTED_VALUE"""),"Yes")</f>
        <v>Yes</v>
      </c>
      <c r="F265" s="1" t="str">
        <f ca="1">IFERROR(__xludf.DUMMYFUNCTION("""COMPUTED_VALUE"""),"ओड़िया")</f>
        <v>ओड़िया</v>
      </c>
      <c r="G265" s="1" t="str">
        <f ca="1">IFERROR(__xludf.DUMMYFUNCTION("""COMPUTED_VALUE"""),"अध्यात्म, धर्म एवं दर्शन")</f>
        <v>अध्यात्म, धर्म एवं दर्शन</v>
      </c>
      <c r="H265" s="1" t="str">
        <f ca="1">IFERROR(__xludf.DUMMYFUNCTION("""COMPUTED_VALUE"""),"अध्यात्म, धर्म एवं आस्तिकता")</f>
        <v>अध्यात्म, धर्म एवं आस्तिकता</v>
      </c>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f ca="1">IFERROR(__xludf.DUMMYFUNCTION("""COMPUTED_VALUE"""),1)</f>
        <v>1</v>
      </c>
      <c r="BX265" s="1">
        <f ca="1">IFERROR(__xludf.DUMMYFUNCTION("""COMPUTED_VALUE"""),0)</f>
        <v>0</v>
      </c>
      <c r="BY265" s="1">
        <f ca="1">IFERROR(__xludf.DUMMYFUNCTION("""COMPUTED_VALUE"""),1)</f>
        <v>1</v>
      </c>
      <c r="BZ265" s="1">
        <f ca="1">IFERROR(__xludf.DUMMYFUNCTION("""COMPUTED_VALUE"""),0)</f>
        <v>0</v>
      </c>
      <c r="CA265" s="1"/>
      <c r="CB265" s="1"/>
      <c r="CC265" s="1" t="str">
        <f ca="1">IFERROR(__xludf.DUMMYFUNCTION("""COMPUTED_VALUE"""),"Oriya Temp Book 1")</f>
        <v>Oriya Temp Book 1</v>
      </c>
      <c r="CD265" s="3" t="str">
        <f ca="1">IFERROR(__xludf.DUMMYFUNCTION("""COMPUTED_VALUE"""),"https://drive.google.com/file/d/1GOABqL4sQL3rZa4vUgkBGoKqy3ObgOZS/view?usp=drive_link")</f>
        <v>https://drive.google.com/file/d/1GOABqL4sQL3rZa4vUgkBGoKqy3ObgOZS/view?usp=drive_link</v>
      </c>
      <c r="CE265" s="1" t="str">
        <f ca="1">IFERROR(__xludf.DUMMYFUNCTION("""COMPUTED_VALUE"""),"Audiobook : Oriya Temp Book 1 : babula228@gmail.com : Recorded")</f>
        <v>Audiobook : Oriya Temp Book 1 : babula228@gmail.com : Recorded</v>
      </c>
      <c r="CF265" s="1" t="str">
        <f ca="1">IFERROR(__xludf.DUMMYFUNCTION("""COMPUTED_VALUE"""),"#N/A")</f>
        <v>#N/A</v>
      </c>
      <c r="CG265" s="1" t="str">
        <f ca="1">IFERROR(__xludf.DUMMYFUNCTION("""COMPUTED_VALUE"""),"Adarniya Jyoshna Rani Devi ji Oriya Temp Book 1 : Allocated on 01-May-24 Contact Number  7678404485")</f>
        <v>Adarniya Jyoshna Rani Devi ji Oriya Temp Book 1 : Allocated on 01-May-24 Contact Number  7678404485</v>
      </c>
      <c r="CH265" s="1" t="str">
        <f ca="1">IFERROR(__xludf.DUMMYFUNCTION("""COMPUTED_VALUE"""),"babula228@gmail.com : Oriya Temp Book 1")</f>
        <v>babula228@gmail.com : Oriya Temp Book 1</v>
      </c>
      <c r="CI265" s="5">
        <f ca="1">IFERROR(__xludf.DUMMYFUNCTION("""COMPUTED_VALUE"""),45413.7327305671)</f>
        <v>45413.732730567099</v>
      </c>
    </row>
    <row r="266" spans="1:87" x14ac:dyDescent="0.25">
      <c r="A266" s="5">
        <f ca="1">IFERROR(__xludf.DUMMYFUNCTION("""COMPUTED_VALUE"""),45413.6611657291)</f>
        <v>45413.6611657291</v>
      </c>
      <c r="B266" s="1" t="str">
        <f ca="1">IFERROR(__xludf.DUMMYFUNCTION("""COMPUTED_VALUE"""),"nandini171882@gmail.com")</f>
        <v>nandini171882@gmail.com</v>
      </c>
      <c r="C266" s="1" t="str">
        <f ca="1">IFERROR(__xludf.DUMMYFUNCTION("""COMPUTED_VALUE"""),"Nandini   Rout")</f>
        <v>Nandini   Rout</v>
      </c>
      <c r="D266" s="1">
        <f ca="1">IFERROR(__xludf.DUMMYFUNCTION("""COMPUTED_VALUE"""),9337595263)</f>
        <v>9337595263</v>
      </c>
      <c r="E266" s="1" t="str">
        <f ca="1">IFERROR(__xludf.DUMMYFUNCTION("""COMPUTED_VALUE"""),"No")</f>
        <v>No</v>
      </c>
      <c r="F266" s="1" t="str">
        <f ca="1">IFERROR(__xludf.DUMMYFUNCTION("""COMPUTED_VALUE"""),"ओड़िया")</f>
        <v>ओड़िया</v>
      </c>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f ca="1">IFERROR(__xludf.DUMMYFUNCTION("""COMPUTED_VALUE"""),1)</f>
        <v>1</v>
      </c>
      <c r="BX266" s="1">
        <f ca="1">IFERROR(__xludf.DUMMYFUNCTION("""COMPUTED_VALUE"""),0)</f>
        <v>0</v>
      </c>
      <c r="BY266" s="1">
        <f ca="1">IFERROR(__xludf.DUMMYFUNCTION("""COMPUTED_VALUE"""),1)</f>
        <v>1</v>
      </c>
      <c r="BZ266" s="1">
        <f ca="1">IFERROR(__xludf.DUMMYFUNCTION("""COMPUTED_VALUE"""),0)</f>
        <v>0</v>
      </c>
      <c r="CA266" s="1"/>
      <c r="CB266" s="1"/>
      <c r="CC266" s="1" t="str">
        <f ca="1">IFERROR(__xludf.DUMMYFUNCTION("""COMPUTED_VALUE"""),"Oriya Temp Book 2")</f>
        <v>Oriya Temp Book 2</v>
      </c>
      <c r="CD266" s="3" t="str">
        <f ca="1">IFERROR(__xludf.DUMMYFUNCTION("""COMPUTED_VALUE"""),"https://drive.google.com/file/d/1D5xMHoUye9OqRb83E1S0HYWpjjidSavs/view?usp=sharing")</f>
        <v>https://drive.google.com/file/d/1D5xMHoUye9OqRb83E1S0HYWpjjidSavs/view?usp=sharing</v>
      </c>
      <c r="CE266" s="1" t="str">
        <f ca="1">IFERROR(__xludf.DUMMYFUNCTION("""COMPUTED_VALUE"""),"Audiobook : Oriya Temp Book 2 : nandini171882@gmail.com : Recorded")</f>
        <v>Audiobook : Oriya Temp Book 2 : nandini171882@gmail.com : Recorded</v>
      </c>
      <c r="CF266" s="1" t="str">
        <f ca="1">IFERROR(__xludf.DUMMYFUNCTION("""COMPUTED_VALUE"""),"#N/A")</f>
        <v>#N/A</v>
      </c>
      <c r="CG266" s="1" t="str">
        <f ca="1">IFERROR(__xludf.DUMMYFUNCTION("""COMPUTED_VALUE"""),"Adarniya Nandini   Rout ji Oriya Temp Book 2 : Allocated on 01-May-24 Contact Number  9337595263")</f>
        <v>Adarniya Nandini   Rout ji Oriya Temp Book 2 : Allocated on 01-May-24 Contact Number  9337595263</v>
      </c>
      <c r="CH266" s="1" t="str">
        <f ca="1">IFERROR(__xludf.DUMMYFUNCTION("""COMPUTED_VALUE"""),"nandini171882@gmail.com : Oriya Temp Book 2")</f>
        <v>nandini171882@gmail.com : Oriya Temp Book 2</v>
      </c>
      <c r="CI266" s="5">
        <f ca="1">IFERROR(__xludf.DUMMYFUNCTION("""COMPUTED_VALUE"""),45413.6611657291)</f>
        <v>45413.6611657291</v>
      </c>
    </row>
    <row r="267" spans="1:87" x14ac:dyDescent="0.25">
      <c r="A267" s="5">
        <f ca="1">IFERROR(__xludf.DUMMYFUNCTION("""COMPUTED_VALUE"""),45413.5696601504)</f>
        <v>45413.569660150402</v>
      </c>
      <c r="B267" s="1" t="str">
        <f ca="1">IFERROR(__xludf.DUMMYFUNCTION("""COMPUTED_VALUE"""),"pmukhi1967@gmail.com")</f>
        <v>pmukhi1967@gmail.com</v>
      </c>
      <c r="C267" s="1" t="str">
        <f ca="1">IFERROR(__xludf.DUMMYFUNCTION("""COMPUTED_VALUE"""),"Padmini Mukhi ")</f>
        <v xml:space="preserve">Padmini Mukhi </v>
      </c>
      <c r="D267" s="1">
        <f ca="1">IFERROR(__xludf.DUMMYFUNCTION("""COMPUTED_VALUE"""),9711972245)</f>
        <v>9711972245</v>
      </c>
      <c r="E267" s="1" t="str">
        <f ca="1">IFERROR(__xludf.DUMMYFUNCTION("""COMPUTED_VALUE"""),"Yes")</f>
        <v>Yes</v>
      </c>
      <c r="F267" s="1" t="str">
        <f ca="1">IFERROR(__xludf.DUMMYFUNCTION("""COMPUTED_VALUE"""),"ओड़िया")</f>
        <v>ओड़िया</v>
      </c>
      <c r="G267" s="1" t="str">
        <f ca="1">IFERROR(__xludf.DUMMYFUNCTION("""COMPUTED_VALUE"""),"युग परिवर्तन-विचार क्रांति")</f>
        <v>युग परिवर्तन-विचार क्रांति</v>
      </c>
      <c r="H267" s="1"/>
      <c r="I267" s="1"/>
      <c r="J267" s="1"/>
      <c r="K267" s="1"/>
      <c r="L267" s="1"/>
      <c r="M267" s="1"/>
      <c r="N267" s="1"/>
      <c r="O267" s="1"/>
      <c r="P267" s="1"/>
      <c r="Q267" s="1" t="str">
        <f ca="1">IFERROR(__xludf.DUMMYFUNCTION("""COMPUTED_VALUE"""),"विचार क्रांति")</f>
        <v>विचार क्रांति</v>
      </c>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f ca="1">IFERROR(__xludf.DUMMYFUNCTION("""COMPUTED_VALUE"""),4)</f>
        <v>4</v>
      </c>
      <c r="BX267" s="1">
        <f ca="1">IFERROR(__xludf.DUMMYFUNCTION("""COMPUTED_VALUE"""),2)</f>
        <v>2</v>
      </c>
      <c r="BY267" s="1">
        <f ca="1">IFERROR(__xludf.DUMMYFUNCTION("""COMPUTED_VALUE"""),2)</f>
        <v>2</v>
      </c>
      <c r="BZ267" s="1">
        <f ca="1">IFERROR(__xludf.DUMMYFUNCTION("""COMPUTED_VALUE"""),0)</f>
        <v>0</v>
      </c>
      <c r="CA267" s="1"/>
      <c r="CB267" s="1"/>
      <c r="CC267" s="1" t="str">
        <f ca="1">IFERROR(__xludf.DUMMYFUNCTION("""COMPUTED_VALUE"""),"Oriya Temp Book 3")</f>
        <v>Oriya Temp Book 3</v>
      </c>
      <c r="CD267" s="3" t="str">
        <f ca="1">IFERROR(__xludf.DUMMYFUNCTION("""COMPUTED_VALUE"""),"https://drive.google.com/file/d/1MxJ_DBMCMMTlcE15A6R08LdjjWhn4keL/view?usp=sharing")</f>
        <v>https://drive.google.com/file/d/1MxJ_DBMCMMTlcE15A6R08LdjjWhn4keL/view?usp=sharing</v>
      </c>
      <c r="CE267" s="1" t="str">
        <f ca="1">IFERROR(__xludf.DUMMYFUNCTION("""COMPUTED_VALUE"""),"Audiobook : Oriya Temp Book 3 : pmukhi1967@gmail.com : Recorded")</f>
        <v>Audiobook : Oriya Temp Book 3 : pmukhi1967@gmail.com : Recorded</v>
      </c>
      <c r="CF267" s="1" t="str">
        <f ca="1">IFERROR(__xludf.DUMMYFUNCTION("""COMPUTED_VALUE"""),"Audiobook : Oriya Temp Book 3 : pmukhi1967@gmail.com : Recorded")</f>
        <v>Audiobook : Oriya Temp Book 3 : pmukhi1967@gmail.com : Recorded</v>
      </c>
      <c r="CG267" s="1" t="str">
        <f ca="1">IFERROR(__xludf.DUMMYFUNCTION("""COMPUTED_VALUE"""),"Adarniya Padmini Mukhi  ji Oriya Temp Book 3 : Allocated on 01-May-24 Contact Number  9711972245")</f>
        <v>Adarniya Padmini Mukhi  ji Oriya Temp Book 3 : Allocated on 01-May-24 Contact Number  9711972245</v>
      </c>
      <c r="CH267" s="1" t="str">
        <f ca="1">IFERROR(__xludf.DUMMYFUNCTION("""COMPUTED_VALUE"""),"pmukhi1967@gmail.com : Oriya Temp Book 3")</f>
        <v>pmukhi1967@gmail.com : Oriya Temp Book 3</v>
      </c>
      <c r="CI267" s="5">
        <f ca="1">IFERROR(__xludf.DUMMYFUNCTION("""COMPUTED_VALUE"""),45413.5696601504)</f>
        <v>45413.569660150402</v>
      </c>
    </row>
    <row r="268" spans="1:87" x14ac:dyDescent="0.25">
      <c r="A268" s="5">
        <f ca="1">IFERROR(__xludf.DUMMYFUNCTION("""COMPUTED_VALUE"""),45413.5159250115)</f>
        <v>45413.515925011503</v>
      </c>
      <c r="B268" s="1" t="str">
        <f ca="1">IFERROR(__xludf.DUMMYFUNCTION("""COMPUTED_VALUE"""),"druma4107@gmail.com")</f>
        <v>druma4107@gmail.com</v>
      </c>
      <c r="C268" s="1" t="str">
        <f ca="1">IFERROR(__xludf.DUMMYFUNCTION("""COMPUTED_VALUE"""),"Dr Uma Agrawal")</f>
        <v>Dr Uma Agrawal</v>
      </c>
      <c r="D268" s="1">
        <f ca="1">IFERROR(__xludf.DUMMYFUNCTION("""COMPUTED_VALUE"""),9410861182)</f>
        <v>9410861182</v>
      </c>
      <c r="E268" s="1" t="str">
        <f ca="1">IFERROR(__xludf.DUMMYFUNCTION("""COMPUTED_VALUE"""),"Yes")</f>
        <v>Yes</v>
      </c>
      <c r="F268" s="1" t="str">
        <f ca="1">IFERROR(__xludf.DUMMYFUNCTION("""COMPUTED_VALUE"""),"हिन्दी")</f>
        <v>हिन्दी</v>
      </c>
      <c r="G268" s="1" t="str">
        <f ca="1">IFERROR(__xludf.DUMMYFUNCTION("""COMPUTED_VALUE"""),"युग द्रष्टा पं. श्रीराम शर्मा आचार्यजी")</f>
        <v>युग द्रष्टा पं. श्रीराम शर्मा आचार्यजी</v>
      </c>
      <c r="H268" s="1"/>
      <c r="I268" s="1"/>
      <c r="J268" s="1"/>
      <c r="K268" s="1"/>
      <c r="L268" s="1"/>
      <c r="M268" s="1"/>
      <c r="N268" s="1"/>
      <c r="O268" s="1"/>
      <c r="P268" s="1" t="str">
        <f ca="1">IFERROR(__xludf.DUMMYFUNCTION("""COMPUTED_VALUE"""),"युगॠषी की अमृतवाणी")</f>
        <v>युगॠषी की अमृतवाणी</v>
      </c>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f ca="1">IFERROR(__xludf.DUMMYFUNCTION("""COMPUTED_VALUE"""),104)</f>
        <v>104</v>
      </c>
      <c r="BX268" s="1">
        <f ca="1">IFERROR(__xludf.DUMMYFUNCTION("""COMPUTED_VALUE"""),106)</f>
        <v>106</v>
      </c>
      <c r="BY268" s="1">
        <f ca="1">IFERROR(__xludf.DUMMYFUNCTION("""COMPUTED_VALUE"""),9)</f>
        <v>9</v>
      </c>
      <c r="BZ268" s="1">
        <f ca="1">IFERROR(__xludf.DUMMYFUNCTION("""COMPUTED_VALUE"""),43)</f>
        <v>43</v>
      </c>
      <c r="CA268" s="1"/>
      <c r="CB268" s="1"/>
      <c r="CC268" s="1" t="str">
        <f ca="1">IFERROR(__xludf.DUMMYFUNCTION("""COMPUTED_VALUE"""),"इन अवांछनीय मूढ़-मान्यताओं को उखाड़ फेंकें : Rare Book")</f>
        <v>इन अवांछनीय मूढ़-मान्यताओं को उखाड़ फेंकें : Rare Book</v>
      </c>
      <c r="CD268" s="3" t="str">
        <f ca="1">IFERROR(__xludf.DUMMYFUNCTION("""COMPUTED_VALUE"""),"https://vicharkrantibooks.org/productdetail?book_name=HINP0357_IN_AVANCHHANIY_MUDH_MANYATAON_KO_UKHAD_PHENKEN_xxyyyy&amp;product_id=922")</f>
        <v>https://vicharkrantibooks.org/productdetail?book_name=HINP0357_IN_AVANCHHANIY_MUDH_MANYATAON_KO_UKHAD_PHENKEN_xxyyyy&amp;product_id=922</v>
      </c>
      <c r="CE268" s="1" t="str">
        <f ca="1">IFERROR(__xludf.DUMMYFUNCTION("""COMPUTED_VALUE"""),"Audiobook : इन अवांछनीय मूढ़-मान्यताओं को उखाड़ फेंकें : Rare Book : druma4107@gmail.com : Recorded")</f>
        <v>Audiobook : इन अवांछनीय मूढ़-मान्यताओं को उखाड़ फेंकें : Rare Book : druma4107@gmail.com : Recorded</v>
      </c>
      <c r="CF268" s="1" t="str">
        <f ca="1">IFERROR(__xludf.DUMMYFUNCTION("""COMPUTED_VALUE"""),"Audiobook : इन अवांछनीय मूढ़-मान्यताओं को उखाड़ फेंकें : Rare Book : druma4107@gmail.com : Recorded")</f>
        <v>Audiobook : इन अवांछनीय मूढ़-मान्यताओं को उखाड़ फेंकें : Rare Book : druma4107@gmail.com : Recorded</v>
      </c>
      <c r="CG268" s="1" t="str">
        <f ca="1">IFERROR(__xludf.DUMMYFUNCTION("""COMPUTED_VALUE"""),"Adarniya Dr Uma Agrawal ji इन अवांछनीय मूढ़-मान्यताओं को उखाड़ फेंकें : Rare Book : Allocated on 01-May-24 Contact Number  9410861182")</f>
        <v>Adarniya Dr Uma Agrawal ji इन अवांछनीय मूढ़-मान्यताओं को उखाड़ फेंकें : Rare Book : Allocated on 01-May-24 Contact Number  9410861182</v>
      </c>
      <c r="CH268" s="1" t="str">
        <f ca="1">IFERROR(__xludf.DUMMYFUNCTION("""COMPUTED_VALUE"""),"druma4107@gmail.com : इन अवांछनीय मूढ़-मान्यताओं को उखाड़ फेंकें : Rare Book")</f>
        <v>druma4107@gmail.com : इन अवांछनीय मूढ़-मान्यताओं को उखाड़ फेंकें : Rare Book</v>
      </c>
      <c r="CI268" s="5">
        <f ca="1">IFERROR(__xludf.DUMMYFUNCTION("""COMPUTED_VALUE"""),45413.5159250115)</f>
        <v>45413.515925011503</v>
      </c>
    </row>
    <row r="269" spans="1:87" x14ac:dyDescent="0.25">
      <c r="A269" s="5">
        <f ca="1">IFERROR(__xludf.DUMMYFUNCTION("""COMPUTED_VALUE"""),45412.9100260185)</f>
        <v>45412.910026018501</v>
      </c>
      <c r="B269" s="1" t="str">
        <f ca="1">IFERROR(__xludf.DUMMYFUNCTION("""COMPUTED_VALUE"""),"dave.chhaya@gmail.com")</f>
        <v>dave.chhaya@gmail.com</v>
      </c>
      <c r="C269" s="1" t="str">
        <f ca="1">IFERROR(__xludf.DUMMYFUNCTION("""COMPUTED_VALUE"""),"Chhaya Deepak Dave ")</f>
        <v xml:space="preserve">Chhaya Deepak Dave </v>
      </c>
      <c r="D269" s="1">
        <f ca="1">IFERROR(__xludf.DUMMYFUNCTION("""COMPUTED_VALUE"""),9879596556)</f>
        <v>9879596556</v>
      </c>
      <c r="E269" s="1" t="str">
        <f ca="1">IFERROR(__xludf.DUMMYFUNCTION("""COMPUTED_VALUE"""),"Yes")</f>
        <v>Yes</v>
      </c>
      <c r="F269" s="1" t="str">
        <f ca="1">IFERROR(__xludf.DUMMYFUNCTION("""COMPUTED_VALUE"""),"गुजराती")</f>
        <v>गुजराती</v>
      </c>
      <c r="G269" s="1" t="str">
        <f ca="1">IFERROR(__xludf.DUMMYFUNCTION("""COMPUTED_VALUE"""),"युग द्रष्टा पं. श्रीराम शर्मा आचार्यजी")</f>
        <v>युग द्रष्टा पं. श्रीराम शर्मा आचार्यजी</v>
      </c>
      <c r="H269" s="1"/>
      <c r="I269" s="1"/>
      <c r="J269" s="1"/>
      <c r="K269" s="1"/>
      <c r="L269" s="1"/>
      <c r="M269" s="1"/>
      <c r="N269" s="1"/>
      <c r="O269" s="1"/>
      <c r="P269" s="1" t="str">
        <f ca="1">IFERROR(__xludf.DUMMYFUNCTION("""COMPUTED_VALUE"""),"युगॠषी की अमृतवाणी")</f>
        <v>युगॠषी की अमृतवाणी</v>
      </c>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f ca="1">IFERROR(__xludf.DUMMYFUNCTION("""COMPUTED_VALUE"""),46)</f>
        <v>46</v>
      </c>
      <c r="BX269" s="1">
        <f ca="1">IFERROR(__xludf.DUMMYFUNCTION("""COMPUTED_VALUE"""),39)</f>
        <v>39</v>
      </c>
      <c r="BY269" s="1">
        <f ca="1">IFERROR(__xludf.DUMMYFUNCTION("""COMPUTED_VALUE"""),6)</f>
        <v>6</v>
      </c>
      <c r="BZ269" s="1">
        <f ca="1">IFERROR(__xludf.DUMMYFUNCTION("""COMPUTED_VALUE"""),16)</f>
        <v>16</v>
      </c>
      <c r="CA269" s="1"/>
      <c r="CB269" s="1"/>
      <c r="CC269" s="1" t="str">
        <f ca="1">IFERROR(__xludf.DUMMYFUNCTION("""COMPUTED_VALUE"""),"ગાયત્રી અને યજ્ઞનું દર્શન માનવમાત્ર માટે : G_JS_50")</f>
        <v>ગાયત્રી અને યજ્ઞનું દર્શન માનવમાત્ર માટે : G_JS_50</v>
      </c>
      <c r="CD269" s="1"/>
      <c r="CE269" s="1" t="str">
        <f ca="1">IFERROR(__xludf.DUMMYFUNCTION("""COMPUTED_VALUE"""),"Audiobook : ગાયત્રી અને યજ્ઞનું દર્શન માનવમાત્ર માટે : G_JS_50 : dave.chhaya@gmail.com : Recorded")</f>
        <v>Audiobook : ગાયત્રી અને યજ્ઞનું દર્શન માનવમાત્ર માટે : G_JS_50 : dave.chhaya@gmail.com : Recorded</v>
      </c>
      <c r="CF269" s="1" t="str">
        <f ca="1">IFERROR(__xludf.DUMMYFUNCTION("""COMPUTED_VALUE"""),"#N/A")</f>
        <v>#N/A</v>
      </c>
      <c r="CG269" s="1" t="str">
        <f ca="1">IFERROR(__xludf.DUMMYFUNCTION("""COMPUTED_VALUE"""),"Adarniya Chhaya Deepak Dave  ji ગાયત્રી અને યજ્ઞનું દર્શન માનવમાત્ર માટે : G_JS_50 : Allocated on 30-Apr-24 Contact Number  9879596556")</f>
        <v>Adarniya Chhaya Deepak Dave  ji ગાયત્રી અને યજ્ઞનું દર્શન માનવમાત્ર માટે : G_JS_50 : Allocated on 30-Apr-24 Contact Number  9879596556</v>
      </c>
      <c r="CH269" s="1" t="str">
        <f ca="1">IFERROR(__xludf.DUMMYFUNCTION("""COMPUTED_VALUE"""),"dave.chhaya@gmail.com : ગાયત્રી અને યજ્ઞનું દર્શન માનવમાત્ર માટે : G_JS_50")</f>
        <v>dave.chhaya@gmail.com : ગાયત્રી અને યજ્ઞનું દર્શન માનવમાત્ર માટે : G_JS_50</v>
      </c>
      <c r="CI269" s="5">
        <f ca="1">IFERROR(__xludf.DUMMYFUNCTION("""COMPUTED_VALUE"""),45412.9100260185)</f>
        <v>45412.910026018501</v>
      </c>
    </row>
    <row r="270" spans="1:87" x14ac:dyDescent="0.25">
      <c r="A270" s="5">
        <f ca="1">IFERROR(__xludf.DUMMYFUNCTION("""COMPUTED_VALUE"""),45412.7973693171)</f>
        <v>45412.797369317101</v>
      </c>
      <c r="B270" s="1" t="str">
        <f ca="1">IFERROR(__xludf.DUMMYFUNCTION("""COMPUTED_VALUE"""),"spmittalmumbai@gmail.com")</f>
        <v>spmittalmumbai@gmail.com</v>
      </c>
      <c r="C270" s="1" t="str">
        <f ca="1">IFERROR(__xludf.DUMMYFUNCTION("""COMPUTED_VALUE"""),"SPMlttal ")</f>
        <v xml:space="preserve">SPMlttal </v>
      </c>
      <c r="D270" s="1">
        <f ca="1">IFERROR(__xludf.DUMMYFUNCTION("""COMPUTED_VALUE"""),9860003407)</f>
        <v>9860003407</v>
      </c>
      <c r="E270" s="1" t="str">
        <f ca="1">IFERROR(__xludf.DUMMYFUNCTION("""COMPUTED_VALUE"""),"Yes")</f>
        <v>Yes</v>
      </c>
      <c r="F270" s="1" t="str">
        <f ca="1">IFERROR(__xludf.DUMMYFUNCTION("""COMPUTED_VALUE"""),"हिन्दी")</f>
        <v>हिन्दी</v>
      </c>
      <c r="G270" s="1" t="str">
        <f ca="1">IFERROR(__xludf.DUMMYFUNCTION("""COMPUTED_VALUE"""),"जीवन प्रबंध")</f>
        <v>जीवन प्रबंध</v>
      </c>
      <c r="H270" s="1"/>
      <c r="I270" s="1"/>
      <c r="J270" s="1"/>
      <c r="K270" s="1"/>
      <c r="L270" s="1" t="str">
        <f ca="1">IFERROR(__xludf.DUMMYFUNCTION("""COMPUTED_VALUE"""),"मन की शक्ति एवं मनोविज्ञान")</f>
        <v>मन की शक्ति एवं मनोविज्ञान</v>
      </c>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f ca="1">IFERROR(__xludf.DUMMYFUNCTION("""COMPUTED_VALUE"""),39)</f>
        <v>39</v>
      </c>
      <c r="BX270" s="1">
        <f ca="1">IFERROR(__xludf.DUMMYFUNCTION("""COMPUTED_VALUE"""),32)</f>
        <v>32</v>
      </c>
      <c r="BY270" s="1">
        <f ca="1">IFERROR(__xludf.DUMMYFUNCTION("""COMPUTED_VALUE"""),11)</f>
        <v>11</v>
      </c>
      <c r="BZ270" s="1">
        <f ca="1">IFERROR(__xludf.DUMMYFUNCTION("""COMPUTED_VALUE"""),23)</f>
        <v>23</v>
      </c>
      <c r="CA270" s="1"/>
      <c r="CB270" s="1"/>
      <c r="CC270" s="1" t="str">
        <f ca="1">IFERROR(__xludf.DUMMYFUNCTION("""COMPUTED_VALUE"""),"प्रेम भावना मानव जीवन की सर्वोपरि शक्ति : Rare Book")</f>
        <v>प्रेम भावना मानव जीवन की सर्वोपरि शक्ति : Rare Book</v>
      </c>
      <c r="CD270" s="3" t="str">
        <f ca="1">IFERROR(__xludf.DUMMYFUNCTION("""COMPUTED_VALUE"""),"https://vicharkrantibooks.org/productdetail?book_name=HINP0688_PREM_BHAVANA_MANAV_JIVAN_KI_SARVOPARI_SHAKTI_xx1981&amp;product_id=1253")</f>
        <v>https://vicharkrantibooks.org/productdetail?book_name=HINP0688_PREM_BHAVANA_MANAV_JIVAN_KI_SARVOPARI_SHAKTI_xx1981&amp;product_id=1253</v>
      </c>
      <c r="CE270" s="1" t="str">
        <f ca="1">IFERROR(__xludf.DUMMYFUNCTION("""COMPUTED_VALUE"""),"Audiobook : प्रेम भावना मानव जीवन की सर्वोपरि शक्ति : Rare Book : spmittalmumbai@gmail.com : Recorded")</f>
        <v>Audiobook : प्रेम भावना मानव जीवन की सर्वोपरि शक्ति : Rare Book : spmittalmumbai@gmail.com : Recorded</v>
      </c>
      <c r="CF270" s="1" t="str">
        <f ca="1">IFERROR(__xludf.DUMMYFUNCTION("""COMPUTED_VALUE"""),"Audiobook : प्रेम भावना मानव जीवन की सर्वोपरि शक्ति : Rare Book : spmittalmumbai@gmail.com : Recorded")</f>
        <v>Audiobook : प्रेम भावना मानव जीवन की सर्वोपरि शक्ति : Rare Book : spmittalmumbai@gmail.com : Recorded</v>
      </c>
      <c r="CG270" s="1" t="str">
        <f ca="1">IFERROR(__xludf.DUMMYFUNCTION("""COMPUTED_VALUE"""),"Adarniya SPMlttal  ji प्रेम भावना मानव जीवन की सर्वोपरि शक्ति : Rare Book : Allocated on 30-Apr-24 Contact Number  9860003407")</f>
        <v>Adarniya SPMlttal  ji प्रेम भावना मानव जीवन की सर्वोपरि शक्ति : Rare Book : Allocated on 30-Apr-24 Contact Number  9860003407</v>
      </c>
      <c r="CH270" s="1" t="str">
        <f ca="1">IFERROR(__xludf.DUMMYFUNCTION("""COMPUTED_VALUE"""),"spmittalmumbai@gmail.com : प्रेम भावना मानव जीवन की सर्वोपरि शक्ति : Rare Book")</f>
        <v>spmittalmumbai@gmail.com : प्रेम भावना मानव जीवन की सर्वोपरि शक्ति : Rare Book</v>
      </c>
      <c r="CI270" s="5">
        <f ca="1">IFERROR(__xludf.DUMMYFUNCTION("""COMPUTED_VALUE"""),45412.7973693171)</f>
        <v>45412.797369317101</v>
      </c>
    </row>
    <row r="271" spans="1:87" x14ac:dyDescent="0.25">
      <c r="A271" s="5">
        <f ca="1">IFERROR(__xludf.DUMMYFUNCTION("""COMPUTED_VALUE"""),45412.6379749537)</f>
        <v>45412.637974953701</v>
      </c>
      <c r="B271" s="1" t="str">
        <f ca="1">IFERROR(__xludf.DUMMYFUNCTION("""COMPUTED_VALUE"""),"vandana15rastogi@gmail.com")</f>
        <v>vandana15rastogi@gmail.com</v>
      </c>
      <c r="C271" s="1" t="str">
        <f ca="1">IFERROR(__xludf.DUMMYFUNCTION("""COMPUTED_VALUE"""),"Vandana Rastogi")</f>
        <v>Vandana Rastogi</v>
      </c>
      <c r="D271" s="1">
        <f ca="1">IFERROR(__xludf.DUMMYFUNCTION("""COMPUTED_VALUE"""),9359528684)</f>
        <v>9359528684</v>
      </c>
      <c r="E271" s="1" t="str">
        <f ca="1">IFERROR(__xludf.DUMMYFUNCTION("""COMPUTED_VALUE"""),"Yes")</f>
        <v>Yes</v>
      </c>
      <c r="F271" s="1" t="str">
        <f ca="1">IFERROR(__xludf.DUMMYFUNCTION("""COMPUTED_VALUE"""),"हिन्दी")</f>
        <v>हिन्दी</v>
      </c>
      <c r="G271" s="1" t="str">
        <f ca="1">IFERROR(__xludf.DUMMYFUNCTION("""COMPUTED_VALUE"""),"भारतीय संस्कृति")</f>
        <v>भारतीय संस्कृति</v>
      </c>
      <c r="H271" s="1"/>
      <c r="I271" s="1"/>
      <c r="J271" s="1"/>
      <c r="K271" s="1"/>
      <c r="L271" s="1"/>
      <c r="M271" s="1"/>
      <c r="N271" s="1"/>
      <c r="O271" s="1" t="str">
        <f ca="1">IFERROR(__xludf.DUMMYFUNCTION("""COMPUTED_VALUE"""),"योग एवं ध्यान")</f>
        <v>योग एवं ध्यान</v>
      </c>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f ca="1">IFERROR(__xludf.DUMMYFUNCTION("""COMPUTED_VALUE"""),33)</f>
        <v>33</v>
      </c>
      <c r="BX271" s="1">
        <f ca="1">IFERROR(__xludf.DUMMYFUNCTION("""COMPUTED_VALUE"""),19)</f>
        <v>19</v>
      </c>
      <c r="BY271" s="1">
        <f ca="1">IFERROR(__xludf.DUMMYFUNCTION("""COMPUTED_VALUE"""),17)</f>
        <v>17</v>
      </c>
      <c r="BZ271" s="1">
        <f ca="1">IFERROR(__xludf.DUMMYFUNCTION("""COMPUTED_VALUE"""),14)</f>
        <v>14</v>
      </c>
      <c r="CA271" s="1"/>
      <c r="CB271" s="1"/>
      <c r="CC271" s="1" t="str">
        <f ca="1">IFERROR(__xludf.DUMMYFUNCTION("""COMPUTED_VALUE"""),"गायत्री महाशक्ति द्वारा युगपरिवर्तन का आश्वासन : Rare Book")</f>
        <v>गायत्री महाशक्ति द्वारा युगपरिवर्तन का आश्वासन : Rare Book</v>
      </c>
      <c r="CD271" s="3" t="str">
        <f ca="1">IFERROR(__xludf.DUMMYFUNCTION("""COMPUTED_VALUE"""),"https://vicharkrantibooks.org/productdetail?book_name=HINP0283_GAYATRI_MAHASHAKTI_DVARA_YUG_PARIVARTAN_KA_ASHVASAN_xx1982&amp;product_id=848")</f>
        <v>https://vicharkrantibooks.org/productdetail?book_name=HINP0283_GAYATRI_MAHASHAKTI_DVARA_YUG_PARIVARTAN_KA_ASHVASAN_xx1982&amp;product_id=848</v>
      </c>
      <c r="CE271" s="1" t="str">
        <f ca="1">IFERROR(__xludf.DUMMYFUNCTION("""COMPUTED_VALUE"""),"Audiobook : गायत्री महाशक्ति द्वारा युगपरिवर्तन का आश्वासन : Rare Book : vandana15rastogi@gmail.com : Recorded")</f>
        <v>Audiobook : गायत्री महाशक्ति द्वारा युगपरिवर्तन का आश्वासन : Rare Book : vandana15rastogi@gmail.com : Recorded</v>
      </c>
      <c r="CF271" s="1" t="str">
        <f ca="1">IFERROR(__xludf.DUMMYFUNCTION("""COMPUTED_VALUE"""),"Audiobook : गायत्री महाशक्ति द्वारा युगपरिवर्तन का आश्वासन : Rare Book : vandana15rastogi@gmail.com : Recorded")</f>
        <v>Audiobook : गायत्री महाशक्ति द्वारा युगपरिवर्तन का आश्वासन : Rare Book : vandana15rastogi@gmail.com : Recorded</v>
      </c>
      <c r="CG271" s="1" t="str">
        <f ca="1">IFERROR(__xludf.DUMMYFUNCTION("""COMPUTED_VALUE"""),"Adarniya Vandana Rastogi ji गायत्री महाशक्ति द्वारा युगपरिवर्तन का आश्वासन : Rare Book : Allocated on 30-Apr-24 Contact Number  9359528684")</f>
        <v>Adarniya Vandana Rastogi ji गायत्री महाशक्ति द्वारा युगपरिवर्तन का आश्वासन : Rare Book : Allocated on 30-Apr-24 Contact Number  9359528684</v>
      </c>
      <c r="CH271" s="1" t="str">
        <f ca="1">IFERROR(__xludf.DUMMYFUNCTION("""COMPUTED_VALUE"""),"vandana15rastogi@gmail.com : गायत्री महाशक्ति द्वारा युगपरिवर्तन का आश्वासन : Rare Book")</f>
        <v>vandana15rastogi@gmail.com : गायत्री महाशक्ति द्वारा युगपरिवर्तन का आश्वासन : Rare Book</v>
      </c>
      <c r="CI271" s="5">
        <f ca="1">IFERROR(__xludf.DUMMYFUNCTION("""COMPUTED_VALUE"""),45412.6379749537)</f>
        <v>45412.637974953701</v>
      </c>
    </row>
    <row r="272" spans="1:87" x14ac:dyDescent="0.25">
      <c r="A272" s="5">
        <f ca="1">IFERROR(__xludf.DUMMYFUNCTION("""COMPUTED_VALUE"""),45411.7950836805)</f>
        <v>45411.795083680503</v>
      </c>
      <c r="B272" s="1" t="str">
        <f ca="1">IFERROR(__xludf.DUMMYFUNCTION("""COMPUTED_VALUE"""),"dave.chhaya@gmail.com")</f>
        <v>dave.chhaya@gmail.com</v>
      </c>
      <c r="C272" s="1" t="str">
        <f ca="1">IFERROR(__xludf.DUMMYFUNCTION("""COMPUTED_VALUE"""),"Chhaya Deepak Dave ")</f>
        <v xml:space="preserve">Chhaya Deepak Dave </v>
      </c>
      <c r="D272" s="1">
        <f ca="1">IFERROR(__xludf.DUMMYFUNCTION("""COMPUTED_VALUE"""),9879596556)</f>
        <v>9879596556</v>
      </c>
      <c r="E272" s="1" t="str">
        <f ca="1">IFERROR(__xludf.DUMMYFUNCTION("""COMPUTED_VALUE"""),"Yes")</f>
        <v>Yes</v>
      </c>
      <c r="F272" s="1" t="str">
        <f ca="1">IFERROR(__xludf.DUMMYFUNCTION("""COMPUTED_VALUE"""),"गुजराती")</f>
        <v>गुजराती</v>
      </c>
      <c r="G272" s="1" t="str">
        <f ca="1">IFERROR(__xludf.DUMMYFUNCTION("""COMPUTED_VALUE"""),"युग द्रष्टा पं. श्रीराम शर्मा आचार्यजी")</f>
        <v>युग द्रष्टा पं. श्रीराम शर्मा आचार्यजी</v>
      </c>
      <c r="H272" s="1"/>
      <c r="I272" s="1"/>
      <c r="J272" s="1"/>
      <c r="K272" s="1"/>
      <c r="L272" s="1"/>
      <c r="M272" s="1"/>
      <c r="N272" s="1"/>
      <c r="O272" s="1"/>
      <c r="P272" s="1" t="str">
        <f ca="1">IFERROR(__xludf.DUMMYFUNCTION("""COMPUTED_VALUE"""),"युगॠषी की अमृतवाणी")</f>
        <v>युगॠषी की अमृतवाणी</v>
      </c>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f ca="1">IFERROR(__xludf.DUMMYFUNCTION("""COMPUTED_VALUE"""),46)</f>
        <v>46</v>
      </c>
      <c r="BX272" s="1">
        <f ca="1">IFERROR(__xludf.DUMMYFUNCTION("""COMPUTED_VALUE"""),39)</f>
        <v>39</v>
      </c>
      <c r="BY272" s="1">
        <f ca="1">IFERROR(__xludf.DUMMYFUNCTION("""COMPUTED_VALUE"""),6)</f>
        <v>6</v>
      </c>
      <c r="BZ272" s="1">
        <f ca="1">IFERROR(__xludf.DUMMYFUNCTION("""COMPUTED_VALUE"""),16)</f>
        <v>16</v>
      </c>
      <c r="CA272" s="1"/>
      <c r="CB272" s="1"/>
      <c r="CC272" s="1" t="str">
        <f ca="1">IFERROR(__xludf.DUMMYFUNCTION("""COMPUTED_VALUE"""),"અમે ઈમાન શીખવાડીએ છીએ : G_JS_46")</f>
        <v>અમે ઈમાન શીખવાડીએ છીએ : G_JS_46</v>
      </c>
      <c r="CD272" s="3" t="str">
        <f ca="1">IFERROR(__xludf.DUMMYFUNCTION("""COMPUTED_VALUE"""),"https://vicharkrantibooks.org/productdetail?product_id=3771")</f>
        <v>https://vicharkrantibooks.org/productdetail?product_id=3771</v>
      </c>
      <c r="CE272" s="1" t="str">
        <f ca="1">IFERROR(__xludf.DUMMYFUNCTION("""COMPUTED_VALUE"""),"Audiobook : અમે ઈમાન શીખવાડીએ છીએ : G_JS_46 : dave.chhaya@gmail.com : Recorded")</f>
        <v>Audiobook : અમે ઈમાન શીખવાડીએ છીએ : G_JS_46 : dave.chhaya@gmail.com : Recorded</v>
      </c>
      <c r="CF272" s="1" t="str">
        <f ca="1">IFERROR(__xludf.DUMMYFUNCTION("""COMPUTED_VALUE"""),"Audiobook : અમે ઈમાન શીખવાડીએ છીએ : G_JS_46 : dave.chhaya@gmail.com : Recorded")</f>
        <v>Audiobook : અમે ઈમાન શીખવાડીએ છીએ : G_JS_46 : dave.chhaya@gmail.com : Recorded</v>
      </c>
      <c r="CG272" s="1" t="str">
        <f ca="1">IFERROR(__xludf.DUMMYFUNCTION("""COMPUTED_VALUE"""),"Adarniya Chhaya Deepak Dave  ji અમે ઈમાન શીખવાડીએ છીએ : G_JS_46 : Allocated on 29-Apr-24 Contact Number  9879596556")</f>
        <v>Adarniya Chhaya Deepak Dave  ji અમે ઈમાન શીખવાડીએ છીએ : G_JS_46 : Allocated on 29-Apr-24 Contact Number  9879596556</v>
      </c>
      <c r="CH272" s="1" t="str">
        <f ca="1">IFERROR(__xludf.DUMMYFUNCTION("""COMPUTED_VALUE"""),"dave.chhaya@gmail.com : અમે ઈમાન શીખવાડીએ છીએ : G_JS_46")</f>
        <v>dave.chhaya@gmail.com : અમે ઈમાન શીખવાડીએ છીએ : G_JS_46</v>
      </c>
      <c r="CI272" s="5">
        <f ca="1">IFERROR(__xludf.DUMMYFUNCTION("""COMPUTED_VALUE"""),45411.7950836805)</f>
        <v>45411.795083680503</v>
      </c>
    </row>
    <row r="273" spans="1:87" x14ac:dyDescent="0.25">
      <c r="A273" s="5">
        <f ca="1">IFERROR(__xludf.DUMMYFUNCTION("""COMPUTED_VALUE"""),45411.6500689236)</f>
        <v>45411.650068923598</v>
      </c>
      <c r="B273" s="1" t="str">
        <f ca="1">IFERROR(__xludf.DUMMYFUNCTION("""COMPUTED_VALUE"""),"manjusrivastava349@gmail.com")</f>
        <v>manjusrivastava349@gmail.com</v>
      </c>
      <c r="C273" s="1" t="str">
        <f ca="1">IFERROR(__xludf.DUMMYFUNCTION("""COMPUTED_VALUE"""),"Manju srivastava")</f>
        <v>Manju srivastava</v>
      </c>
      <c r="D273" s="1">
        <f ca="1">IFERROR(__xludf.DUMMYFUNCTION("""COMPUTED_VALUE"""),9450345667)</f>
        <v>9450345667</v>
      </c>
      <c r="E273" s="1" t="str">
        <f ca="1">IFERROR(__xludf.DUMMYFUNCTION("""COMPUTED_VALUE"""),"Yes")</f>
        <v>Yes</v>
      </c>
      <c r="F273" s="1" t="str">
        <f ca="1">IFERROR(__xludf.DUMMYFUNCTION("""COMPUTED_VALUE"""),"हिन्दी")</f>
        <v>हिन्दी</v>
      </c>
      <c r="G273" s="1" t="str">
        <f ca="1">IFERROR(__xludf.DUMMYFUNCTION("""COMPUTED_VALUE"""),"युग द्रष्टा पं. श्रीराम शर्मा आचार्यजी")</f>
        <v>युग द्रष्टा पं. श्रीराम शर्मा आचार्यजी</v>
      </c>
      <c r="H273" s="1"/>
      <c r="I273" s="1"/>
      <c r="J273" s="1"/>
      <c r="K273" s="1"/>
      <c r="L273" s="1"/>
      <c r="M273" s="1"/>
      <c r="N273" s="1"/>
      <c r="O273" s="1"/>
      <c r="P273" s="1" t="str">
        <f ca="1">IFERROR(__xludf.DUMMYFUNCTION("""COMPUTED_VALUE"""),"युगॠषी की अमृतवाणी")</f>
        <v>युगॠषी की अमृतवाणी</v>
      </c>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f ca="1">IFERROR(__xludf.DUMMYFUNCTION("""COMPUTED_VALUE"""),10)</f>
        <v>10</v>
      </c>
      <c r="BX273" s="1">
        <f ca="1">IFERROR(__xludf.DUMMYFUNCTION("""COMPUTED_VALUE"""),12)</f>
        <v>12</v>
      </c>
      <c r="BY273" s="1">
        <f ca="1">IFERROR(__xludf.DUMMYFUNCTION("""COMPUTED_VALUE"""),0)</f>
        <v>0</v>
      </c>
      <c r="BZ273" s="1">
        <f ca="1">IFERROR(__xludf.DUMMYFUNCTION("""COMPUTED_VALUE"""),2)</f>
        <v>2</v>
      </c>
      <c r="CA273" s="1"/>
      <c r="CB273" s="1"/>
      <c r="CC273" s="1" t="str">
        <f ca="1">IFERROR(__xludf.DUMMYFUNCTION("""COMPUTED_VALUE"""),"प्रसन्नता एवं प्रफुल्लता की कुँजी : Rare Book")</f>
        <v>प्रसन्नता एवं प्रफुल्लता की कुँजी : Rare Book</v>
      </c>
      <c r="CD273" s="3" t="str">
        <f ca="1">IFERROR(__xludf.DUMMYFUNCTION("""COMPUTED_VALUE"""),"https://vicharkrantibooks.org/productdetail?book_name=HINP1080_PRASANNATA_EVAM_PRAPHULLATA_KI_KUNJI_xx1982&amp;product_id=1645")</f>
        <v>https://vicharkrantibooks.org/productdetail?book_name=HINP1080_PRASANNATA_EVAM_PRAPHULLATA_KI_KUNJI_xx1982&amp;product_id=1645</v>
      </c>
      <c r="CE273" s="1" t="str">
        <f ca="1">IFERROR(__xludf.DUMMYFUNCTION("""COMPUTED_VALUE"""),"Audiobook : प्रसन्नता एवं प्रफुल्लता की कुँजी : Rare Book : manjusrivastava349@gmail.com : Recorded")</f>
        <v>Audiobook : प्रसन्नता एवं प्रफुल्लता की कुँजी : Rare Book : manjusrivastava349@gmail.com : Recorded</v>
      </c>
      <c r="CF273" s="1" t="str">
        <f ca="1">IFERROR(__xludf.DUMMYFUNCTION("""COMPUTED_VALUE"""),"Audiobook : प्रसन्नता एवं प्रफुल्लता की कुँजी : Rare Book : manjusrivastava349@gmail.com : Recorded")</f>
        <v>Audiobook : प्रसन्नता एवं प्रफुल्लता की कुँजी : Rare Book : manjusrivastava349@gmail.com : Recorded</v>
      </c>
      <c r="CG273" s="1" t="str">
        <f ca="1">IFERROR(__xludf.DUMMYFUNCTION("""COMPUTED_VALUE"""),"Adarniya Manju srivastava ji प्रसन्नता एवं प्रफुल्लता की कुँजी : Rare Book : Allocated on 29-Apr-24 Contact Number  9450345667")</f>
        <v>Adarniya Manju srivastava ji प्रसन्नता एवं प्रफुल्लता की कुँजी : Rare Book : Allocated on 29-Apr-24 Contact Number  9450345667</v>
      </c>
      <c r="CH273" s="1" t="str">
        <f ca="1">IFERROR(__xludf.DUMMYFUNCTION("""COMPUTED_VALUE"""),"manjusrivastava349@gmail.com : प्रसन्नता एवं प्रफुल्लता की कुँजी : Rare Book")</f>
        <v>manjusrivastava349@gmail.com : प्रसन्नता एवं प्रफुल्लता की कुँजी : Rare Book</v>
      </c>
      <c r="CI273" s="5">
        <f ca="1">IFERROR(__xludf.DUMMYFUNCTION("""COMPUTED_VALUE"""),45411.6500689236)</f>
        <v>45411.650068923598</v>
      </c>
    </row>
    <row r="274" spans="1:87" x14ac:dyDescent="0.25">
      <c r="A274" s="5">
        <f ca="1">IFERROR(__xludf.DUMMYFUNCTION("""COMPUTED_VALUE"""),45411.3270280787)</f>
        <v>45411.327028078696</v>
      </c>
      <c r="B274" s="1" t="str">
        <f ca="1">IFERROR(__xludf.DUMMYFUNCTION("""COMPUTED_VALUE"""),"30rakhi@gmail.com")</f>
        <v>30rakhi@gmail.com</v>
      </c>
      <c r="C274" s="1" t="str">
        <f ca="1">IFERROR(__xludf.DUMMYFUNCTION("""COMPUTED_VALUE"""),"Rakhi Ahuja")</f>
        <v>Rakhi Ahuja</v>
      </c>
      <c r="D274" s="1">
        <f ca="1">IFERROR(__xludf.DUMMYFUNCTION("""COMPUTED_VALUE"""),9760726888)</f>
        <v>9760726888</v>
      </c>
      <c r="E274" s="1" t="str">
        <f ca="1">IFERROR(__xludf.DUMMYFUNCTION("""COMPUTED_VALUE"""),"Yes")</f>
        <v>Yes</v>
      </c>
      <c r="F274" s="1" t="str">
        <f ca="1">IFERROR(__xludf.DUMMYFUNCTION("""COMPUTED_VALUE"""),"हिन्दी")</f>
        <v>हिन्दी</v>
      </c>
      <c r="G274" s="1" t="str">
        <f ca="1">IFERROR(__xludf.DUMMYFUNCTION("""COMPUTED_VALUE"""),"परिवार निर्माण")</f>
        <v>परिवार निर्माण</v>
      </c>
      <c r="H274" s="1"/>
      <c r="I274" s="1"/>
      <c r="J274" s="1"/>
      <c r="K274" s="1"/>
      <c r="L274" s="1"/>
      <c r="M274" s="1" t="str">
        <f ca="1">IFERROR(__xludf.DUMMYFUNCTION("""COMPUTED_VALUE"""),"बाल मनोविज्ञान")</f>
        <v>बाल मनोविज्ञान</v>
      </c>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f ca="1">IFERROR(__xludf.DUMMYFUNCTION("""COMPUTED_VALUE"""),4)</f>
        <v>4</v>
      </c>
      <c r="BX274" s="1">
        <f ca="1">IFERROR(__xludf.DUMMYFUNCTION("""COMPUTED_VALUE"""),2)</f>
        <v>2</v>
      </c>
      <c r="BY274" s="1">
        <f ca="1">IFERROR(__xludf.DUMMYFUNCTION("""COMPUTED_VALUE"""),2)</f>
        <v>2</v>
      </c>
      <c r="BZ274" s="1">
        <f ca="1">IFERROR(__xludf.DUMMYFUNCTION("""COMPUTED_VALUE"""),1)</f>
        <v>1</v>
      </c>
      <c r="CA274" s="1"/>
      <c r="CB274" s="1"/>
      <c r="CC274" s="1" t="str">
        <f ca="1">IFERROR(__xludf.DUMMYFUNCTION("""COMPUTED_VALUE"""),"सुसंस्कारिता का दर्शन सुव्यवस्थित परिवार से : Rare Book")</f>
        <v>सुसंस्कारिता का दर्शन सुव्यवस्थित परिवार से : Rare Book</v>
      </c>
      <c r="CD274" s="3" t="str">
        <f ca="1">IFERROR(__xludf.DUMMYFUNCTION("""COMPUTED_VALUE"""),"https://vicharkrantibooks.org/productdetail?book_name=HINP0877_SUSANSKARITA_KA_DARSHAN_SUVYAVASTHIT_PARIWAR_SE_xx1982&amp;product_id=1442")</f>
        <v>https://vicharkrantibooks.org/productdetail?book_name=HINP0877_SUSANSKARITA_KA_DARSHAN_SUVYAVASTHIT_PARIWAR_SE_xx1982&amp;product_id=1442</v>
      </c>
      <c r="CE274" s="1" t="str">
        <f ca="1">IFERROR(__xludf.DUMMYFUNCTION("""COMPUTED_VALUE"""),"Audiobook : सुसंस्कारिता का दर्शन सुव्यवस्थित परिवार से : Rare Book : 30rakhi@gmail.com : Recorded")</f>
        <v>Audiobook : सुसंस्कारिता का दर्शन सुव्यवस्थित परिवार से : Rare Book : 30rakhi@gmail.com : Recorded</v>
      </c>
      <c r="CF274" s="1" t="str">
        <f ca="1">IFERROR(__xludf.DUMMYFUNCTION("""COMPUTED_VALUE"""),"#N/A")</f>
        <v>#N/A</v>
      </c>
      <c r="CG274" s="1" t="str">
        <f ca="1">IFERROR(__xludf.DUMMYFUNCTION("""COMPUTED_VALUE"""),"Adarniya Rakhi Ahuja ji सुसंस्कारिता का दर्शन सुव्यवस्थित परिवार से : Rare Book : Allocated on 29-Apr-24 Contact Number  9760726888")</f>
        <v>Adarniya Rakhi Ahuja ji सुसंस्कारिता का दर्शन सुव्यवस्थित परिवार से : Rare Book : Allocated on 29-Apr-24 Contact Number  9760726888</v>
      </c>
      <c r="CH274" s="1" t="str">
        <f ca="1">IFERROR(__xludf.DUMMYFUNCTION("""COMPUTED_VALUE"""),"30rakhi@gmail.com : सुसंस्कारिता का दर्शन सुव्यवस्थित परिवार से : Rare Book")</f>
        <v>30rakhi@gmail.com : सुसंस्कारिता का दर्शन सुव्यवस्थित परिवार से : Rare Book</v>
      </c>
      <c r="CI274" s="5">
        <f ca="1">IFERROR(__xludf.DUMMYFUNCTION("""COMPUTED_VALUE"""),45411.3270280787)</f>
        <v>45411.327028078696</v>
      </c>
    </row>
    <row r="275" spans="1:87" x14ac:dyDescent="0.25">
      <c r="A275" s="5">
        <f ca="1">IFERROR(__xludf.DUMMYFUNCTION("""COMPUTED_VALUE"""),45410.5941707754)</f>
        <v>45410.594170775403</v>
      </c>
      <c r="B275" s="1" t="str">
        <f ca="1">IFERROR(__xludf.DUMMYFUNCTION("""COMPUTED_VALUE"""),"suryakriti18@gmail.com")</f>
        <v>suryakriti18@gmail.com</v>
      </c>
      <c r="C275" s="1" t="str">
        <f ca="1">IFERROR(__xludf.DUMMYFUNCTION("""COMPUTED_VALUE"""),"Sanjeev kumar")</f>
        <v>Sanjeev kumar</v>
      </c>
      <c r="D275" s="1">
        <f ca="1">IFERROR(__xludf.DUMMYFUNCTION("""COMPUTED_VALUE"""),9873714108)</f>
        <v>9873714108</v>
      </c>
      <c r="E275" s="1" t="str">
        <f ca="1">IFERROR(__xludf.DUMMYFUNCTION("""COMPUTED_VALUE"""),"Yes")</f>
        <v>Yes</v>
      </c>
      <c r="F275" s="1" t="str">
        <f ca="1">IFERROR(__xludf.DUMMYFUNCTION("""COMPUTED_VALUE"""),"हिन्दी")</f>
        <v>हिन्दी</v>
      </c>
      <c r="G275" s="1" t="str">
        <f ca="1">IFERROR(__xludf.DUMMYFUNCTION("""COMPUTED_VALUE"""),"युग द्रष्टा पं. श्रीराम शर्मा आचार्यजी")</f>
        <v>युग द्रष्टा पं. श्रीराम शर्मा आचार्यजी</v>
      </c>
      <c r="H275" s="1"/>
      <c r="I275" s="1"/>
      <c r="J275" s="1"/>
      <c r="K275" s="1"/>
      <c r="L275" s="1"/>
      <c r="M275" s="1"/>
      <c r="N275" s="1"/>
      <c r="O275" s="1"/>
      <c r="P275" s="1" t="str">
        <f ca="1">IFERROR(__xludf.DUMMYFUNCTION("""COMPUTED_VALUE"""),"युगॠषी का जीवनदर्शन")</f>
        <v>युगॠषी का जीवनदर्शन</v>
      </c>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f ca="1">IFERROR(__xludf.DUMMYFUNCTION("""COMPUTED_VALUE"""),4)</f>
        <v>4</v>
      </c>
      <c r="BX275" s="1">
        <f ca="1">IFERROR(__xludf.DUMMYFUNCTION("""COMPUTED_VALUE"""),1)</f>
        <v>1</v>
      </c>
      <c r="BY275" s="1">
        <f ca="1">IFERROR(__xludf.DUMMYFUNCTION("""COMPUTED_VALUE"""),3)</f>
        <v>3</v>
      </c>
      <c r="BZ275" s="1">
        <f ca="1">IFERROR(__xludf.DUMMYFUNCTION("""COMPUTED_VALUE"""),0)</f>
        <v>0</v>
      </c>
      <c r="CA275" s="1"/>
      <c r="CB275" s="1"/>
      <c r="CC275" s="1" t="str">
        <f ca="1">IFERROR(__xludf.DUMMYFUNCTION("""COMPUTED_VALUE"""),"भाव के भूखे हैं भगवान : Rare Book")</f>
        <v>भाव के भूखे हैं भगवान : Rare Book</v>
      </c>
      <c r="CD275" s="3" t="str">
        <f ca="1">IFERROR(__xludf.DUMMYFUNCTION("""COMPUTED_VALUE"""),"https://vicharkrantibooks.org/productdetail?book_name=HINP0155_BHAV_KE_BHUKHE_HAIN_BHAGAVAN_xx1981&amp;product_id=720")</f>
        <v>https://vicharkrantibooks.org/productdetail?book_name=HINP0155_BHAV_KE_BHUKHE_HAIN_BHAGAVAN_xx1981&amp;product_id=720</v>
      </c>
      <c r="CE275" s="1" t="str">
        <f ca="1">IFERROR(__xludf.DUMMYFUNCTION("""COMPUTED_VALUE"""),"Audiobook : भाव के भूखे हैं भगवान : Rare Book : suryakriti18@gmail.com : Recorded")</f>
        <v>Audiobook : भाव के भूखे हैं भगवान : Rare Book : suryakriti18@gmail.com : Recorded</v>
      </c>
      <c r="CF275" s="1" t="str">
        <f ca="1">IFERROR(__xludf.DUMMYFUNCTION("""COMPUTED_VALUE"""),"#N/A")</f>
        <v>#N/A</v>
      </c>
      <c r="CG275" s="1" t="str">
        <f ca="1">IFERROR(__xludf.DUMMYFUNCTION("""COMPUTED_VALUE"""),"Adarniya Sanjeev kumar ji भाव के भूखे हैं भगवान : Rare Book : Allocated on 28-Apr-24 Contact Number  9873714108")</f>
        <v>Adarniya Sanjeev kumar ji भाव के भूखे हैं भगवान : Rare Book : Allocated on 28-Apr-24 Contact Number  9873714108</v>
      </c>
      <c r="CH275" s="1" t="str">
        <f ca="1">IFERROR(__xludf.DUMMYFUNCTION("""COMPUTED_VALUE"""),"suryakriti18@gmail.com : भाव के भूखे हैं भगवान : Rare Book")</f>
        <v>suryakriti18@gmail.com : भाव के भूखे हैं भगवान : Rare Book</v>
      </c>
      <c r="CI275" s="5">
        <f ca="1">IFERROR(__xludf.DUMMYFUNCTION("""COMPUTED_VALUE"""),45410.5941707754)</f>
        <v>45410.594170775403</v>
      </c>
    </row>
    <row r="276" spans="1:87" x14ac:dyDescent="0.25">
      <c r="A276" s="5">
        <f ca="1">IFERROR(__xludf.DUMMYFUNCTION("""COMPUTED_VALUE"""),45410.509338368)</f>
        <v>45410.509338368</v>
      </c>
      <c r="B276" s="1" t="str">
        <f ca="1">IFERROR(__xludf.DUMMYFUNCTION("""COMPUTED_VALUE"""),"kalagpatel1959@gmail.com")</f>
        <v>kalagpatel1959@gmail.com</v>
      </c>
      <c r="C276" s="1" t="str">
        <f ca="1">IFERROR(__xludf.DUMMYFUNCTION("""COMPUTED_VALUE"""),"Kala Patel ")</f>
        <v xml:space="preserve">Kala Patel </v>
      </c>
      <c r="D276" s="1">
        <f ca="1">IFERROR(__xludf.DUMMYFUNCTION("""COMPUTED_VALUE"""),9016250929)</f>
        <v>9016250929</v>
      </c>
      <c r="E276" s="1" t="str">
        <f ca="1">IFERROR(__xludf.DUMMYFUNCTION("""COMPUTED_VALUE"""),"Yes")</f>
        <v>Yes</v>
      </c>
      <c r="F276" s="1" t="str">
        <f ca="1">IFERROR(__xludf.DUMMYFUNCTION("""COMPUTED_VALUE"""),"गुजराती")</f>
        <v>गुजराती</v>
      </c>
      <c r="G276" s="1" t="str">
        <f ca="1">IFERROR(__xludf.DUMMYFUNCTION("""COMPUTED_VALUE"""),"अध्यात्म, धर्म एवं दर्शन")</f>
        <v>अध्यात्म, धर्म एवं दर्शन</v>
      </c>
      <c r="H276" s="1" t="str">
        <f ca="1">IFERROR(__xludf.DUMMYFUNCTION("""COMPUTED_VALUE"""),"अध्यात्म, धर्म एवं आस्तिकता")</f>
        <v>अध्यात्म, धर्म एवं आस्तिकता</v>
      </c>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f ca="1">IFERROR(__xludf.DUMMYFUNCTION("""COMPUTED_VALUE"""),34)</f>
        <v>34</v>
      </c>
      <c r="BX276" s="1">
        <f ca="1">IFERROR(__xludf.DUMMYFUNCTION("""COMPUTED_VALUE"""),34)</f>
        <v>34</v>
      </c>
      <c r="BY276" s="1">
        <f ca="1">IFERROR(__xludf.DUMMYFUNCTION("""COMPUTED_VALUE"""),4)</f>
        <v>4</v>
      </c>
      <c r="BZ276" s="1">
        <f ca="1">IFERROR(__xludf.DUMMYFUNCTION("""COMPUTED_VALUE"""),11)</f>
        <v>11</v>
      </c>
      <c r="CA276" s="1"/>
      <c r="CB276" s="1"/>
      <c r="CC276" s="1" t="str">
        <f ca="1">IFERROR(__xludf.DUMMYFUNCTION("""COMPUTED_VALUE"""),"ભગવાનનું કામ કરવનો આ જ સમય : G_JS_43")</f>
        <v>ભગવાનનું કામ કરવનો આ જ સમય : G_JS_43</v>
      </c>
      <c r="CD276" s="3" t="str">
        <f ca="1">IFERROR(__xludf.DUMMYFUNCTION("""COMPUTED_VALUE"""),"https://vicharkrantibooks.org/productdetail?product_id=3768")</f>
        <v>https://vicharkrantibooks.org/productdetail?product_id=3768</v>
      </c>
      <c r="CE276" s="1" t="str">
        <f ca="1">IFERROR(__xludf.DUMMYFUNCTION("""COMPUTED_VALUE"""),"Audiobook : ભગવાનનું કામ કરવનો આ જ સમય : G_JS_43 : kalagpatel1959@gmail.com : Recorded")</f>
        <v>Audiobook : ભગવાનનું કામ કરવનો આ જ સમય : G_JS_43 : kalagpatel1959@gmail.com : Recorded</v>
      </c>
      <c r="CF276" s="1" t="str">
        <f ca="1">IFERROR(__xludf.DUMMYFUNCTION("""COMPUTED_VALUE"""),"Audiobook : ભગવાનનું કામ કરવનો આ જ સમય : G_JS_43 : kalagpatel1959@gmail.com : Recorded")</f>
        <v>Audiobook : ભગવાનનું કામ કરવનો આ જ સમય : G_JS_43 : kalagpatel1959@gmail.com : Recorded</v>
      </c>
      <c r="CG276" s="1" t="str">
        <f ca="1">IFERROR(__xludf.DUMMYFUNCTION("""COMPUTED_VALUE"""),"Adarniya Kala Patel  ji ભગવાનનું કામ કરવનો આ જ સમય : G_JS_43 : Allocated on 28-Apr-24 Contact Number  9016250929")</f>
        <v>Adarniya Kala Patel  ji ભગવાનનું કામ કરવનો આ જ સમય : G_JS_43 : Allocated on 28-Apr-24 Contact Number  9016250929</v>
      </c>
      <c r="CH276" s="1" t="str">
        <f ca="1">IFERROR(__xludf.DUMMYFUNCTION("""COMPUTED_VALUE"""),"kalagpatel1959@gmail.com : ભગવાનનું કામ કરવનો આ જ સમય : G_JS_43")</f>
        <v>kalagpatel1959@gmail.com : ભગવાનનું કામ કરવનો આ જ સમય : G_JS_43</v>
      </c>
      <c r="CI276" s="5">
        <f ca="1">IFERROR(__xludf.DUMMYFUNCTION("""COMPUTED_VALUE"""),45410.509338368)</f>
        <v>45410.509338368</v>
      </c>
    </row>
    <row r="277" spans="1:87" x14ac:dyDescent="0.25">
      <c r="A277" s="5">
        <f ca="1">IFERROR(__xludf.DUMMYFUNCTION("""COMPUTED_VALUE"""),45409.5083486111)</f>
        <v>45409.508348611103</v>
      </c>
      <c r="B277" s="1" t="str">
        <f ca="1">IFERROR(__xludf.DUMMYFUNCTION("""COMPUTED_VALUE"""),"tushar.pandit7686@gmail.com")</f>
        <v>tushar.pandit7686@gmail.com</v>
      </c>
      <c r="C277" s="1" t="str">
        <f ca="1">IFERROR(__xludf.DUMMYFUNCTION("""COMPUTED_VALUE"""),"Hetal")</f>
        <v>Hetal</v>
      </c>
      <c r="D277" s="1">
        <f ca="1">IFERROR(__xludf.DUMMYFUNCTION("""COMPUTED_VALUE"""),7874048920)</f>
        <v>7874048920</v>
      </c>
      <c r="E277" s="1" t="str">
        <f ca="1">IFERROR(__xludf.DUMMYFUNCTION("""COMPUTED_VALUE"""),"Yes")</f>
        <v>Yes</v>
      </c>
      <c r="F277" s="1" t="str">
        <f ca="1">IFERROR(__xludf.DUMMYFUNCTION("""COMPUTED_VALUE"""),"गुजराती")</f>
        <v>गुजराती</v>
      </c>
      <c r="G277" s="1" t="str">
        <f ca="1">IFERROR(__xludf.DUMMYFUNCTION("""COMPUTED_VALUE"""),"अध्यात्म, धर्म एवं दर्शन")</f>
        <v>अध्यात्म, धर्म एवं दर्शन</v>
      </c>
      <c r="H277" s="1" t="str">
        <f ca="1">IFERROR(__xludf.DUMMYFUNCTION("""COMPUTED_VALUE"""),"उपासना")</f>
        <v>उपासना</v>
      </c>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f ca="1">IFERROR(__xludf.DUMMYFUNCTION("""COMPUTED_VALUE"""),13)</f>
        <v>13</v>
      </c>
      <c r="BX277" s="1">
        <f ca="1">IFERROR(__xludf.DUMMYFUNCTION("""COMPUTED_VALUE"""),13)</f>
        <v>13</v>
      </c>
      <c r="BY277" s="1">
        <f ca="1">IFERROR(__xludf.DUMMYFUNCTION("""COMPUTED_VALUE"""),3)</f>
        <v>3</v>
      </c>
      <c r="BZ277" s="1">
        <f ca="1">IFERROR(__xludf.DUMMYFUNCTION("""COMPUTED_VALUE"""),0)</f>
        <v>0</v>
      </c>
      <c r="CA277" s="1"/>
      <c r="CB277" s="1"/>
      <c r="CC277" s="1" t="str">
        <f ca="1">IFERROR(__xludf.DUMMYFUNCTION("""COMPUTED_VALUE"""),"આધ્યાત્મનો મર્મ સમજો : G_JS_42")</f>
        <v>આધ્યાત્મનો મર્મ સમજો : G_JS_42</v>
      </c>
      <c r="CD277" s="3" t="str">
        <f ca="1">IFERROR(__xludf.DUMMYFUNCTION("""COMPUTED_VALUE"""),"https://vicharkrantibooks.org/productdetail?product_id=3767")</f>
        <v>https://vicharkrantibooks.org/productdetail?product_id=3767</v>
      </c>
      <c r="CE277" s="1" t="str">
        <f ca="1">IFERROR(__xludf.DUMMYFUNCTION("""COMPUTED_VALUE"""),"Audiobook : આધ્યાત્મનો મર્મ સમજો : G_JS_42 : tushar.pandit7686@gmail.com : Recorded")</f>
        <v>Audiobook : આધ્યાત્મનો મર્મ સમજો : G_JS_42 : tushar.pandit7686@gmail.com : Recorded</v>
      </c>
      <c r="CF277" s="1" t="str">
        <f ca="1">IFERROR(__xludf.DUMMYFUNCTION("""COMPUTED_VALUE"""),"#N/A")</f>
        <v>#N/A</v>
      </c>
      <c r="CG277" s="1" t="str">
        <f ca="1">IFERROR(__xludf.DUMMYFUNCTION("""COMPUTED_VALUE"""),"Adarniya Hetal ji આધ્યાત્મનો મર્મ સમજો : G_JS_42 : Allocated on 27-Apr-24 Contact Number  7874048920")</f>
        <v>Adarniya Hetal ji આધ્યાત્મનો મર્મ સમજો : G_JS_42 : Allocated on 27-Apr-24 Contact Number  7874048920</v>
      </c>
      <c r="CH277" s="1" t="str">
        <f ca="1">IFERROR(__xludf.DUMMYFUNCTION("""COMPUTED_VALUE"""),"tushar.pandit7686@gmail.com : આધ્યાત્મનો મર્મ સમજો : G_JS_42")</f>
        <v>tushar.pandit7686@gmail.com : આધ્યાત્મનો મર્મ સમજો : G_JS_42</v>
      </c>
      <c r="CI277" s="5">
        <f ca="1">IFERROR(__xludf.DUMMYFUNCTION("""COMPUTED_VALUE"""),45409.5083486111)</f>
        <v>45409.508348611103</v>
      </c>
    </row>
    <row r="278" spans="1:87" x14ac:dyDescent="0.25">
      <c r="A278" s="5">
        <f ca="1">IFERROR(__xludf.DUMMYFUNCTION("""COMPUTED_VALUE"""),45408.9015136689)</f>
        <v>45408.901513668898</v>
      </c>
      <c r="B278" s="1" t="str">
        <f ca="1">IFERROR(__xludf.DUMMYFUNCTION("""COMPUTED_VALUE"""),"tushar.pandit7686@gmail.com")</f>
        <v>tushar.pandit7686@gmail.com</v>
      </c>
      <c r="C278" s="1" t="str">
        <f ca="1">IFERROR(__xludf.DUMMYFUNCTION("""COMPUTED_VALUE"""),"Hetal ")</f>
        <v xml:space="preserve">Hetal </v>
      </c>
      <c r="D278" s="1">
        <f ca="1">IFERROR(__xludf.DUMMYFUNCTION("""COMPUTED_VALUE"""),7874048920)</f>
        <v>7874048920</v>
      </c>
      <c r="E278" s="1" t="str">
        <f ca="1">IFERROR(__xludf.DUMMYFUNCTION("""COMPUTED_VALUE"""),"Yes")</f>
        <v>Yes</v>
      </c>
      <c r="F278" s="1" t="str">
        <f ca="1">IFERROR(__xludf.DUMMYFUNCTION("""COMPUTED_VALUE"""),"गुजराती")</f>
        <v>गुजराती</v>
      </c>
      <c r="G278" s="1" t="str">
        <f ca="1">IFERROR(__xludf.DUMMYFUNCTION("""COMPUTED_VALUE"""),"अध्यात्म, धर्म एवं दर्शन")</f>
        <v>अध्यात्म, धर्म एवं दर्शन</v>
      </c>
      <c r="H278" s="1" t="str">
        <f ca="1">IFERROR(__xludf.DUMMYFUNCTION("""COMPUTED_VALUE"""),"उपासना")</f>
        <v>उपासना</v>
      </c>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f ca="1">IFERROR(__xludf.DUMMYFUNCTION("""COMPUTED_VALUE"""),13)</f>
        <v>13</v>
      </c>
      <c r="BX278" s="1">
        <f ca="1">IFERROR(__xludf.DUMMYFUNCTION("""COMPUTED_VALUE"""),13)</f>
        <v>13</v>
      </c>
      <c r="BY278" s="1">
        <f ca="1">IFERROR(__xludf.DUMMYFUNCTION("""COMPUTED_VALUE"""),3)</f>
        <v>3</v>
      </c>
      <c r="BZ278" s="1">
        <f ca="1">IFERROR(__xludf.DUMMYFUNCTION("""COMPUTED_VALUE"""),0)</f>
        <v>0</v>
      </c>
      <c r="CA278" s="1"/>
      <c r="CB278" s="1"/>
      <c r="CC278" s="1" t="str">
        <f ca="1">IFERROR(__xludf.DUMMYFUNCTION("""COMPUTED_VALUE"""),"મંદિર લોકસેવાની પ્રવૃત્તિઓનું કેન્દ્ર બને : G_JS_41")</f>
        <v>મંદિર લોકસેવાની પ્રવૃત્તિઓનું કેન્દ્ર બને : G_JS_41</v>
      </c>
      <c r="CD278" s="3" t="str">
        <f ca="1">IFERROR(__xludf.DUMMYFUNCTION("""COMPUTED_VALUE"""),"https://vicharkrantibooks.org/productdetail?product_id=3766")</f>
        <v>https://vicharkrantibooks.org/productdetail?product_id=3766</v>
      </c>
      <c r="CE278" s="1" t="str">
        <f ca="1">IFERROR(__xludf.DUMMYFUNCTION("""COMPUTED_VALUE"""),"Audiobook : મંદિર લોકસેવાની પ્રવૃત્તિઓનું કેન્દ્ર બને : G_JS_41 : tushar.pandit7686@gmail.com : Recorded")</f>
        <v>Audiobook : મંદિર લોકસેવાની પ્રવૃત્તિઓનું કેન્દ્ર બને : G_JS_41 : tushar.pandit7686@gmail.com : Recorded</v>
      </c>
      <c r="CF278" s="1" t="str">
        <f ca="1">IFERROR(__xludf.DUMMYFUNCTION("""COMPUTED_VALUE"""),"Audiobook : મંદિર લોકસેવાની પ્રવૃત્તિઓનું કેન્દ્ર બને : G_JS_41 : tushar.pandit7686@gmail.com : Recorded")</f>
        <v>Audiobook : મંદિર લોકસેવાની પ્રવૃત્તિઓનું કેન્દ્ર બને : G_JS_41 : tushar.pandit7686@gmail.com : Recorded</v>
      </c>
      <c r="CG278" s="1" t="str">
        <f ca="1">IFERROR(__xludf.DUMMYFUNCTION("""COMPUTED_VALUE"""),"Adarniya Hetal  ji મંદિર લોકસેવાની પ્રવૃત્તિઓનું કેન્દ્ર બને : G_JS_41 : Allocated on 26-Apr-24 Contact Number  7874048920")</f>
        <v>Adarniya Hetal  ji મંદિર લોકસેવાની પ્રવૃત્તિઓનું કેન્દ્ર બને : G_JS_41 : Allocated on 26-Apr-24 Contact Number  7874048920</v>
      </c>
      <c r="CH278" s="1" t="str">
        <f ca="1">IFERROR(__xludf.DUMMYFUNCTION("""COMPUTED_VALUE"""),"tushar.pandit7686@gmail.com : મંદિર લોકસેવાની પ્રવૃત્તિઓનું કેન્દ્ર બને : G_JS_41")</f>
        <v>tushar.pandit7686@gmail.com : મંદિર લોકસેવાની પ્રવૃત્તિઓનું કેન્દ્ર બને : G_JS_41</v>
      </c>
      <c r="CI278" s="5">
        <f ca="1">IFERROR(__xludf.DUMMYFUNCTION("""COMPUTED_VALUE"""),45408.9015136689)</f>
        <v>45408.901513668898</v>
      </c>
    </row>
    <row r="279" spans="1:87" x14ac:dyDescent="0.25">
      <c r="A279" s="5">
        <f ca="1">IFERROR(__xludf.DUMMYFUNCTION("""COMPUTED_VALUE"""),45408.8565334722)</f>
        <v>45408.856533472201</v>
      </c>
      <c r="B279" s="1" t="str">
        <f ca="1">IFERROR(__xludf.DUMMYFUNCTION("""COMPUTED_VALUE"""),"dave.chhaya@gmail.com")</f>
        <v>dave.chhaya@gmail.com</v>
      </c>
      <c r="C279" s="1" t="str">
        <f ca="1">IFERROR(__xludf.DUMMYFUNCTION("""COMPUTED_VALUE"""),"Chhaya Deepak Dave ")</f>
        <v xml:space="preserve">Chhaya Deepak Dave </v>
      </c>
      <c r="D279" s="1">
        <f ca="1">IFERROR(__xludf.DUMMYFUNCTION("""COMPUTED_VALUE"""),9879596556)</f>
        <v>9879596556</v>
      </c>
      <c r="E279" s="1" t="str">
        <f ca="1">IFERROR(__xludf.DUMMYFUNCTION("""COMPUTED_VALUE"""),"Yes")</f>
        <v>Yes</v>
      </c>
      <c r="F279" s="1" t="str">
        <f ca="1">IFERROR(__xludf.DUMMYFUNCTION("""COMPUTED_VALUE"""),"गुजराती")</f>
        <v>गुजराती</v>
      </c>
      <c r="G279" s="1" t="str">
        <f ca="1">IFERROR(__xludf.DUMMYFUNCTION("""COMPUTED_VALUE"""),"युग द्रष्टा पं. श्रीराम शर्मा आचार्यजी")</f>
        <v>युग द्रष्टा पं. श्रीराम शर्मा आचार्यजी</v>
      </c>
      <c r="H279" s="1"/>
      <c r="I279" s="1"/>
      <c r="J279" s="1"/>
      <c r="K279" s="1"/>
      <c r="L279" s="1"/>
      <c r="M279" s="1"/>
      <c r="N279" s="1"/>
      <c r="O279" s="1"/>
      <c r="P279" s="1" t="str">
        <f ca="1">IFERROR(__xludf.DUMMYFUNCTION("""COMPUTED_VALUE"""),"युगॠषी की अमृतवाणी")</f>
        <v>युगॠषी की अमृतवाणी</v>
      </c>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f ca="1">IFERROR(__xludf.DUMMYFUNCTION("""COMPUTED_VALUE"""),46)</f>
        <v>46</v>
      </c>
      <c r="BX279" s="1">
        <f ca="1">IFERROR(__xludf.DUMMYFUNCTION("""COMPUTED_VALUE"""),39)</f>
        <v>39</v>
      </c>
      <c r="BY279" s="1">
        <f ca="1">IFERROR(__xludf.DUMMYFUNCTION("""COMPUTED_VALUE"""),6)</f>
        <v>6</v>
      </c>
      <c r="BZ279" s="1">
        <f ca="1">IFERROR(__xludf.DUMMYFUNCTION("""COMPUTED_VALUE"""),16)</f>
        <v>16</v>
      </c>
      <c r="CA279" s="1"/>
      <c r="CB279" s="1"/>
      <c r="CC279" s="1" t="str">
        <f ca="1">IFERROR(__xludf.DUMMYFUNCTION("""COMPUTED_VALUE"""),"ધનને પીડિત માનવતાએ સાદ પાડ્યો છે : G_PP_02")</f>
        <v>ધનને પીડિત માનવતાએ સાદ પાડ્યો છે : G_PP_02</v>
      </c>
      <c r="CD279" s="3" t="str">
        <f ca="1">IFERROR(__xludf.DUMMYFUNCTION("""COMPUTED_VALUE"""),"https://vicharkrantibooks.org/productdetail?product_id=3907")</f>
        <v>https://vicharkrantibooks.org/productdetail?product_id=3907</v>
      </c>
      <c r="CE279" s="1" t="str">
        <f ca="1">IFERROR(__xludf.DUMMYFUNCTION("""COMPUTED_VALUE"""),"Audiobook : ધનને પીડિત માનવતાએ સાદ પાડ્યો છે : G_PP_02 : dave.chhaya@gmail.com : Recorded")</f>
        <v>Audiobook : ધનને પીડિત માનવતાએ સાદ પાડ્યો છે : G_PP_02 : dave.chhaya@gmail.com : Recorded</v>
      </c>
      <c r="CF279" s="1" t="str">
        <f ca="1">IFERROR(__xludf.DUMMYFUNCTION("""COMPUTED_VALUE"""),"Audiobook : ધનને પીડિત માનવતાએ સાદ પાડ્યો છે : G_PP_02 : dave.chhaya@gmail.com : Recorded")</f>
        <v>Audiobook : ધનને પીડિત માનવતાએ સાદ પાડ્યો છે : G_PP_02 : dave.chhaya@gmail.com : Recorded</v>
      </c>
      <c r="CG279" s="1" t="str">
        <f ca="1">IFERROR(__xludf.DUMMYFUNCTION("""COMPUTED_VALUE"""),"Adarniya Chhaya Deepak Dave  ji ધનને પીડિત માનવતાએ સાદ પાડ્યો છે : G_PP_02 : Allocated on 26-Apr-24 Contact Number  9879596556")</f>
        <v>Adarniya Chhaya Deepak Dave  ji ધનને પીડિત માનવતાએ સાદ પાડ્યો છે : G_PP_02 : Allocated on 26-Apr-24 Contact Number  9879596556</v>
      </c>
      <c r="CH279" s="1" t="str">
        <f ca="1">IFERROR(__xludf.DUMMYFUNCTION("""COMPUTED_VALUE"""),"dave.chhaya@gmail.com : ધનને પીડિત માનવતાએ સાદ પાડ્યો છે : G_PP_02")</f>
        <v>dave.chhaya@gmail.com : ધનને પીડિત માનવતાએ સાદ પાડ્યો છે : G_PP_02</v>
      </c>
      <c r="CI279" s="5">
        <f ca="1">IFERROR(__xludf.DUMMYFUNCTION("""COMPUTED_VALUE"""),45408.8565334722)</f>
        <v>45408.856533472201</v>
      </c>
    </row>
    <row r="280" spans="1:87" x14ac:dyDescent="0.25">
      <c r="A280" s="5">
        <f ca="1">IFERROR(__xludf.DUMMYFUNCTION("""COMPUTED_VALUE"""),45408.6861059375)</f>
        <v>45408.686105937501</v>
      </c>
      <c r="B280" s="1" t="str">
        <f ca="1">IFERROR(__xludf.DUMMYFUNCTION("""COMPUTED_VALUE"""),"druma4107@gmail.com")</f>
        <v>druma4107@gmail.com</v>
      </c>
      <c r="C280" s="1" t="str">
        <f ca="1">IFERROR(__xludf.DUMMYFUNCTION("""COMPUTED_VALUE"""),"Dr Agrawal")</f>
        <v>Dr Agrawal</v>
      </c>
      <c r="D280" s="1">
        <f ca="1">IFERROR(__xludf.DUMMYFUNCTION("""COMPUTED_VALUE"""),9410861182)</f>
        <v>9410861182</v>
      </c>
      <c r="E280" s="1" t="str">
        <f ca="1">IFERROR(__xludf.DUMMYFUNCTION("""COMPUTED_VALUE"""),"Yes")</f>
        <v>Yes</v>
      </c>
      <c r="F280" s="1" t="str">
        <f ca="1">IFERROR(__xludf.DUMMYFUNCTION("""COMPUTED_VALUE"""),"हिन्दी")</f>
        <v>हिन्दी</v>
      </c>
      <c r="G280" s="1" t="str">
        <f ca="1">IFERROR(__xludf.DUMMYFUNCTION("""COMPUTED_VALUE"""),"युग द्रष्टा पं. श्रीराम शर्मा आचार्यजी")</f>
        <v>युग द्रष्टा पं. श्रीराम शर्मा आचार्यजी</v>
      </c>
      <c r="H280" s="1"/>
      <c r="I280" s="1"/>
      <c r="J280" s="1"/>
      <c r="K280" s="1"/>
      <c r="L280" s="1"/>
      <c r="M280" s="1"/>
      <c r="N280" s="1"/>
      <c r="O280" s="1"/>
      <c r="P280" s="1" t="str">
        <f ca="1">IFERROR(__xludf.DUMMYFUNCTION("""COMPUTED_VALUE"""),"युगॠषी की अमृतवाणी")</f>
        <v>युगॠषी की अमृतवाणी</v>
      </c>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f ca="1">IFERROR(__xludf.DUMMYFUNCTION("""COMPUTED_VALUE"""),104)</f>
        <v>104</v>
      </c>
      <c r="BX280" s="1">
        <f ca="1">IFERROR(__xludf.DUMMYFUNCTION("""COMPUTED_VALUE"""),106)</f>
        <v>106</v>
      </c>
      <c r="BY280" s="1">
        <f ca="1">IFERROR(__xludf.DUMMYFUNCTION("""COMPUTED_VALUE"""),9)</f>
        <v>9</v>
      </c>
      <c r="BZ280" s="1">
        <f ca="1">IFERROR(__xludf.DUMMYFUNCTION("""COMPUTED_VALUE"""),43)</f>
        <v>43</v>
      </c>
      <c r="CA280" s="1"/>
      <c r="CB280" s="1"/>
      <c r="CC280" s="1" t="str">
        <f ca="1">IFERROR(__xludf.DUMMYFUNCTION("""COMPUTED_VALUE"""),"गौ आधारित अर्थ व्यवस्था : Rare Book")</f>
        <v>गौ आधारित अर्थ व्यवस्था : Rare Book</v>
      </c>
      <c r="CD280" s="3" t="str">
        <f ca="1">IFERROR(__xludf.DUMMYFUNCTION("""COMPUTED_VALUE"""),"https://vicharkrantibooks.org/productdetail?book_name=HINP0274_GAU_ADHARIT_ARTH_VYAVASTHA_xxyyyy&amp;product_id=839")</f>
        <v>https://vicharkrantibooks.org/productdetail?book_name=HINP0274_GAU_ADHARIT_ARTH_VYAVASTHA_xxyyyy&amp;product_id=839</v>
      </c>
      <c r="CE280" s="1" t="str">
        <f ca="1">IFERROR(__xludf.DUMMYFUNCTION("""COMPUTED_VALUE"""),"Audiobook : गौ आधारित अर्थ व्यवस्था : Rare Book : druma4107@gmail.com : Recorded")</f>
        <v>Audiobook : गौ आधारित अर्थ व्यवस्था : Rare Book : druma4107@gmail.com : Recorded</v>
      </c>
      <c r="CF280" s="1" t="str">
        <f ca="1">IFERROR(__xludf.DUMMYFUNCTION("""COMPUTED_VALUE"""),"Audiobook : गौ आधारित अर्थ व्यवस्था : Rare Book : druma4107@gmail.com : Recorded")</f>
        <v>Audiobook : गौ आधारित अर्थ व्यवस्था : Rare Book : druma4107@gmail.com : Recorded</v>
      </c>
      <c r="CG280" s="1" t="str">
        <f ca="1">IFERROR(__xludf.DUMMYFUNCTION("""COMPUTED_VALUE"""),"Adarniya Dr Agrawal ji गौ आधारित अर्थ व्यवस्था : Rare Book : Allocated on 26-Apr-24 Contact Number  9410861182")</f>
        <v>Adarniya Dr Agrawal ji गौ आधारित अर्थ व्यवस्था : Rare Book : Allocated on 26-Apr-24 Contact Number  9410861182</v>
      </c>
      <c r="CH280" s="1" t="str">
        <f ca="1">IFERROR(__xludf.DUMMYFUNCTION("""COMPUTED_VALUE"""),"druma4107@gmail.com : गौ आधारित अर्थ व्यवस्था : Rare Book")</f>
        <v>druma4107@gmail.com : गौ आधारित अर्थ व्यवस्था : Rare Book</v>
      </c>
      <c r="CI280" s="5">
        <f ca="1">IFERROR(__xludf.DUMMYFUNCTION("""COMPUTED_VALUE"""),45408.6861059375)</f>
        <v>45408.686105937501</v>
      </c>
    </row>
    <row r="281" spans="1:87" x14ac:dyDescent="0.25">
      <c r="A281" s="5">
        <f ca="1">IFERROR(__xludf.DUMMYFUNCTION("""COMPUTED_VALUE"""),45407.7135401967)</f>
        <v>45407.713540196703</v>
      </c>
      <c r="B281" s="1" t="str">
        <f ca="1">IFERROR(__xludf.DUMMYFUNCTION("""COMPUTED_VALUE"""),"spmittalmumbai@gmail.com")</f>
        <v>spmittalmumbai@gmail.com</v>
      </c>
      <c r="C281" s="1" t="str">
        <f ca="1">IFERROR(__xludf.DUMMYFUNCTION("""COMPUTED_VALUE"""),"S. P .Mittal")</f>
        <v>S. P .Mittal</v>
      </c>
      <c r="D281" s="1">
        <f ca="1">IFERROR(__xludf.DUMMYFUNCTION("""COMPUTED_VALUE"""),9860003407)</f>
        <v>9860003407</v>
      </c>
      <c r="E281" s="1" t="str">
        <f ca="1">IFERROR(__xludf.DUMMYFUNCTION("""COMPUTED_VALUE"""),"Yes")</f>
        <v>Yes</v>
      </c>
      <c r="F281" s="1" t="str">
        <f ca="1">IFERROR(__xludf.DUMMYFUNCTION("""COMPUTED_VALUE"""),"हिन्दी")</f>
        <v>हिन्दी</v>
      </c>
      <c r="G281" s="1" t="str">
        <f ca="1">IFERROR(__xludf.DUMMYFUNCTION("""COMPUTED_VALUE"""),"अध्यात्म, धर्म एवं दर्शन")</f>
        <v>अध्यात्म, धर्म एवं दर्शन</v>
      </c>
      <c r="H281" s="1" t="str">
        <f ca="1">IFERROR(__xludf.DUMMYFUNCTION("""COMPUTED_VALUE"""),"आत्मज्ञान एवं आत्मनिर्माण")</f>
        <v>आत्मज्ञान एवं आत्मनिर्माण</v>
      </c>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f ca="1">IFERROR(__xludf.DUMMYFUNCTION("""COMPUTED_VALUE"""),39)</f>
        <v>39</v>
      </c>
      <c r="BX281" s="1">
        <f ca="1">IFERROR(__xludf.DUMMYFUNCTION("""COMPUTED_VALUE"""),32)</f>
        <v>32</v>
      </c>
      <c r="BY281" s="1">
        <f ca="1">IFERROR(__xludf.DUMMYFUNCTION("""COMPUTED_VALUE"""),11)</f>
        <v>11</v>
      </c>
      <c r="BZ281" s="1">
        <f ca="1">IFERROR(__xludf.DUMMYFUNCTION("""COMPUTED_VALUE"""),23)</f>
        <v>23</v>
      </c>
      <c r="CA281" s="1"/>
      <c r="CB281" s="1"/>
      <c r="CC281" s="1" t="str">
        <f ca="1">IFERROR(__xludf.DUMMYFUNCTION("""COMPUTED_VALUE"""),"आध्यात्मिकता का प्राण सदाचरण : Rare Book")</f>
        <v>आध्यात्मिकता का प्राण सदाचरण : Rare Book</v>
      </c>
      <c r="CD281" s="3" t="str">
        <f ca="1">IFERROR(__xludf.DUMMYFUNCTION("""COMPUTED_VALUE"""),"https://vicharkrantibooks.org/productdetail?book_name=HINP0026_ADHYATMIKATA_KA_PRAN_SADACHARAN_xx1982&amp;product_id=591")</f>
        <v>https://vicharkrantibooks.org/productdetail?book_name=HINP0026_ADHYATMIKATA_KA_PRAN_SADACHARAN_xx1982&amp;product_id=591</v>
      </c>
      <c r="CE281" s="1" t="str">
        <f ca="1">IFERROR(__xludf.DUMMYFUNCTION("""COMPUTED_VALUE"""),"Audiobook : आध्यात्मिकता का प्राण सदाचरण : Rare Book : spmittalmumbai@gmail.com : Recorded")</f>
        <v>Audiobook : आध्यात्मिकता का प्राण सदाचरण : Rare Book : spmittalmumbai@gmail.com : Recorded</v>
      </c>
      <c r="CF281" s="1" t="str">
        <f ca="1">IFERROR(__xludf.DUMMYFUNCTION("""COMPUTED_VALUE"""),"#N/A")</f>
        <v>#N/A</v>
      </c>
      <c r="CG281" s="1" t="str">
        <f ca="1">IFERROR(__xludf.DUMMYFUNCTION("""COMPUTED_VALUE"""),"Adarniya S. P .Mittal ji आध्यात्मिकता का प्राण सदाचरण : Rare Book : Allocated on 25-Apr-24 Contact Number  9860003407")</f>
        <v>Adarniya S. P .Mittal ji आध्यात्मिकता का प्राण सदाचरण : Rare Book : Allocated on 25-Apr-24 Contact Number  9860003407</v>
      </c>
      <c r="CH281" s="1" t="str">
        <f ca="1">IFERROR(__xludf.DUMMYFUNCTION("""COMPUTED_VALUE"""),"spmittalmumbai@gmail.com : आध्यात्मिकता का प्राण सदाचरण : Rare Book")</f>
        <v>spmittalmumbai@gmail.com : आध्यात्मिकता का प्राण सदाचरण : Rare Book</v>
      </c>
      <c r="CI281" s="5">
        <f ca="1">IFERROR(__xludf.DUMMYFUNCTION("""COMPUTED_VALUE"""),45407.7135401967)</f>
        <v>45407.713540196703</v>
      </c>
    </row>
    <row r="282" spans="1:87" x14ac:dyDescent="0.25">
      <c r="A282" s="5">
        <f ca="1">IFERROR(__xludf.DUMMYFUNCTION("""COMPUTED_VALUE"""),45407.5605149768)</f>
        <v>45407.560514976802</v>
      </c>
      <c r="B282" s="1" t="str">
        <f ca="1">IFERROR(__xludf.DUMMYFUNCTION("""COMPUTED_VALUE"""),"premlatadevi4669@gmail.com")</f>
        <v>premlatadevi4669@gmail.com</v>
      </c>
      <c r="C282" s="1" t="str">
        <f ca="1">IFERROR(__xludf.DUMMYFUNCTION("""COMPUTED_VALUE"""),"Premlata barnwal")</f>
        <v>Premlata barnwal</v>
      </c>
      <c r="D282" s="1">
        <f ca="1">IFERROR(__xludf.DUMMYFUNCTION("""COMPUTED_VALUE"""),9372282030)</f>
        <v>9372282030</v>
      </c>
      <c r="E282" s="1" t="str">
        <f ca="1">IFERROR(__xludf.DUMMYFUNCTION("""COMPUTED_VALUE"""),"Yes")</f>
        <v>Yes</v>
      </c>
      <c r="F282" s="1" t="str">
        <f ca="1">IFERROR(__xludf.DUMMYFUNCTION("""COMPUTED_VALUE"""),"हिन्दी")</f>
        <v>हिन्दी</v>
      </c>
      <c r="G282" s="1" t="str">
        <f ca="1">IFERROR(__xludf.DUMMYFUNCTION("""COMPUTED_VALUE"""),"परिवार निर्माण")</f>
        <v>परिवार निर्माण</v>
      </c>
      <c r="H282" s="1"/>
      <c r="I282" s="1"/>
      <c r="J282" s="1"/>
      <c r="K282" s="1"/>
      <c r="L282" s="1"/>
      <c r="M282" s="1" t="str">
        <f ca="1">IFERROR(__xludf.DUMMYFUNCTION("""COMPUTED_VALUE"""),"आनंदमय वृद्धावस्था")</f>
        <v>आनंदमय वृद्धावस्था</v>
      </c>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f ca="1">IFERROR(__xludf.DUMMYFUNCTION("""COMPUTED_VALUE"""),13)</f>
        <v>13</v>
      </c>
      <c r="BX282" s="1">
        <f ca="1">IFERROR(__xludf.DUMMYFUNCTION("""COMPUTED_VALUE"""),10)</f>
        <v>10</v>
      </c>
      <c r="BY282" s="1">
        <f ca="1">IFERROR(__xludf.DUMMYFUNCTION("""COMPUTED_VALUE"""),7)</f>
        <v>7</v>
      </c>
      <c r="BZ282" s="1">
        <f ca="1">IFERROR(__xludf.DUMMYFUNCTION("""COMPUTED_VALUE"""),2)</f>
        <v>2</v>
      </c>
      <c r="CA282" s="1"/>
      <c r="CB282" s="1"/>
      <c r="CC282" s="1" t="str">
        <f ca="1">IFERROR(__xludf.DUMMYFUNCTION("""COMPUTED_VALUE"""),"बच्चों के विकास के लिये आरंभ से ही ध्यान दिया जाय : Rare Book")</f>
        <v>बच्चों के विकास के लिये आरंभ से ही ध्यान दिया जाय : Rare Book</v>
      </c>
      <c r="CD282" s="3" t="str">
        <f ca="1">IFERROR(__xludf.DUMMYFUNCTION("""COMPUTED_VALUE"""),"https://vicharkrantibooks.org/productdetail?book_name=HINP0122_BACHCHON_KE_VIKAS_KE_LIE_ARAMBH_SE_HI_DHYAN_DIYA_JAY_xx1981&amp;product_id=687")</f>
        <v>https://vicharkrantibooks.org/productdetail?book_name=HINP0122_BACHCHON_KE_VIKAS_KE_LIE_ARAMBH_SE_HI_DHYAN_DIYA_JAY_xx1981&amp;product_id=687</v>
      </c>
      <c r="CE282" s="1" t="str">
        <f ca="1">IFERROR(__xludf.DUMMYFUNCTION("""COMPUTED_VALUE"""),"Audiobook : बच्चों के विकास के लिये आरंभ से ही ध्यान दिया जाय : Rare Book : premlatadevi4669@gmail.com : Recorded")</f>
        <v>Audiobook : बच्चों के विकास के लिये आरंभ से ही ध्यान दिया जाय : Rare Book : premlatadevi4669@gmail.com : Recorded</v>
      </c>
      <c r="CF282" s="1" t="str">
        <f ca="1">IFERROR(__xludf.DUMMYFUNCTION("""COMPUTED_VALUE"""),"Audiobook : बच्चों के विकास के लिये आरंभ से ही ध्यान दिया जाय : Rare Book : premlatadevi4669@gmail.com : Recorded")</f>
        <v>Audiobook : बच्चों के विकास के लिये आरंभ से ही ध्यान दिया जाय : Rare Book : premlatadevi4669@gmail.com : Recorded</v>
      </c>
      <c r="CG282" s="1" t="str">
        <f ca="1">IFERROR(__xludf.DUMMYFUNCTION("""COMPUTED_VALUE"""),"Adarniya Premlata barnwal ji बच्चों के विकास के लिये आरंभ से ही ध्यान दिया जाय : Rare Book : Allocated on 25-Apr-24 Contact Number  9372282030")</f>
        <v>Adarniya Premlata barnwal ji बच्चों के विकास के लिये आरंभ से ही ध्यान दिया जाय : Rare Book : Allocated on 25-Apr-24 Contact Number  9372282030</v>
      </c>
      <c r="CH282" s="1" t="str">
        <f ca="1">IFERROR(__xludf.DUMMYFUNCTION("""COMPUTED_VALUE"""),"premlatadevi4669@gmail.com : बच्चों के विकास के लिये आरंभ से ही ध्यान दिया जाय : Rare Book")</f>
        <v>premlatadevi4669@gmail.com : बच्चों के विकास के लिये आरंभ से ही ध्यान दिया जाय : Rare Book</v>
      </c>
      <c r="CI282" s="5">
        <f ca="1">IFERROR(__xludf.DUMMYFUNCTION("""COMPUTED_VALUE"""),45407.5605149768)</f>
        <v>45407.560514976802</v>
      </c>
    </row>
    <row r="283" spans="1:87" x14ac:dyDescent="0.25">
      <c r="A283" s="5">
        <f ca="1">IFERROR(__xludf.DUMMYFUNCTION("""COMPUTED_VALUE"""),45407.379833831)</f>
        <v>45407.379833831001</v>
      </c>
      <c r="B283" s="1" t="str">
        <f ca="1">IFERROR(__xludf.DUMMYFUNCTION("""COMPUTED_VALUE"""),"kalagpatel1959@gmail.com")</f>
        <v>kalagpatel1959@gmail.com</v>
      </c>
      <c r="C283" s="1" t="str">
        <f ca="1">IFERROR(__xludf.DUMMYFUNCTION("""COMPUTED_VALUE"""),"Kala Patel ")</f>
        <v xml:space="preserve">Kala Patel </v>
      </c>
      <c r="D283" s="1">
        <f ca="1">IFERROR(__xludf.DUMMYFUNCTION("""COMPUTED_VALUE"""),9016250929)</f>
        <v>9016250929</v>
      </c>
      <c r="E283" s="1" t="str">
        <f ca="1">IFERROR(__xludf.DUMMYFUNCTION("""COMPUTED_VALUE"""),"Yes")</f>
        <v>Yes</v>
      </c>
      <c r="F283" s="1" t="str">
        <f ca="1">IFERROR(__xludf.DUMMYFUNCTION("""COMPUTED_VALUE"""),"गुजराती")</f>
        <v>गुजराती</v>
      </c>
      <c r="G283" s="1" t="str">
        <f ca="1">IFERROR(__xludf.DUMMYFUNCTION("""COMPUTED_VALUE"""),"भारतीय संस्कृति")</f>
        <v>भारतीय संस्कृति</v>
      </c>
      <c r="H283" s="1"/>
      <c r="I283" s="1"/>
      <c r="J283" s="1"/>
      <c r="K283" s="1"/>
      <c r="L283" s="1"/>
      <c r="M283" s="1"/>
      <c r="N283" s="1"/>
      <c r="O283" s="1" t="str">
        <f ca="1">IFERROR(__xludf.DUMMYFUNCTION("""COMPUTED_VALUE"""),"भारतीय संस्कृति")</f>
        <v>भारतीय संस्कृति</v>
      </c>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f ca="1">IFERROR(__xludf.DUMMYFUNCTION("""COMPUTED_VALUE"""),34)</f>
        <v>34</v>
      </c>
      <c r="BX283" s="1">
        <f ca="1">IFERROR(__xludf.DUMMYFUNCTION("""COMPUTED_VALUE"""),34)</f>
        <v>34</v>
      </c>
      <c r="BY283" s="1">
        <f ca="1">IFERROR(__xludf.DUMMYFUNCTION("""COMPUTED_VALUE"""),4)</f>
        <v>4</v>
      </c>
      <c r="BZ283" s="1">
        <f ca="1">IFERROR(__xludf.DUMMYFUNCTION("""COMPUTED_VALUE"""),11)</f>
        <v>11</v>
      </c>
      <c r="CA283" s="1"/>
      <c r="CB283" s="1"/>
      <c r="CC283" s="1" t="str">
        <f ca="1">IFERROR(__xludf.DUMMYFUNCTION("""COMPUTED_VALUE"""),"ત્રણ શક્તિઓ - ત્રણ સિદ્ધિઓ : G_JS_29")</f>
        <v>ત્રણ શક્તિઓ - ત્રણ સિદ્ધિઓ : G_JS_29</v>
      </c>
      <c r="CD283" s="3" t="str">
        <f ca="1">IFERROR(__xludf.DUMMYFUNCTION("""COMPUTED_VALUE"""),"https://vicharkrantibooks.org/productdetail?product_id=3754")</f>
        <v>https://vicharkrantibooks.org/productdetail?product_id=3754</v>
      </c>
      <c r="CE283" s="1" t="str">
        <f ca="1">IFERROR(__xludf.DUMMYFUNCTION("""COMPUTED_VALUE"""),"Audiobook : ત્રણ શક્તિઓ - ત્રણ સિદ્ધિઓ : G_JS_29 : kalagpatel1959@gmail.com : Recorded")</f>
        <v>Audiobook : ત્રણ શક્તિઓ - ત્રણ સિદ્ધિઓ : G_JS_29 : kalagpatel1959@gmail.com : Recorded</v>
      </c>
      <c r="CF283" s="1" t="str">
        <f ca="1">IFERROR(__xludf.DUMMYFUNCTION("""COMPUTED_VALUE"""),"Audiobook : ત્રણ શક્તિઓ - ત્રણ સિદ્ધિઓ : G_JS_29 : kalagpatel1959@gmail.com : Recorded")</f>
        <v>Audiobook : ત્રણ શક્તિઓ - ત્રણ સિદ્ધિઓ : G_JS_29 : kalagpatel1959@gmail.com : Recorded</v>
      </c>
      <c r="CG283" s="1" t="str">
        <f ca="1">IFERROR(__xludf.DUMMYFUNCTION("""COMPUTED_VALUE"""),"Adarniya Kala Patel  ji ત્રણ શક્તિઓ - ત્રણ સિદ્ધિઓ : G_JS_29 : Allocated on 25-Apr-24 Contact Number  9016250929")</f>
        <v>Adarniya Kala Patel  ji ત્રણ શક્તિઓ - ત્રણ સિદ્ધિઓ : G_JS_29 : Allocated on 25-Apr-24 Contact Number  9016250929</v>
      </c>
      <c r="CH283" s="1" t="str">
        <f ca="1">IFERROR(__xludf.DUMMYFUNCTION("""COMPUTED_VALUE"""),"kalagpatel1959@gmail.com : ત્રણ શક્તિઓ - ત્રણ સિદ્ધિઓ : G_JS_29")</f>
        <v>kalagpatel1959@gmail.com : ત્રણ શક્તિઓ - ત્રણ સિદ્ધિઓ : G_JS_29</v>
      </c>
      <c r="CI283" s="5">
        <f ca="1">IFERROR(__xludf.DUMMYFUNCTION("""COMPUTED_VALUE"""),45407.379833831)</f>
        <v>45407.379833831001</v>
      </c>
    </row>
    <row r="284" spans="1:87" x14ac:dyDescent="0.25">
      <c r="A284" s="5">
        <f ca="1">IFERROR(__xludf.DUMMYFUNCTION("""COMPUTED_VALUE"""),45407.0863741087)</f>
        <v>45407.086374108701</v>
      </c>
      <c r="B284" s="1" t="str">
        <f ca="1">IFERROR(__xludf.DUMMYFUNCTION("""COMPUTED_VALUE"""),"sanjayneha1@yahoo.com")</f>
        <v>sanjayneha1@yahoo.com</v>
      </c>
      <c r="C284" s="1" t="str">
        <f ca="1">IFERROR(__xludf.DUMMYFUNCTION("""COMPUTED_VALUE"""),"Neha Manocha")</f>
        <v>Neha Manocha</v>
      </c>
      <c r="D284" s="1">
        <f ca="1">IFERROR(__xludf.DUMMYFUNCTION("""COMPUTED_VALUE"""),16174130446)</f>
        <v>16174130446</v>
      </c>
      <c r="E284" s="1" t="str">
        <f ca="1">IFERROR(__xludf.DUMMYFUNCTION("""COMPUTED_VALUE"""),"Yes")</f>
        <v>Yes</v>
      </c>
      <c r="F284" s="1" t="str">
        <f ca="1">IFERROR(__xludf.DUMMYFUNCTION("""COMPUTED_VALUE"""),"हिन्दी or English")</f>
        <v>हिन्दी or English</v>
      </c>
      <c r="G284" s="1" t="str">
        <f ca="1">IFERROR(__xludf.DUMMYFUNCTION("""COMPUTED_VALUE"""),"any")</f>
        <v>any</v>
      </c>
      <c r="H284" s="1" t="str">
        <f ca="1">IFERROR(__xludf.DUMMYFUNCTION("""COMPUTED_VALUE"""),"अध्यात्म, धर्म एवं आस्तिकता")</f>
        <v>अध्यात्म, धर्म एवं आस्तिकता</v>
      </c>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f ca="1">IFERROR(__xludf.DUMMYFUNCTION("""COMPUTED_VALUE"""),33)</f>
        <v>33</v>
      </c>
      <c r="BX284" s="1">
        <f ca="1">IFERROR(__xludf.DUMMYFUNCTION("""COMPUTED_VALUE"""),40)</f>
        <v>40</v>
      </c>
      <c r="BY284" s="1">
        <f ca="1">IFERROR(__xludf.DUMMYFUNCTION("""COMPUTED_VALUE"""),3)</f>
        <v>3</v>
      </c>
      <c r="BZ284" s="1">
        <f ca="1">IFERROR(__xludf.DUMMYFUNCTION("""COMPUTED_VALUE"""),22)</f>
        <v>22</v>
      </c>
      <c r="CA284" s="1"/>
      <c r="CB284" s="1"/>
      <c r="CC284" s="1" t="str">
        <f ca="1">IFERROR(__xludf.DUMMYFUNCTION("""COMPUTED_VALUE"""),"Renounce The Demoniac Addiction : EP_121")</f>
        <v>Renounce The Demoniac Addiction : EP_121</v>
      </c>
      <c r="CD284" s="3" t="str">
        <f ca="1">IFERROR(__xludf.DUMMYFUNCTION("""COMPUTED_VALUE"""),"https://vicharkrantibooks.org/productdetail?book_name=ENGP1015_RENOUNCE_THE_DEMONIAC_ADDICTION_xxyyyy&amp;product_id=3506")</f>
        <v>https://vicharkrantibooks.org/productdetail?book_name=ENGP1015_RENOUNCE_THE_DEMONIAC_ADDICTION_xxyyyy&amp;product_id=3506</v>
      </c>
      <c r="CE284" s="1" t="str">
        <f ca="1">IFERROR(__xludf.DUMMYFUNCTION("""COMPUTED_VALUE"""),"Audiobook : Renounce The Demoniac Addiction : EP_121 : sanjayneha1@yahoo.com : Recorded")</f>
        <v>Audiobook : Renounce The Demoniac Addiction : EP_121 : sanjayneha1@yahoo.com : Recorded</v>
      </c>
      <c r="CF284" s="1" t="str">
        <f ca="1">IFERROR(__xludf.DUMMYFUNCTION("""COMPUTED_VALUE"""),"Audiobook : Renounce The Demoniac Addiction : EP_121 : sanjayneha1@yahoo.com : Recorded")</f>
        <v>Audiobook : Renounce The Demoniac Addiction : EP_121 : sanjayneha1@yahoo.com : Recorded</v>
      </c>
      <c r="CG284" s="1" t="str">
        <f ca="1">IFERROR(__xludf.DUMMYFUNCTION("""COMPUTED_VALUE"""),"Adarniya Neha Manocha ji Renounce The Demoniac Addiction : EP_121 : Allocated on 25-Apr-24 Contact Number  16174130446")</f>
        <v>Adarniya Neha Manocha ji Renounce The Demoniac Addiction : EP_121 : Allocated on 25-Apr-24 Contact Number  16174130446</v>
      </c>
      <c r="CH284" s="1" t="str">
        <f ca="1">IFERROR(__xludf.DUMMYFUNCTION("""COMPUTED_VALUE"""),"sanjayneha1@yahoo.com : Renounce The Demoniac Addiction : EP_121")</f>
        <v>sanjayneha1@yahoo.com : Renounce The Demoniac Addiction : EP_121</v>
      </c>
      <c r="CI284" s="5">
        <f ca="1">IFERROR(__xludf.DUMMYFUNCTION("""COMPUTED_VALUE"""),45407.0863741087)</f>
        <v>45407.086374108701</v>
      </c>
    </row>
    <row r="285" spans="1:87" x14ac:dyDescent="0.25">
      <c r="A285" s="5">
        <f ca="1">IFERROR(__xludf.DUMMYFUNCTION("""COMPUTED_VALUE"""),45406.907905)</f>
        <v>45406.907905</v>
      </c>
      <c r="B285" s="1" t="str">
        <f ca="1">IFERROR(__xludf.DUMMYFUNCTION("""COMPUTED_VALUE"""),"dave.chhaya@gmail.com")</f>
        <v>dave.chhaya@gmail.com</v>
      </c>
      <c r="C285" s="1" t="str">
        <f ca="1">IFERROR(__xludf.DUMMYFUNCTION("""COMPUTED_VALUE"""),"Chhaya Deepak Dave ")</f>
        <v xml:space="preserve">Chhaya Deepak Dave </v>
      </c>
      <c r="D285" s="1">
        <f ca="1">IFERROR(__xludf.DUMMYFUNCTION("""COMPUTED_VALUE"""),9879596556)</f>
        <v>9879596556</v>
      </c>
      <c r="E285" s="1" t="str">
        <f ca="1">IFERROR(__xludf.DUMMYFUNCTION("""COMPUTED_VALUE"""),"Yes")</f>
        <v>Yes</v>
      </c>
      <c r="F285" s="1" t="str">
        <f ca="1">IFERROR(__xludf.DUMMYFUNCTION("""COMPUTED_VALUE"""),"गुजराती")</f>
        <v>गुजराती</v>
      </c>
      <c r="G285" s="1" t="str">
        <f ca="1">IFERROR(__xludf.DUMMYFUNCTION("""COMPUTED_VALUE"""),"युग द्रष्टा पं. श्रीराम शर्मा आचार्यजी")</f>
        <v>युग द्रष्टा पं. श्रीराम शर्मा आचार्यजी</v>
      </c>
      <c r="H285" s="1"/>
      <c r="I285" s="1"/>
      <c r="J285" s="1"/>
      <c r="K285" s="1"/>
      <c r="L285" s="1"/>
      <c r="M285" s="1"/>
      <c r="N285" s="1"/>
      <c r="O285" s="1"/>
      <c r="P285" s="1" t="str">
        <f ca="1">IFERROR(__xludf.DUMMYFUNCTION("""COMPUTED_VALUE"""),"युगॠषी की अमृतवाणी")</f>
        <v>युगॠषी की अमृतवाणी</v>
      </c>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f ca="1">IFERROR(__xludf.DUMMYFUNCTION("""COMPUTED_VALUE"""),46)</f>
        <v>46</v>
      </c>
      <c r="BX285" s="1">
        <f ca="1">IFERROR(__xludf.DUMMYFUNCTION("""COMPUTED_VALUE"""),39)</f>
        <v>39</v>
      </c>
      <c r="BY285" s="1">
        <f ca="1">IFERROR(__xludf.DUMMYFUNCTION("""COMPUTED_VALUE"""),6)</f>
        <v>6</v>
      </c>
      <c r="BZ285" s="1">
        <f ca="1">IFERROR(__xludf.DUMMYFUNCTION("""COMPUTED_VALUE"""),16)</f>
        <v>16</v>
      </c>
      <c r="CA285" s="1"/>
      <c r="CB285" s="1"/>
      <c r="CC285" s="1" t="str">
        <f ca="1">IFERROR(__xludf.DUMMYFUNCTION("""COMPUTED_VALUE"""),"દુર્ગતિ અને સદ્‍ગતિનું કારણ આપણે પોતે : G_JS_61")</f>
        <v>દુર્ગતિ અને સદ્‍ગતિનું કારણ આપણે પોતે : G_JS_61</v>
      </c>
      <c r="CD285" s="3" t="str">
        <f ca="1">IFERROR(__xludf.DUMMYFUNCTION("""COMPUTED_VALUE"""),"https://vicharkrantibooks.org/productdetail?product_id=3786")</f>
        <v>https://vicharkrantibooks.org/productdetail?product_id=3786</v>
      </c>
      <c r="CE285" s="1" t="str">
        <f ca="1">IFERROR(__xludf.DUMMYFUNCTION("""COMPUTED_VALUE"""),"Audiobook : દુર્ગતિ અને સદ્‍ગતિનું કારણ આપણે પોતે : G_JS_61 : dave.chhaya@gmail.com : Recorded")</f>
        <v>Audiobook : દુર્ગતિ અને સદ્‍ગતિનું કારણ આપણે પોતે : G_JS_61 : dave.chhaya@gmail.com : Recorded</v>
      </c>
      <c r="CF285" s="1" t="str">
        <f ca="1">IFERROR(__xludf.DUMMYFUNCTION("""COMPUTED_VALUE"""),"Audiobook : દુર્ગતિ અને સદ્‍ગતિનું કારણ આપણે પોતે : G_JS_61 : dave.chhaya@gmail.com : Recorded")</f>
        <v>Audiobook : દુર્ગતિ અને સદ્‍ગતિનું કારણ આપણે પોતે : G_JS_61 : dave.chhaya@gmail.com : Recorded</v>
      </c>
      <c r="CG285" s="1" t="str">
        <f ca="1">IFERROR(__xludf.DUMMYFUNCTION("""COMPUTED_VALUE"""),"Adarniya Chhaya Deepak Dave  ji દુર્ગતિ અને સદ્‍ગતિનું કારણ આપણે પોતે : G_JS_61 : Allocated on 24-Apr-24 Contact Number  9879596556")</f>
        <v>Adarniya Chhaya Deepak Dave  ji દુર્ગતિ અને સદ્‍ગતિનું કારણ આપણે પોતે : G_JS_61 : Allocated on 24-Apr-24 Contact Number  9879596556</v>
      </c>
      <c r="CH285" s="1" t="str">
        <f ca="1">IFERROR(__xludf.DUMMYFUNCTION("""COMPUTED_VALUE"""),"dave.chhaya@gmail.com : દુર્ગતિ અને સદ્‍ગતિનું કારણ આપણે પોતે : G_JS_61")</f>
        <v>dave.chhaya@gmail.com : દુર્ગતિ અને સદ્‍ગતિનું કારણ આપણે પોતે : G_JS_61</v>
      </c>
      <c r="CI285" s="5">
        <f ca="1">IFERROR(__xludf.DUMMYFUNCTION("""COMPUTED_VALUE"""),45406.907905)</f>
        <v>45406.907905</v>
      </c>
    </row>
    <row r="286" spans="1:87" x14ac:dyDescent="0.25">
      <c r="A286" s="5">
        <f ca="1">IFERROR(__xludf.DUMMYFUNCTION("""COMPUTED_VALUE"""),45406.6100023958)</f>
        <v>45406.610002395799</v>
      </c>
      <c r="B286" s="1" t="str">
        <f ca="1">IFERROR(__xludf.DUMMYFUNCTION("""COMPUTED_VALUE"""),"vandana15rastogi@gmail.com")</f>
        <v>vandana15rastogi@gmail.com</v>
      </c>
      <c r="C286" s="1" t="str">
        <f ca="1">IFERROR(__xludf.DUMMYFUNCTION("""COMPUTED_VALUE"""),"Vandana Rastogi")</f>
        <v>Vandana Rastogi</v>
      </c>
      <c r="D286" s="1">
        <f ca="1">IFERROR(__xludf.DUMMYFUNCTION("""COMPUTED_VALUE"""),9359528684)</f>
        <v>9359528684</v>
      </c>
      <c r="E286" s="1" t="str">
        <f ca="1">IFERROR(__xludf.DUMMYFUNCTION("""COMPUTED_VALUE"""),"Yes")</f>
        <v>Yes</v>
      </c>
      <c r="F286" s="1" t="str">
        <f ca="1">IFERROR(__xludf.DUMMYFUNCTION("""COMPUTED_VALUE"""),"हिन्दी")</f>
        <v>हिन्दी</v>
      </c>
      <c r="G286" s="1" t="str">
        <f ca="1">IFERROR(__xludf.DUMMYFUNCTION("""COMPUTED_VALUE"""),"समाज निर्माण")</f>
        <v>समाज निर्माण</v>
      </c>
      <c r="H286" s="1"/>
      <c r="I286" s="1"/>
      <c r="J286" s="1"/>
      <c r="K286" s="1"/>
      <c r="L286" s="1"/>
      <c r="M286" s="1"/>
      <c r="N286" s="1"/>
      <c r="O286" s="1"/>
      <c r="P286" s="1"/>
      <c r="Q286" s="1"/>
      <c r="R286" s="1"/>
      <c r="S286" s="1"/>
      <c r="T286" s="1"/>
      <c r="U286" s="1"/>
      <c r="V286" s="1" t="str">
        <f ca="1">IFERROR(__xludf.DUMMYFUNCTION("""COMPUTED_VALUE"""),"आदर्श विवाहों का प्रचलन")</f>
        <v>आदर्श विवाहों का प्रचलन</v>
      </c>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f ca="1">IFERROR(__xludf.DUMMYFUNCTION("""COMPUTED_VALUE"""),33)</f>
        <v>33</v>
      </c>
      <c r="BX286" s="1">
        <f ca="1">IFERROR(__xludf.DUMMYFUNCTION("""COMPUTED_VALUE"""),19)</f>
        <v>19</v>
      </c>
      <c r="BY286" s="1">
        <f ca="1">IFERROR(__xludf.DUMMYFUNCTION("""COMPUTED_VALUE"""),17)</f>
        <v>17</v>
      </c>
      <c r="BZ286" s="1">
        <f ca="1">IFERROR(__xludf.DUMMYFUNCTION("""COMPUTED_VALUE"""),14)</f>
        <v>14</v>
      </c>
      <c r="CA286" s="1"/>
      <c r="CB286" s="1"/>
      <c r="CC286" s="1" t="str">
        <f ca="1">IFERROR(__xludf.DUMMYFUNCTION("""COMPUTED_VALUE"""),"समाज ऋण को चुकाने आगे आयें : Rare Book")</f>
        <v>समाज ऋण को चुकाने आगे आयें : Rare Book</v>
      </c>
      <c r="CD286" s="3" t="str">
        <f ca="1">IFERROR(__xludf.DUMMYFUNCTION("""COMPUTED_VALUE"""),"https://vicharkrantibooks.org/productdetail?book_name=HINP0761_SAMAJ_RUN_KO_CHUKANE_AGE_AYEN_xx1982&amp;product_id=1326")</f>
        <v>https://vicharkrantibooks.org/productdetail?book_name=HINP0761_SAMAJ_RUN_KO_CHUKANE_AGE_AYEN_xx1982&amp;product_id=1326</v>
      </c>
      <c r="CE286" s="1" t="str">
        <f ca="1">IFERROR(__xludf.DUMMYFUNCTION("""COMPUTED_VALUE"""),"Audiobook : समाज ऋण को चुकाने आगे आयें : Rare Book : vandana15rastogi@gmail.com : Recorded")</f>
        <v>Audiobook : समाज ऋण को चुकाने आगे आयें : Rare Book : vandana15rastogi@gmail.com : Recorded</v>
      </c>
      <c r="CF286" s="1" t="str">
        <f ca="1">IFERROR(__xludf.DUMMYFUNCTION("""COMPUTED_VALUE"""),"Audiobook : समाज ऋण को चुकाने आगे आयें : Rare Book : vandana15rastogi@gmail.com : Recorded")</f>
        <v>Audiobook : समाज ऋण को चुकाने आगे आयें : Rare Book : vandana15rastogi@gmail.com : Recorded</v>
      </c>
      <c r="CG286" s="1" t="str">
        <f ca="1">IFERROR(__xludf.DUMMYFUNCTION("""COMPUTED_VALUE"""),"Adarniya Vandana Rastogi ji समाज ऋण को चुकाने आगे आयें : Rare Book : Allocated on 24-Apr-24 Contact Number  9359528684")</f>
        <v>Adarniya Vandana Rastogi ji समाज ऋण को चुकाने आगे आयें : Rare Book : Allocated on 24-Apr-24 Contact Number  9359528684</v>
      </c>
      <c r="CH286" s="1" t="str">
        <f ca="1">IFERROR(__xludf.DUMMYFUNCTION("""COMPUTED_VALUE"""),"vandana15rastogi@gmail.com : समाज ऋण को चुकाने आगे आयें : Rare Book")</f>
        <v>vandana15rastogi@gmail.com : समाज ऋण को चुकाने आगे आयें : Rare Book</v>
      </c>
      <c r="CI286" s="5">
        <f ca="1">IFERROR(__xludf.DUMMYFUNCTION("""COMPUTED_VALUE"""),45406.6100023958)</f>
        <v>45406.610002395799</v>
      </c>
    </row>
    <row r="287" spans="1:87" x14ac:dyDescent="0.25">
      <c r="A287" s="5">
        <f ca="1">IFERROR(__xludf.DUMMYFUNCTION("""COMPUTED_VALUE"""),45406.5316352199)</f>
        <v>45406.531635219901</v>
      </c>
      <c r="B287" s="1" t="str">
        <f ca="1">IFERROR(__xludf.DUMMYFUNCTION("""COMPUTED_VALUE"""),"anupriya_deshmukh9@yahoo.co.in")</f>
        <v>anupriya_deshmukh9@yahoo.co.in</v>
      </c>
      <c r="C287" s="1" t="str">
        <f ca="1">IFERROR(__xludf.DUMMYFUNCTION("""COMPUTED_VALUE"""),"Anupriya Deshmukh ")</f>
        <v xml:space="preserve">Anupriya Deshmukh </v>
      </c>
      <c r="D287" s="1">
        <f ca="1">IFERROR(__xludf.DUMMYFUNCTION("""COMPUTED_VALUE"""),7506739089)</f>
        <v>7506739089</v>
      </c>
      <c r="E287" s="1" t="str">
        <f ca="1">IFERROR(__xludf.DUMMYFUNCTION("""COMPUTED_VALUE"""),"Yes")</f>
        <v>Yes</v>
      </c>
      <c r="F287" s="1" t="str">
        <f ca="1">IFERROR(__xludf.DUMMYFUNCTION("""COMPUTED_VALUE"""),"हिन्दी")</f>
        <v>हिन्दी</v>
      </c>
      <c r="G287" s="1" t="str">
        <f ca="1">IFERROR(__xludf.DUMMYFUNCTION("""COMPUTED_VALUE"""),"भारतीय संस्कृति")</f>
        <v>भारतीय संस्कृति</v>
      </c>
      <c r="H287" s="1"/>
      <c r="I287" s="1"/>
      <c r="J287" s="1"/>
      <c r="K287" s="1"/>
      <c r="L287" s="1"/>
      <c r="M287" s="1"/>
      <c r="N287" s="1"/>
      <c r="O287" s="1" t="str">
        <f ca="1">IFERROR(__xludf.DUMMYFUNCTION("""COMPUTED_VALUE"""),"भारतीय संस्कृति")</f>
        <v>भारतीय संस्कृति</v>
      </c>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f ca="1">IFERROR(__xludf.DUMMYFUNCTION("""COMPUTED_VALUE"""),15)</f>
        <v>15</v>
      </c>
      <c r="BX287" s="1">
        <f ca="1">IFERROR(__xludf.DUMMYFUNCTION("""COMPUTED_VALUE"""),10)</f>
        <v>10</v>
      </c>
      <c r="BY287" s="1">
        <f ca="1">IFERROR(__xludf.DUMMYFUNCTION("""COMPUTED_VALUE"""),4)</f>
        <v>4</v>
      </c>
      <c r="BZ287" s="1">
        <f ca="1">IFERROR(__xludf.DUMMYFUNCTION("""COMPUTED_VALUE"""),6)</f>
        <v>6</v>
      </c>
      <c r="CA287" s="1"/>
      <c r="CB287" s="1"/>
      <c r="CC287" s="1" t="str">
        <f ca="1">IFERROR(__xludf.DUMMYFUNCTION("""COMPUTED_VALUE"""),"सूक्ष्म जगत का परिशोधन गायत्री यज्ञों से  : Rare Book")</f>
        <v>सूक्ष्म जगत का परिशोधन गायत्री यज्ञों से  : Rare Book</v>
      </c>
      <c r="CD287" s="3" t="str">
        <f ca="1">IFERROR(__xludf.DUMMYFUNCTION("""COMPUTED_VALUE"""),"https://vicharkrantibooks.org/productdetail?book_name=HINP0874_SUKSHM_JAGAT_KA_PARISHODHAN_GAYATRI_YAGYON_SE_xx1979&amp;product_id=1439")</f>
        <v>https://vicharkrantibooks.org/productdetail?book_name=HINP0874_SUKSHM_JAGAT_KA_PARISHODHAN_GAYATRI_YAGYON_SE_xx1979&amp;product_id=1439</v>
      </c>
      <c r="CE287" s="1" t="str">
        <f ca="1">IFERROR(__xludf.DUMMYFUNCTION("""COMPUTED_VALUE"""),"Audiobook : सूक्ष्म जगत का परिशोधन गायत्री यज्ञों से  : Rare Book : anupriya_deshmukh9@yahoo.co.in : Recorded")</f>
        <v>Audiobook : सूक्ष्म जगत का परिशोधन गायत्री यज्ञों से  : Rare Book : anupriya_deshmukh9@yahoo.co.in : Recorded</v>
      </c>
      <c r="CF287" s="1" t="str">
        <f ca="1">IFERROR(__xludf.DUMMYFUNCTION("""COMPUTED_VALUE"""),"#N/A")</f>
        <v>#N/A</v>
      </c>
      <c r="CG287" s="1" t="str">
        <f ca="1">IFERROR(__xludf.DUMMYFUNCTION("""COMPUTED_VALUE"""),"Adarniya Anupriya Deshmukh  ji सूक्ष्म जगत का परिशोधन गायत्री यज्ञों से  : Rare Book : Allocated on 24-Apr-24 Contact Number  7506739089")</f>
        <v>Adarniya Anupriya Deshmukh  ji सूक्ष्म जगत का परिशोधन गायत्री यज्ञों से  : Rare Book : Allocated on 24-Apr-24 Contact Number  7506739089</v>
      </c>
      <c r="CH287" s="1" t="str">
        <f ca="1">IFERROR(__xludf.DUMMYFUNCTION("""COMPUTED_VALUE"""),"anupriya_deshmukh9@yahoo.co.in : सूक्ष्म जगत का परिशोधन गायत्री यज्ञों से  : Rare Book")</f>
        <v>anupriya_deshmukh9@yahoo.co.in : सूक्ष्म जगत का परिशोधन गायत्री यज्ञों से  : Rare Book</v>
      </c>
      <c r="CI287" s="5">
        <f ca="1">IFERROR(__xludf.DUMMYFUNCTION("""COMPUTED_VALUE"""),45406.5316352199)</f>
        <v>45406.531635219901</v>
      </c>
    </row>
    <row r="288" spans="1:87" x14ac:dyDescent="0.25">
      <c r="A288" s="5">
        <f ca="1">IFERROR(__xludf.DUMMYFUNCTION("""COMPUTED_VALUE"""),45406.3977175578)</f>
        <v>45406.397717557797</v>
      </c>
      <c r="B288" s="1" t="str">
        <f ca="1">IFERROR(__xludf.DUMMYFUNCTION("""COMPUTED_VALUE"""),"daleshwary67@gmail.com")</f>
        <v>daleshwary67@gmail.com</v>
      </c>
      <c r="C288" s="1" t="str">
        <f ca="1">IFERROR(__xludf.DUMMYFUNCTION("""COMPUTED_VALUE"""),"daleshwary sharma")</f>
        <v>daleshwary sharma</v>
      </c>
      <c r="D288" s="1">
        <f ca="1">IFERROR(__xludf.DUMMYFUNCTION("""COMPUTED_VALUE"""),8587900034)</f>
        <v>8587900034</v>
      </c>
      <c r="E288" s="1" t="str">
        <f ca="1">IFERROR(__xludf.DUMMYFUNCTION("""COMPUTED_VALUE"""),"No")</f>
        <v>No</v>
      </c>
      <c r="F288" s="1" t="str">
        <f ca="1">IFERROR(__xludf.DUMMYFUNCTION("""COMPUTED_VALUE"""),"हिन्दी")</f>
        <v>हिन्दी</v>
      </c>
      <c r="G288" s="1" t="str">
        <f ca="1">IFERROR(__xludf.DUMMYFUNCTION("""COMPUTED_VALUE"""),"समग्र स्वास्थ्य")</f>
        <v>समग्र स्वास्थ्य</v>
      </c>
      <c r="H288" s="1"/>
      <c r="I288" s="1"/>
      <c r="J288" s="1"/>
      <c r="K288" s="1"/>
      <c r="L288" s="1"/>
      <c r="M288" s="1"/>
      <c r="N288" s="1"/>
      <c r="O288" s="1"/>
      <c r="P288" s="1"/>
      <c r="Q288" s="1"/>
      <c r="R288" s="1"/>
      <c r="S288" s="1"/>
      <c r="T288" s="1"/>
      <c r="U288" s="1" t="str">
        <f ca="1">IFERROR(__xludf.DUMMYFUNCTION("""COMPUTED_VALUE"""),"आहार-विहार एवं उपवास")</f>
        <v>आहार-विहार एवं उपवास</v>
      </c>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f ca="1">IFERROR(__xludf.DUMMYFUNCTION("""COMPUTED_VALUE"""),15)</f>
        <v>15</v>
      </c>
      <c r="BX288" s="1">
        <f ca="1">IFERROR(__xludf.DUMMYFUNCTION("""COMPUTED_VALUE"""),9)</f>
        <v>9</v>
      </c>
      <c r="BY288" s="1">
        <f ca="1">IFERROR(__xludf.DUMMYFUNCTION("""COMPUTED_VALUE"""),5)</f>
        <v>5</v>
      </c>
      <c r="BZ288" s="1">
        <f ca="1">IFERROR(__xludf.DUMMYFUNCTION("""COMPUTED_VALUE"""),5)</f>
        <v>5</v>
      </c>
      <c r="CA288" s="1"/>
      <c r="CB288" s="1"/>
      <c r="CC288" s="1" t="str">
        <f ca="1">IFERROR(__xludf.DUMMYFUNCTION("""COMPUTED_VALUE"""),"हदय रोगों का कारण और निवारण : Rare Book")</f>
        <v>हदय रोगों का कारण और निवारण : Rare Book</v>
      </c>
      <c r="CD288" s="3" t="str">
        <f ca="1">IFERROR(__xludf.DUMMYFUNCTION("""COMPUTED_VALUE"""),"https://vicharkrantibooks.org/productdetail?book_name=HINP0328_HADAY_ROGON_KA_KARAN_AUR_NIVARAN_xxyyyy&amp;product_id=893")</f>
        <v>https://vicharkrantibooks.org/productdetail?book_name=HINP0328_HADAY_ROGON_KA_KARAN_AUR_NIVARAN_xxyyyy&amp;product_id=893</v>
      </c>
      <c r="CE288" s="1" t="str">
        <f ca="1">IFERROR(__xludf.DUMMYFUNCTION("""COMPUTED_VALUE"""),"Audiobook : हदय रोगों का कारण और निवारण : Rare Book : daleshwary67@gmail.com : Recorded")</f>
        <v>Audiobook : हदय रोगों का कारण और निवारण : Rare Book : daleshwary67@gmail.com : Recorded</v>
      </c>
      <c r="CF288" s="1" t="str">
        <f ca="1">IFERROR(__xludf.DUMMYFUNCTION("""COMPUTED_VALUE"""),"Audiobook : हदय रोगों का कारण और निवारण : Rare Book : daleshwary67@gmail.com : Recorded")</f>
        <v>Audiobook : हदय रोगों का कारण और निवारण : Rare Book : daleshwary67@gmail.com : Recorded</v>
      </c>
      <c r="CG288" s="1" t="str">
        <f ca="1">IFERROR(__xludf.DUMMYFUNCTION("""COMPUTED_VALUE"""),"Adarniya daleshwary sharma ji हदय रोगों का कारण और निवारण : Rare Book : Allocated on 24-Apr-24 Contact Number  8587900034")</f>
        <v>Adarniya daleshwary sharma ji हदय रोगों का कारण और निवारण : Rare Book : Allocated on 24-Apr-24 Contact Number  8587900034</v>
      </c>
      <c r="CH288" s="1" t="str">
        <f ca="1">IFERROR(__xludf.DUMMYFUNCTION("""COMPUTED_VALUE"""),"daleshwary67@gmail.com : हदय रोगों का कारण और निवारण : Rare Book")</f>
        <v>daleshwary67@gmail.com : हदय रोगों का कारण और निवारण : Rare Book</v>
      </c>
      <c r="CI288" s="5">
        <f ca="1">IFERROR(__xludf.DUMMYFUNCTION("""COMPUTED_VALUE"""),45406.3977175578)</f>
        <v>45406.397717557797</v>
      </c>
    </row>
    <row r="289" spans="1:87" x14ac:dyDescent="0.25">
      <c r="A289" s="5">
        <f ca="1">IFERROR(__xludf.DUMMYFUNCTION("""COMPUTED_VALUE"""),45405.9738299537)</f>
        <v>45405.973829953698</v>
      </c>
      <c r="B289" s="1" t="str">
        <f ca="1">IFERROR(__xludf.DUMMYFUNCTION("""COMPUTED_VALUE"""),"druma4107@gmail.com")</f>
        <v>druma4107@gmail.com</v>
      </c>
      <c r="C289" s="1" t="str">
        <f ca="1">IFERROR(__xludf.DUMMYFUNCTION("""COMPUTED_VALUE"""),"Dr Uma Agrawal")</f>
        <v>Dr Uma Agrawal</v>
      </c>
      <c r="D289" s="1">
        <f ca="1">IFERROR(__xludf.DUMMYFUNCTION("""COMPUTED_VALUE"""),9410861182)</f>
        <v>9410861182</v>
      </c>
      <c r="E289" s="1" t="str">
        <f ca="1">IFERROR(__xludf.DUMMYFUNCTION("""COMPUTED_VALUE"""),"Yes")</f>
        <v>Yes</v>
      </c>
      <c r="F289" s="1" t="str">
        <f ca="1">IFERROR(__xludf.DUMMYFUNCTION("""COMPUTED_VALUE"""),"हिन्दी")</f>
        <v>हिन्दी</v>
      </c>
      <c r="G289" s="1" t="str">
        <f ca="1">IFERROR(__xludf.DUMMYFUNCTION("""COMPUTED_VALUE"""),"युग द्रष्टा पं. श्रीराम शर्मा आचार्यजी")</f>
        <v>युग द्रष्टा पं. श्रीराम शर्मा आचार्यजी</v>
      </c>
      <c r="H289" s="1"/>
      <c r="I289" s="1"/>
      <c r="J289" s="1"/>
      <c r="K289" s="1"/>
      <c r="L289" s="1"/>
      <c r="M289" s="1"/>
      <c r="N289" s="1"/>
      <c r="O289" s="1"/>
      <c r="P289" s="1" t="str">
        <f ca="1">IFERROR(__xludf.DUMMYFUNCTION("""COMPUTED_VALUE"""),"युगॠषी का जीवनदर्शन")</f>
        <v>युगॠषी का जीवनदर्शन</v>
      </c>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f ca="1">IFERROR(__xludf.DUMMYFUNCTION("""COMPUTED_VALUE"""),104)</f>
        <v>104</v>
      </c>
      <c r="BX289" s="1">
        <f ca="1">IFERROR(__xludf.DUMMYFUNCTION("""COMPUTED_VALUE"""),106)</f>
        <v>106</v>
      </c>
      <c r="BY289" s="1">
        <f ca="1">IFERROR(__xludf.DUMMYFUNCTION("""COMPUTED_VALUE"""),9)</f>
        <v>9</v>
      </c>
      <c r="BZ289" s="1">
        <f ca="1">IFERROR(__xludf.DUMMYFUNCTION("""COMPUTED_VALUE"""),43)</f>
        <v>43</v>
      </c>
      <c r="CA289" s="1"/>
      <c r="CB289" s="1"/>
      <c r="CC289" s="1" t="str">
        <f ca="1">IFERROR(__xludf.DUMMYFUNCTION("""COMPUTED_VALUE"""),"धर्म अफीम की गोली नहीं है : Rare Book")</f>
        <v>धर्म अफीम की गोली नहीं है : Rare Book</v>
      </c>
      <c r="CD289" s="3" t="str">
        <f ca="1">IFERROR(__xludf.DUMMYFUNCTION("""COMPUTED_VALUE"""),"https://vicharkrantibooks.org/productdetail?book_name=HINP0229_DHARM_APHIM_KI_GOLI_NAHI_HAI_xx1982&amp;product_id=794")</f>
        <v>https://vicharkrantibooks.org/productdetail?book_name=HINP0229_DHARM_APHIM_KI_GOLI_NAHI_HAI_xx1982&amp;product_id=794</v>
      </c>
      <c r="CE289" s="1" t="str">
        <f ca="1">IFERROR(__xludf.DUMMYFUNCTION("""COMPUTED_VALUE"""),"Audiobook : धर्म अफीम की गोली नहीं है : Rare Book : druma4107@gmail.com : Recorded")</f>
        <v>Audiobook : धर्म अफीम की गोली नहीं है : Rare Book : druma4107@gmail.com : Recorded</v>
      </c>
      <c r="CF289" s="1" t="str">
        <f ca="1">IFERROR(__xludf.DUMMYFUNCTION("""COMPUTED_VALUE"""),"Audiobook : धर्म अफीम की गोली नहीं है : Rare Book : druma4107@gmail.com : Recorded")</f>
        <v>Audiobook : धर्म अफीम की गोली नहीं है : Rare Book : druma4107@gmail.com : Recorded</v>
      </c>
      <c r="CG289" s="1" t="str">
        <f ca="1">IFERROR(__xludf.DUMMYFUNCTION("""COMPUTED_VALUE"""),"Adarniya Dr Uma Agrawal ji धर्म अफीम की गोली नहीं है : Rare Book : Allocated on 23-Apr-24 Contact Number  9410861182")</f>
        <v>Adarniya Dr Uma Agrawal ji धर्म अफीम की गोली नहीं है : Rare Book : Allocated on 23-Apr-24 Contact Number  9410861182</v>
      </c>
      <c r="CH289" s="1" t="str">
        <f ca="1">IFERROR(__xludf.DUMMYFUNCTION("""COMPUTED_VALUE"""),"druma4107@gmail.com : धर्म अफीम की गोली नहीं है : Rare Book")</f>
        <v>druma4107@gmail.com : धर्म अफीम की गोली नहीं है : Rare Book</v>
      </c>
      <c r="CI289" s="5">
        <f ca="1">IFERROR(__xludf.DUMMYFUNCTION("""COMPUTED_VALUE"""),45405.9738299537)</f>
        <v>45405.973829953698</v>
      </c>
    </row>
    <row r="290" spans="1:87" x14ac:dyDescent="0.25">
      <c r="A290" s="5">
        <f ca="1">IFERROR(__xludf.DUMMYFUNCTION("""COMPUTED_VALUE"""),45405.4406090972)</f>
        <v>45405.440609097197</v>
      </c>
      <c r="B290" s="1" t="str">
        <f ca="1">IFERROR(__xludf.DUMMYFUNCTION("""COMPUTED_VALUE"""),"rajnivarma24.vns@gmail.com")</f>
        <v>rajnivarma24.vns@gmail.com</v>
      </c>
      <c r="C290" s="1" t="str">
        <f ca="1">IFERROR(__xludf.DUMMYFUNCTION("""COMPUTED_VALUE"""),"Rajni varma")</f>
        <v>Rajni varma</v>
      </c>
      <c r="D290" s="1">
        <f ca="1">IFERROR(__xludf.DUMMYFUNCTION("""COMPUTED_VALUE"""),9335661433)</f>
        <v>9335661433</v>
      </c>
      <c r="E290" s="1" t="str">
        <f ca="1">IFERROR(__xludf.DUMMYFUNCTION("""COMPUTED_VALUE"""),"No")</f>
        <v>No</v>
      </c>
      <c r="F290" s="1" t="str">
        <f ca="1">IFERROR(__xludf.DUMMYFUNCTION("""COMPUTED_VALUE"""),"हिन्दी")</f>
        <v>हिन्दी</v>
      </c>
      <c r="G290" s="1" t="str">
        <f ca="1">IFERROR(__xludf.DUMMYFUNCTION("""COMPUTED_VALUE"""),"युग द्रष्टा पं. श्रीराम शर्मा आचार्यजी")</f>
        <v>युग द्रष्टा पं. श्रीराम शर्मा आचार्यजी</v>
      </c>
      <c r="H290" s="1"/>
      <c r="I290" s="1"/>
      <c r="J290" s="1"/>
      <c r="K290" s="1"/>
      <c r="L290" s="1"/>
      <c r="M290" s="1"/>
      <c r="N290" s="1"/>
      <c r="O290" s="1"/>
      <c r="P290" s="1" t="str">
        <f ca="1">IFERROR(__xludf.DUMMYFUNCTION("""COMPUTED_VALUE"""),"युगॠषी का जीवनदर्शन")</f>
        <v>युगॠषी का जीवनदर्शन</v>
      </c>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f ca="1">IFERROR(__xludf.DUMMYFUNCTION("""COMPUTED_VALUE"""),30)</f>
        <v>30</v>
      </c>
      <c r="BX290" s="1">
        <f ca="1">IFERROR(__xludf.DUMMYFUNCTION("""COMPUTED_VALUE"""),25)</f>
        <v>25</v>
      </c>
      <c r="BY290" s="1">
        <f ca="1">IFERROR(__xludf.DUMMYFUNCTION("""COMPUTED_VALUE"""),7)</f>
        <v>7</v>
      </c>
      <c r="BZ290" s="1">
        <f ca="1">IFERROR(__xludf.DUMMYFUNCTION("""COMPUTED_VALUE"""),7)</f>
        <v>7</v>
      </c>
      <c r="CA290" s="1"/>
      <c r="CB290" s="1"/>
      <c r="CC290" s="1" t="str">
        <f ca="1">IFERROR(__xludf.DUMMYFUNCTION("""COMPUTED_VALUE"""),"तीर्थ यात्राओं से जन जागरण : Rare Book")</f>
        <v>तीर्थ यात्राओं से जन जागरण : Rare Book</v>
      </c>
      <c r="CD290" s="3" t="str">
        <f ca="1">IFERROR(__xludf.DUMMYFUNCTION("""COMPUTED_VALUE"""),"https://vicharkrantibooks.org/productdetail?book_name=HINP0909_TIRTH_YATRAON_SE_JAN_JAGARAN_xx1981&amp;product_id=1474")</f>
        <v>https://vicharkrantibooks.org/productdetail?book_name=HINP0909_TIRTH_YATRAON_SE_JAN_JAGARAN_xx1981&amp;product_id=1474</v>
      </c>
      <c r="CE290" s="1" t="str">
        <f ca="1">IFERROR(__xludf.DUMMYFUNCTION("""COMPUTED_VALUE"""),"Audiobook : तीर्थ यात्राओं से जन जागरण : Rare Book : rajnivarma24.vns@gmail.com : Recorded")</f>
        <v>Audiobook : तीर्थ यात्राओं से जन जागरण : Rare Book : rajnivarma24.vns@gmail.com : Recorded</v>
      </c>
      <c r="CF290" s="1" t="str">
        <f ca="1">IFERROR(__xludf.DUMMYFUNCTION("""COMPUTED_VALUE"""),"Audiobook : तीर्थ यात्राओं से जन जागरण : Rare Book : rajnivarma24.vns@gmail.com : Recorded")</f>
        <v>Audiobook : तीर्थ यात्राओं से जन जागरण : Rare Book : rajnivarma24.vns@gmail.com : Recorded</v>
      </c>
      <c r="CG290" s="1" t="str">
        <f ca="1">IFERROR(__xludf.DUMMYFUNCTION("""COMPUTED_VALUE"""),"Adarniya Rajni varma ji तीर्थ यात्राओं से जन जागरण : Rare Book : Allocated on 23-Apr-24 Contact Number  9335661433")</f>
        <v>Adarniya Rajni varma ji तीर्थ यात्राओं से जन जागरण : Rare Book : Allocated on 23-Apr-24 Contact Number  9335661433</v>
      </c>
      <c r="CH290" s="1" t="str">
        <f ca="1">IFERROR(__xludf.DUMMYFUNCTION("""COMPUTED_VALUE"""),"rajnivarma24.vns@gmail.com : तीर्थ यात्राओं से जन जागरण : Rare Book")</f>
        <v>rajnivarma24.vns@gmail.com : तीर्थ यात्राओं से जन जागरण : Rare Book</v>
      </c>
      <c r="CI290" s="5">
        <f ca="1">IFERROR(__xludf.DUMMYFUNCTION("""COMPUTED_VALUE"""),45405.4406090972)</f>
        <v>45405.440609097197</v>
      </c>
    </row>
    <row r="291" spans="1:87" x14ac:dyDescent="0.25">
      <c r="A291" s="5">
        <f ca="1">IFERROR(__xludf.DUMMYFUNCTION("""COMPUTED_VALUE"""),45405.4295912615)</f>
        <v>45405.429591261498</v>
      </c>
      <c r="B291" s="1" t="str">
        <f ca="1">IFERROR(__xludf.DUMMYFUNCTION("""COMPUTED_VALUE"""),"jagriti.mishra@gmail.com")</f>
        <v>jagriti.mishra@gmail.com</v>
      </c>
      <c r="C291" s="1" t="str">
        <f ca="1">IFERROR(__xludf.DUMMYFUNCTION("""COMPUTED_VALUE"""),"Jagriti Mishra")</f>
        <v>Jagriti Mishra</v>
      </c>
      <c r="D291" s="1">
        <f ca="1">IFERROR(__xludf.DUMMYFUNCTION("""COMPUTED_VALUE"""),9860078596)</f>
        <v>9860078596</v>
      </c>
      <c r="E291" s="1" t="str">
        <f ca="1">IFERROR(__xludf.DUMMYFUNCTION("""COMPUTED_VALUE"""),"Yes")</f>
        <v>Yes</v>
      </c>
      <c r="F291" s="1" t="str">
        <f ca="1">IFERROR(__xludf.DUMMYFUNCTION("""COMPUTED_VALUE"""),"हिन्दी")</f>
        <v>हिन्दी</v>
      </c>
      <c r="G291" s="1" t="str">
        <f ca="1">IFERROR(__xludf.DUMMYFUNCTION("""COMPUTED_VALUE"""),"परिवार निर्माण")</f>
        <v>परिवार निर्माण</v>
      </c>
      <c r="H291" s="1"/>
      <c r="I291" s="1"/>
      <c r="J291" s="1"/>
      <c r="K291" s="1"/>
      <c r="L291" s="1"/>
      <c r="M291" s="1" t="str">
        <f ca="1">IFERROR(__xludf.DUMMYFUNCTION("""COMPUTED_VALUE"""),"परिवार")</f>
        <v>परिवार</v>
      </c>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f ca="1">IFERROR(__xludf.DUMMYFUNCTION("""COMPUTED_VALUE"""),3)</f>
        <v>3</v>
      </c>
      <c r="BX291" s="1">
        <f ca="1">IFERROR(__xludf.DUMMYFUNCTION("""COMPUTED_VALUE"""),2)</f>
        <v>2</v>
      </c>
      <c r="BY291" s="1">
        <f ca="1">IFERROR(__xludf.DUMMYFUNCTION("""COMPUTED_VALUE"""),1)</f>
        <v>1</v>
      </c>
      <c r="BZ291" s="1">
        <f ca="1">IFERROR(__xludf.DUMMYFUNCTION("""COMPUTED_VALUE"""),0)</f>
        <v>0</v>
      </c>
      <c r="CA291" s="1"/>
      <c r="CB291" s="1"/>
      <c r="CC291" s="1" t="str">
        <f ca="1">IFERROR(__xludf.DUMMYFUNCTION("""COMPUTED_VALUE"""),"व्यक्तित्व निर्माण की प्रयोगशाला परिवार संस्था : Rare Book")</f>
        <v>व्यक्तित्व निर्माण की प्रयोगशाला परिवार संस्था : Rare Book</v>
      </c>
      <c r="CD291" s="3" t="str">
        <f ca="1">IFERROR(__xludf.DUMMYFUNCTION("""COMPUTED_VALUE"""),"https://vicharkrantibooks.org/productdetail?book_name=HINP1012_VYAKTITV_NIRMAN_KI_PRAYOGASHALA_PARIWAR_SANSTHA_xx1982&amp;product_id=1577")</f>
        <v>https://vicharkrantibooks.org/productdetail?book_name=HINP1012_VYAKTITV_NIRMAN_KI_PRAYOGASHALA_PARIWAR_SANSTHA_xx1982&amp;product_id=1577</v>
      </c>
      <c r="CE291" s="1" t="str">
        <f ca="1">IFERROR(__xludf.DUMMYFUNCTION("""COMPUTED_VALUE"""),"Audiobook : व्यक्तित्व निर्माण की प्रयोगशाला परिवार संस्था : Rare Book : jagriti.mishra@gmail.com : Recorded")</f>
        <v>Audiobook : व्यक्तित्व निर्माण की प्रयोगशाला परिवार संस्था : Rare Book : jagriti.mishra@gmail.com : Recorded</v>
      </c>
      <c r="CF291" s="1" t="str">
        <f ca="1">IFERROR(__xludf.DUMMYFUNCTION("""COMPUTED_VALUE"""),"Audiobook : व्यक्तित्व निर्माण की प्रयोगशाला परिवार संस्था : Rare Book : jagriti.mishra@gmail.com : Recorded")</f>
        <v>Audiobook : व्यक्तित्व निर्माण की प्रयोगशाला परिवार संस्था : Rare Book : jagriti.mishra@gmail.com : Recorded</v>
      </c>
      <c r="CG291" s="1" t="str">
        <f ca="1">IFERROR(__xludf.DUMMYFUNCTION("""COMPUTED_VALUE"""),"Adarniya Jagriti Mishra ji व्यक्तित्व निर्माण की प्रयोगशाला परिवार संस्था : Rare Book : Allocated on 23-Apr-24 Contact Number  9860078596")</f>
        <v>Adarniya Jagriti Mishra ji व्यक्तित्व निर्माण की प्रयोगशाला परिवार संस्था : Rare Book : Allocated on 23-Apr-24 Contact Number  9860078596</v>
      </c>
      <c r="CH291" s="1" t="str">
        <f ca="1">IFERROR(__xludf.DUMMYFUNCTION("""COMPUTED_VALUE"""),"jagriti.mishra@gmail.com : व्यक्तित्व निर्माण की प्रयोगशाला परिवार संस्था : Rare Book")</f>
        <v>jagriti.mishra@gmail.com : व्यक्तित्व निर्माण की प्रयोगशाला परिवार संस्था : Rare Book</v>
      </c>
      <c r="CI291" s="5">
        <f ca="1">IFERROR(__xludf.DUMMYFUNCTION("""COMPUTED_VALUE"""),45405.4295912615)</f>
        <v>45405.429591261498</v>
      </c>
    </row>
    <row r="292" spans="1:87" x14ac:dyDescent="0.25">
      <c r="A292" s="5">
        <f ca="1">IFERROR(__xludf.DUMMYFUNCTION("""COMPUTED_VALUE"""),45405.3148052083)</f>
        <v>45405.314805208298</v>
      </c>
      <c r="B292" s="1" t="str">
        <f ca="1">IFERROR(__xludf.DUMMYFUNCTION("""COMPUTED_VALUE"""),"anshtraders19@gmail.com")</f>
        <v>anshtraders19@gmail.com</v>
      </c>
      <c r="C292" s="1" t="str">
        <f ca="1">IFERROR(__xludf.DUMMYFUNCTION("""COMPUTED_VALUE"""),"Anshu")</f>
        <v>Anshu</v>
      </c>
      <c r="D292" s="1">
        <f ca="1">IFERROR(__xludf.DUMMYFUNCTION("""COMPUTED_VALUE"""),8700767356)</f>
        <v>8700767356</v>
      </c>
      <c r="E292" s="1" t="str">
        <f ca="1">IFERROR(__xludf.DUMMYFUNCTION("""COMPUTED_VALUE"""),"Yes")</f>
        <v>Yes</v>
      </c>
      <c r="F292" s="1" t="str">
        <f ca="1">IFERROR(__xludf.DUMMYFUNCTION("""COMPUTED_VALUE"""),"हिन्दी")</f>
        <v>हिन्दी</v>
      </c>
      <c r="G292" s="1" t="str">
        <f ca="1">IFERROR(__xludf.DUMMYFUNCTION("""COMPUTED_VALUE"""),"युग द्रष्टा पं. श्रीराम शर्मा आचार्यजी")</f>
        <v>युग द्रष्टा पं. श्रीराम शर्मा आचार्यजी</v>
      </c>
      <c r="H292" s="1"/>
      <c r="I292" s="1"/>
      <c r="J292" s="1"/>
      <c r="K292" s="1"/>
      <c r="L292" s="1"/>
      <c r="M292" s="1"/>
      <c r="N292" s="1"/>
      <c r="O292" s="1"/>
      <c r="P292" s="1" t="str">
        <f ca="1">IFERROR(__xludf.DUMMYFUNCTION("""COMPUTED_VALUE"""),"युगॠषी का जीवनदर्शन")</f>
        <v>युगॠषी का जीवनदर्शन</v>
      </c>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f ca="1">IFERROR(__xludf.DUMMYFUNCTION("""COMPUTED_VALUE"""),3)</f>
        <v>3</v>
      </c>
      <c r="BX292" s="1">
        <f ca="1">IFERROR(__xludf.DUMMYFUNCTION("""COMPUTED_VALUE"""),1)</f>
        <v>1</v>
      </c>
      <c r="BY292" s="1">
        <f ca="1">IFERROR(__xludf.DUMMYFUNCTION("""COMPUTED_VALUE"""),3)</f>
        <v>3</v>
      </c>
      <c r="BZ292" s="1">
        <f ca="1">IFERROR(__xludf.DUMMYFUNCTION("""COMPUTED_VALUE"""),1)</f>
        <v>1</v>
      </c>
      <c r="CA292" s="1"/>
      <c r="CB292" s="1"/>
      <c r="CC292" s="1" t="str">
        <f ca="1">IFERROR(__xludf.DUMMYFUNCTION("""COMPUTED_VALUE"""),"तीर्थ यात्रा धर्म परंपरा पुनर्जीवन अभियान का प्रेमोपहार : Rare Book")</f>
        <v>तीर्थ यात्रा धर्म परंपरा पुनर्जीवन अभियान का प्रेमोपहार : Rare Book</v>
      </c>
      <c r="CD292" s="3" t="str">
        <f ca="1">IFERROR(__xludf.DUMMYFUNCTION("""COMPUTED_VALUE"""),"https://vicharkrantibooks.org/productdetail?book_name=HINP0910_TIRTHAYATRA_DHARM_PARAMPARA_PUNARJIVAN_ABHIYAN_KA_PREMOPAHAR_xxyyyy&amp;product_id=1475")</f>
        <v>https://vicharkrantibooks.org/productdetail?book_name=HINP0910_TIRTHAYATRA_DHARM_PARAMPARA_PUNARJIVAN_ABHIYAN_KA_PREMOPAHAR_xxyyyy&amp;product_id=1475</v>
      </c>
      <c r="CE292" s="1" t="str">
        <f ca="1">IFERROR(__xludf.DUMMYFUNCTION("""COMPUTED_VALUE"""),"Audiobook : तीर्थ यात्रा धर्म परंपरा पुनर्जीवन अभियान का प्रेमोपहार : Rare Book : anshtraders19@gmail.com : Recorded")</f>
        <v>Audiobook : तीर्थ यात्रा धर्म परंपरा पुनर्जीवन अभियान का प्रेमोपहार : Rare Book : anshtraders19@gmail.com : Recorded</v>
      </c>
      <c r="CF292" s="1" t="str">
        <f ca="1">IFERROR(__xludf.DUMMYFUNCTION("""COMPUTED_VALUE"""),"#N/A")</f>
        <v>#N/A</v>
      </c>
      <c r="CG292" s="1" t="str">
        <f ca="1">IFERROR(__xludf.DUMMYFUNCTION("""COMPUTED_VALUE"""),"Adarniya Anshu ji तीर्थ यात्रा धर्म परंपरा पुनर्जीवन अभियान का प्रेमोपहार : Rare Book : Allocated on 23-Apr-24 Contact Number  8700767356")</f>
        <v>Adarniya Anshu ji तीर्थ यात्रा धर्म परंपरा पुनर्जीवन अभियान का प्रेमोपहार : Rare Book : Allocated on 23-Apr-24 Contact Number  8700767356</v>
      </c>
      <c r="CH292" s="1" t="str">
        <f ca="1">IFERROR(__xludf.DUMMYFUNCTION("""COMPUTED_VALUE"""),"anshtraders19@gmail.com : तीर्थ यात्रा धर्म परंपरा पुनर्जीवन अभियान का प्रेमोपहार : Rare Book")</f>
        <v>anshtraders19@gmail.com : तीर्थ यात्रा धर्म परंपरा पुनर्जीवन अभियान का प्रेमोपहार : Rare Book</v>
      </c>
      <c r="CI292" s="5">
        <f ca="1">IFERROR(__xludf.DUMMYFUNCTION("""COMPUTED_VALUE"""),45405.3148052083)</f>
        <v>45405.314805208298</v>
      </c>
    </row>
    <row r="293" spans="1:87" x14ac:dyDescent="0.25">
      <c r="A293" s="5">
        <f ca="1">IFERROR(__xludf.DUMMYFUNCTION("""COMPUTED_VALUE"""),45404.8774660069)</f>
        <v>45404.877466006903</v>
      </c>
      <c r="B293" s="1" t="str">
        <f ca="1">IFERROR(__xludf.DUMMYFUNCTION("""COMPUTED_VALUE"""),"kalagpatel1959@gmail.com")</f>
        <v>kalagpatel1959@gmail.com</v>
      </c>
      <c r="C293" s="1" t="str">
        <f ca="1">IFERROR(__xludf.DUMMYFUNCTION("""COMPUTED_VALUE"""),"Kala Patel ")</f>
        <v xml:space="preserve">Kala Patel </v>
      </c>
      <c r="D293" s="1">
        <f ca="1">IFERROR(__xludf.DUMMYFUNCTION("""COMPUTED_VALUE"""),9016250929)</f>
        <v>9016250929</v>
      </c>
      <c r="E293" s="1" t="str">
        <f ca="1">IFERROR(__xludf.DUMMYFUNCTION("""COMPUTED_VALUE"""),"Yes")</f>
        <v>Yes</v>
      </c>
      <c r="F293" s="1" t="str">
        <f ca="1">IFERROR(__xludf.DUMMYFUNCTION("""COMPUTED_VALUE"""),"गुजराती")</f>
        <v>गुजराती</v>
      </c>
      <c r="G293" s="1" t="str">
        <f ca="1">IFERROR(__xludf.DUMMYFUNCTION("""COMPUTED_VALUE"""),"युग द्रष्टा पं. श्रीराम शर्मा आचार्यजी")</f>
        <v>युग द्रष्टा पं. श्रीराम शर्मा आचार्यजी</v>
      </c>
      <c r="H293" s="1"/>
      <c r="I293" s="1"/>
      <c r="J293" s="1"/>
      <c r="K293" s="1"/>
      <c r="L293" s="1"/>
      <c r="M293" s="1"/>
      <c r="N293" s="1"/>
      <c r="O293" s="1"/>
      <c r="P293" s="1" t="str">
        <f ca="1">IFERROR(__xludf.DUMMYFUNCTION("""COMPUTED_VALUE"""),"युगॠषी की अमृतवाणी")</f>
        <v>युगॠषी की अमृतवाणी</v>
      </c>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f ca="1">IFERROR(__xludf.DUMMYFUNCTION("""COMPUTED_VALUE"""),34)</f>
        <v>34</v>
      </c>
      <c r="BX293" s="1">
        <f ca="1">IFERROR(__xludf.DUMMYFUNCTION("""COMPUTED_VALUE"""),34)</f>
        <v>34</v>
      </c>
      <c r="BY293" s="1">
        <f ca="1">IFERROR(__xludf.DUMMYFUNCTION("""COMPUTED_VALUE"""),4)</f>
        <v>4</v>
      </c>
      <c r="BZ293" s="1">
        <f ca="1">IFERROR(__xludf.DUMMYFUNCTION("""COMPUTED_VALUE"""),11)</f>
        <v>11</v>
      </c>
      <c r="CA293" s="1"/>
      <c r="CB293" s="1"/>
      <c r="CC293" s="1" t="str">
        <f ca="1">IFERROR(__xludf.DUMMYFUNCTION("""COMPUTED_VALUE"""),"ધર્મામંચથી લોક શિક્ષણ : G_JS_36")</f>
        <v>ધર્મામંચથી લોક શિક્ષણ : G_JS_36</v>
      </c>
      <c r="CD293" s="3" t="str">
        <f ca="1">IFERROR(__xludf.DUMMYFUNCTION("""COMPUTED_VALUE"""),"https://vicharkrantibooks.org/productdetail?product_id=3761")</f>
        <v>https://vicharkrantibooks.org/productdetail?product_id=3761</v>
      </c>
      <c r="CE293" s="1" t="str">
        <f ca="1">IFERROR(__xludf.DUMMYFUNCTION("""COMPUTED_VALUE"""),"Audiobook : ધર્મામંચથી લોક શિક્ષણ : G_JS_36 : kalagpatel1959@gmail.com : Recorded")</f>
        <v>Audiobook : ધર્મામંચથી લોક શિક્ષણ : G_JS_36 : kalagpatel1959@gmail.com : Recorded</v>
      </c>
      <c r="CF293" s="1" t="str">
        <f ca="1">IFERROR(__xludf.DUMMYFUNCTION("""COMPUTED_VALUE"""),"Audiobook : ધર્મામંચથી લોક શિક્ષણ : G_JS_36 : kalagpatel1959@gmail.com : Recorded")</f>
        <v>Audiobook : ધર્મામંચથી લોક શિક્ષણ : G_JS_36 : kalagpatel1959@gmail.com : Recorded</v>
      </c>
      <c r="CG293" s="1" t="str">
        <f ca="1">IFERROR(__xludf.DUMMYFUNCTION("""COMPUTED_VALUE"""),"Adarniya Kala Patel  ji ધર્મામંચથી લોક શિક્ષણ : G_JS_36 : Allocated on 22-Apr-24 Contact Number  9016250929")</f>
        <v>Adarniya Kala Patel  ji ધર્મામંચથી લોક શિક્ષણ : G_JS_36 : Allocated on 22-Apr-24 Contact Number  9016250929</v>
      </c>
      <c r="CH293" s="1" t="str">
        <f ca="1">IFERROR(__xludf.DUMMYFUNCTION("""COMPUTED_VALUE"""),"kalagpatel1959@gmail.com : ધર્મામંચથી લોક શિક્ષણ : G_JS_36")</f>
        <v>kalagpatel1959@gmail.com : ધર્મામંચથી લોક શિક્ષણ : G_JS_36</v>
      </c>
      <c r="CI293" s="5">
        <f ca="1">IFERROR(__xludf.DUMMYFUNCTION("""COMPUTED_VALUE"""),45404.8774660069)</f>
        <v>45404.877466006903</v>
      </c>
    </row>
    <row r="294" spans="1:87" x14ac:dyDescent="0.25">
      <c r="A294" s="5">
        <f ca="1">IFERROR(__xludf.DUMMYFUNCTION("""COMPUTED_VALUE"""),45404.8744141319)</f>
        <v>45404.874414131897</v>
      </c>
      <c r="B294" s="1" t="str">
        <f ca="1">IFERROR(__xludf.DUMMYFUNCTION("""COMPUTED_VALUE"""),"kusumlatarai24@gmail.com")</f>
        <v>kusumlatarai24@gmail.com</v>
      </c>
      <c r="C294" s="1" t="str">
        <f ca="1">IFERROR(__xludf.DUMMYFUNCTION("""COMPUTED_VALUE"""),"Kusum Lata Rai ")</f>
        <v xml:space="preserve">Kusum Lata Rai </v>
      </c>
      <c r="D294" s="1">
        <f ca="1">IFERROR(__xludf.DUMMYFUNCTION("""COMPUTED_VALUE"""),9336508442)</f>
        <v>9336508442</v>
      </c>
      <c r="E294" s="1" t="str">
        <f ca="1">IFERROR(__xludf.DUMMYFUNCTION("""COMPUTED_VALUE"""),"Yes")</f>
        <v>Yes</v>
      </c>
      <c r="F294" s="1" t="str">
        <f ca="1">IFERROR(__xludf.DUMMYFUNCTION("""COMPUTED_VALUE"""),"हिन्दी")</f>
        <v>हिन्दी</v>
      </c>
      <c r="G294" s="1" t="str">
        <f ca="1">IFERROR(__xludf.DUMMYFUNCTION("""COMPUTED_VALUE"""),"समाज निर्माण")</f>
        <v>समाज निर्माण</v>
      </c>
      <c r="H294" s="1"/>
      <c r="I294" s="1"/>
      <c r="J294" s="1"/>
      <c r="K294" s="1"/>
      <c r="L294" s="1"/>
      <c r="M294" s="1"/>
      <c r="N294" s="1"/>
      <c r="O294" s="1"/>
      <c r="P294" s="1"/>
      <c r="Q294" s="1"/>
      <c r="R294" s="1"/>
      <c r="S294" s="1"/>
      <c r="T294" s="1"/>
      <c r="U294" s="1"/>
      <c r="V294" s="1" t="str">
        <f ca="1">IFERROR(__xludf.DUMMYFUNCTION("""COMPUTED_VALUE"""),"व्यसन मुक्ति")</f>
        <v>व्यसन मुक्ति</v>
      </c>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f ca="1">IFERROR(__xludf.DUMMYFUNCTION("""COMPUTED_VALUE"""),5)</f>
        <v>5</v>
      </c>
      <c r="BX294" s="1">
        <f ca="1">IFERROR(__xludf.DUMMYFUNCTION("""COMPUTED_VALUE"""),1)</f>
        <v>1</v>
      </c>
      <c r="BY294" s="1">
        <f ca="1">IFERROR(__xludf.DUMMYFUNCTION("""COMPUTED_VALUE"""),4)</f>
        <v>4</v>
      </c>
      <c r="BZ294" s="1">
        <f ca="1">IFERROR(__xludf.DUMMYFUNCTION("""COMPUTED_VALUE"""),1)</f>
        <v>1</v>
      </c>
      <c r="CA294" s="1"/>
      <c r="CB294" s="1"/>
      <c r="CC294" s="1" t="str">
        <f ca="1">IFERROR(__xludf.DUMMYFUNCTION("""COMPUTED_VALUE"""),"आधुनिकता के विकृत मापदण्डों को बदला जाए : Rare Book")</f>
        <v>आधुनिकता के विकृत मापदण्डों को बदला जाए : Rare Book</v>
      </c>
      <c r="CD294" s="3" t="str">
        <f ca="1">IFERROR(__xludf.DUMMYFUNCTION("""COMPUTED_VALUE"""),"https://vicharkrantibooks.org/productdetail?book_name=HINP0008_ADHUNIKATA_KE_VIKRUT_MAPADANDON_KO_BADALA_JAE_xx1982&amp;product_id=573")</f>
        <v>https://vicharkrantibooks.org/productdetail?book_name=HINP0008_ADHUNIKATA_KE_VIKRUT_MAPADANDON_KO_BADALA_JAE_xx1982&amp;product_id=573</v>
      </c>
      <c r="CE294" s="1" t="str">
        <f ca="1">IFERROR(__xludf.DUMMYFUNCTION("""COMPUTED_VALUE"""),"Audiobook : आधुनिकता के विकृत मापदण्डों को बदला जाए : Rare Book : kusumlatarai24@gmail.com : Recorded")</f>
        <v>Audiobook : आधुनिकता के विकृत मापदण्डों को बदला जाए : Rare Book : kusumlatarai24@gmail.com : Recorded</v>
      </c>
      <c r="CF294" s="1" t="str">
        <f ca="1">IFERROR(__xludf.DUMMYFUNCTION("""COMPUTED_VALUE"""),"#N/A")</f>
        <v>#N/A</v>
      </c>
      <c r="CG294" s="1" t="str">
        <f ca="1">IFERROR(__xludf.DUMMYFUNCTION("""COMPUTED_VALUE"""),"Adarniya Kusum Lata Rai  ji आधुनिकता के विकृत मापदण्डों को बदला जाए : Rare Book : Allocated on 22-Apr-24 Contact Number  9336508442")</f>
        <v>Adarniya Kusum Lata Rai  ji आधुनिकता के विकृत मापदण्डों को बदला जाए : Rare Book : Allocated on 22-Apr-24 Contact Number  9336508442</v>
      </c>
      <c r="CH294" s="1" t="str">
        <f ca="1">IFERROR(__xludf.DUMMYFUNCTION("""COMPUTED_VALUE"""),"kusumlatarai24@gmail.com : आधुनिकता के विकृत मापदण्डों को बदला जाए : Rare Book")</f>
        <v>kusumlatarai24@gmail.com : आधुनिकता के विकृत मापदण्डों को बदला जाए : Rare Book</v>
      </c>
      <c r="CI294" s="5">
        <f ca="1">IFERROR(__xludf.DUMMYFUNCTION("""COMPUTED_VALUE"""),45404.8744141319)</f>
        <v>45404.874414131897</v>
      </c>
    </row>
    <row r="295" spans="1:87" x14ac:dyDescent="0.25">
      <c r="A295" s="5">
        <f ca="1">IFERROR(__xludf.DUMMYFUNCTION("""COMPUTED_VALUE"""),45404.8104601041)</f>
        <v>45404.810460104098</v>
      </c>
      <c r="B295" s="1" t="str">
        <f ca="1">IFERROR(__xludf.DUMMYFUNCTION("""COMPUTED_VALUE"""),"dave.chhaya@gmail.com")</f>
        <v>dave.chhaya@gmail.com</v>
      </c>
      <c r="C295" s="1" t="str">
        <f ca="1">IFERROR(__xludf.DUMMYFUNCTION("""COMPUTED_VALUE"""),"Chhaya Deepak Dave ")</f>
        <v xml:space="preserve">Chhaya Deepak Dave </v>
      </c>
      <c r="D295" s="1">
        <f ca="1">IFERROR(__xludf.DUMMYFUNCTION("""COMPUTED_VALUE"""),9879596556)</f>
        <v>9879596556</v>
      </c>
      <c r="E295" s="1" t="str">
        <f ca="1">IFERROR(__xludf.DUMMYFUNCTION("""COMPUTED_VALUE"""),"Yes")</f>
        <v>Yes</v>
      </c>
      <c r="F295" s="1" t="str">
        <f ca="1">IFERROR(__xludf.DUMMYFUNCTION("""COMPUTED_VALUE"""),"गुजराती")</f>
        <v>गुजराती</v>
      </c>
      <c r="G295" s="1" t="str">
        <f ca="1">IFERROR(__xludf.DUMMYFUNCTION("""COMPUTED_VALUE"""),"युग द्रष्टा पं. श्रीराम शर्मा आचार्यजी")</f>
        <v>युग द्रष्टा पं. श्रीराम शर्मा आचार्यजी</v>
      </c>
      <c r="H295" s="1"/>
      <c r="I295" s="1"/>
      <c r="J295" s="1"/>
      <c r="K295" s="1"/>
      <c r="L295" s="1"/>
      <c r="M295" s="1"/>
      <c r="N295" s="1"/>
      <c r="O295" s="1"/>
      <c r="P295" s="1" t="str">
        <f ca="1">IFERROR(__xludf.DUMMYFUNCTION("""COMPUTED_VALUE"""),"युगॠषी की अमृतवाणी")</f>
        <v>युगॠषी की अमृतवाणी</v>
      </c>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f ca="1">IFERROR(__xludf.DUMMYFUNCTION("""COMPUTED_VALUE"""),46)</f>
        <v>46</v>
      </c>
      <c r="BX295" s="1">
        <f ca="1">IFERROR(__xludf.DUMMYFUNCTION("""COMPUTED_VALUE"""),39)</f>
        <v>39</v>
      </c>
      <c r="BY295" s="1">
        <f ca="1">IFERROR(__xludf.DUMMYFUNCTION("""COMPUTED_VALUE"""),6)</f>
        <v>6</v>
      </c>
      <c r="BZ295" s="1">
        <f ca="1">IFERROR(__xludf.DUMMYFUNCTION("""COMPUTED_VALUE"""),16)</f>
        <v>16</v>
      </c>
      <c r="CA295" s="1"/>
      <c r="CB295" s="1"/>
      <c r="CC295" s="1" t="str">
        <f ca="1">IFERROR(__xludf.DUMMYFUNCTION("""COMPUTED_VALUE"""),"ભગવાનની પૂંજીમાં ભાગીદાર બનીએ : G_JS_34")</f>
        <v>ભગવાનની પૂંજીમાં ભાગીદાર બનીએ : G_JS_34</v>
      </c>
      <c r="CD295" s="3" t="str">
        <f ca="1">IFERROR(__xludf.DUMMYFUNCTION("""COMPUTED_VALUE"""),"https://vicharkrantibooks.org/productdetail?product_id=3759")</f>
        <v>https://vicharkrantibooks.org/productdetail?product_id=3759</v>
      </c>
      <c r="CE295" s="1" t="str">
        <f ca="1">IFERROR(__xludf.DUMMYFUNCTION("""COMPUTED_VALUE"""),"Audiobook : ભગવાનની પૂંજીમાં ભાગીદાર બનીએ : G_JS_34 : dave.chhaya@gmail.com : Recorded")</f>
        <v>Audiobook : ભગવાનની પૂંજીમાં ભાગીદાર બનીએ : G_JS_34 : dave.chhaya@gmail.com : Recorded</v>
      </c>
      <c r="CF295" s="1" t="str">
        <f ca="1">IFERROR(__xludf.DUMMYFUNCTION("""COMPUTED_VALUE"""),"Audiobook : ભગવાનની પૂંજીમાં ભાગીદાર બનીએ : G_JS_34 : dave.chhaya@gmail.com : Recorded")</f>
        <v>Audiobook : ભગવાનની પૂંજીમાં ભાગીદાર બનીએ : G_JS_34 : dave.chhaya@gmail.com : Recorded</v>
      </c>
      <c r="CG295" s="1" t="str">
        <f ca="1">IFERROR(__xludf.DUMMYFUNCTION("""COMPUTED_VALUE"""),"Adarniya Chhaya Deepak Dave  ji ભગવાનની પૂંજીમાં ભાગીદાર બનીએ : G_JS_34 : Allocated on 22-Apr-24 Contact Number  9879596556")</f>
        <v>Adarniya Chhaya Deepak Dave  ji ભગવાનની પૂંજીમાં ભાગીદાર બનીએ : G_JS_34 : Allocated on 22-Apr-24 Contact Number  9879596556</v>
      </c>
      <c r="CH295" s="1" t="str">
        <f ca="1">IFERROR(__xludf.DUMMYFUNCTION("""COMPUTED_VALUE"""),"dave.chhaya@gmail.com : ભગવાનની પૂંજીમાં ભાગીદાર બનીએ : G_JS_34")</f>
        <v>dave.chhaya@gmail.com : ભગવાનની પૂંજીમાં ભાગીદાર બનીએ : G_JS_34</v>
      </c>
      <c r="CI295" s="5">
        <f ca="1">IFERROR(__xludf.DUMMYFUNCTION("""COMPUTED_VALUE"""),45404.8104601041)</f>
        <v>45404.810460104098</v>
      </c>
    </row>
    <row r="296" spans="1:87" x14ac:dyDescent="0.25">
      <c r="A296" s="5">
        <f ca="1">IFERROR(__xludf.DUMMYFUNCTION("""COMPUTED_VALUE"""),45404.5328090856)</f>
        <v>45404.532809085598</v>
      </c>
      <c r="B296" s="1" t="str">
        <f ca="1">IFERROR(__xludf.DUMMYFUNCTION("""COMPUTED_VALUE"""),"guptarakhi072@gmail.com")</f>
        <v>guptarakhi072@gmail.com</v>
      </c>
      <c r="C296" s="1" t="str">
        <f ca="1">IFERROR(__xludf.DUMMYFUNCTION("""COMPUTED_VALUE"""),"Rakhi gupta ")</f>
        <v xml:space="preserve">Rakhi gupta </v>
      </c>
      <c r="D296" s="1">
        <f ca="1">IFERROR(__xludf.DUMMYFUNCTION("""COMPUTED_VALUE"""),8128540757)</f>
        <v>8128540757</v>
      </c>
      <c r="E296" s="1" t="str">
        <f ca="1">IFERROR(__xludf.DUMMYFUNCTION("""COMPUTED_VALUE"""),"Yes")</f>
        <v>Yes</v>
      </c>
      <c r="F296" s="1" t="str">
        <f ca="1">IFERROR(__xludf.DUMMYFUNCTION("""COMPUTED_VALUE"""),"हिन्दी")</f>
        <v>हिन्दी</v>
      </c>
      <c r="G296" s="1" t="str">
        <f ca="1">IFERROR(__xludf.DUMMYFUNCTION("""COMPUTED_VALUE"""),"समग्र स्वास्थ्य")</f>
        <v>समग्र स्वास्थ्य</v>
      </c>
      <c r="H296" s="1"/>
      <c r="I296" s="1"/>
      <c r="J296" s="1"/>
      <c r="K296" s="1"/>
      <c r="L296" s="1"/>
      <c r="M296" s="1"/>
      <c r="N296" s="1"/>
      <c r="O296" s="1"/>
      <c r="P296" s="1"/>
      <c r="Q296" s="1"/>
      <c r="R296" s="1"/>
      <c r="S296" s="1"/>
      <c r="T296" s="1"/>
      <c r="U296" s="1" t="str">
        <f ca="1">IFERROR(__xludf.DUMMYFUNCTION("""COMPUTED_VALUE"""),"स्वास्थ्य संवर्धन")</f>
        <v>स्वास्थ्य संवर्धन</v>
      </c>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f ca="1">IFERROR(__xludf.DUMMYFUNCTION("""COMPUTED_VALUE"""),21)</f>
        <v>21</v>
      </c>
      <c r="BX296" s="1">
        <f ca="1">IFERROR(__xludf.DUMMYFUNCTION("""COMPUTED_VALUE"""),20)</f>
        <v>20</v>
      </c>
      <c r="BY296" s="1">
        <f ca="1">IFERROR(__xludf.DUMMYFUNCTION("""COMPUTED_VALUE"""),2)</f>
        <v>2</v>
      </c>
      <c r="BZ296" s="1">
        <f ca="1">IFERROR(__xludf.DUMMYFUNCTION("""COMPUTED_VALUE"""),14)</f>
        <v>14</v>
      </c>
      <c r="CA296" s="1"/>
      <c r="CB296" s="1"/>
      <c r="CC296" s="1" t="str">
        <f ca="1">IFERROR(__xludf.DUMMYFUNCTION("""COMPUTED_VALUE"""),"स्वस्थ रहना बहुत आसान है : Rare Book")</f>
        <v>स्वस्थ रहना बहुत आसान है : Rare Book</v>
      </c>
      <c r="CD296" s="3" t="str">
        <f ca="1">IFERROR(__xludf.DUMMYFUNCTION("""COMPUTED_VALUE"""),"https://vicharkrantibooks.org/productdetail?book_name=HINP0895_SWASTH_RAHANA_BAHUT_ASAN_HAI_xxyyyy&amp;product_id=1460")</f>
        <v>https://vicharkrantibooks.org/productdetail?book_name=HINP0895_SWASTH_RAHANA_BAHUT_ASAN_HAI_xxyyyy&amp;product_id=1460</v>
      </c>
      <c r="CE296" s="1" t="str">
        <f ca="1">IFERROR(__xludf.DUMMYFUNCTION("""COMPUTED_VALUE"""),"Audiobook : स्वस्थ रहना बहुत आसान है : Rare Book : guptarakhi072@gmail.com : Recorded")</f>
        <v>Audiobook : स्वस्थ रहना बहुत आसान है : Rare Book : guptarakhi072@gmail.com : Recorded</v>
      </c>
      <c r="CF296" s="1" t="str">
        <f ca="1">IFERROR(__xludf.DUMMYFUNCTION("""COMPUTED_VALUE"""),"Audiobook : स्वस्थ रहना बहुत आसान है : Rare Book : guptarakhi072@gmail.com : Recorded")</f>
        <v>Audiobook : स्वस्थ रहना बहुत आसान है : Rare Book : guptarakhi072@gmail.com : Recorded</v>
      </c>
      <c r="CG296" s="1" t="str">
        <f ca="1">IFERROR(__xludf.DUMMYFUNCTION("""COMPUTED_VALUE"""),"Adarniya Rakhi gupta  ji स्वस्थ रहना बहुत आसान है : Rare Book : Allocated on 22-Apr-24 Contact Number  8128540757")</f>
        <v>Adarniya Rakhi gupta  ji स्वस्थ रहना बहुत आसान है : Rare Book : Allocated on 22-Apr-24 Contact Number  8128540757</v>
      </c>
      <c r="CH296" s="1" t="str">
        <f ca="1">IFERROR(__xludf.DUMMYFUNCTION("""COMPUTED_VALUE"""),"guptarakhi072@gmail.com : स्वस्थ रहना बहुत आसान है : Rare Book")</f>
        <v>guptarakhi072@gmail.com : स्वस्थ रहना बहुत आसान है : Rare Book</v>
      </c>
      <c r="CI296" s="5">
        <f ca="1">IFERROR(__xludf.DUMMYFUNCTION("""COMPUTED_VALUE"""),45404.5328090856)</f>
        <v>45404.532809085598</v>
      </c>
    </row>
    <row r="297" spans="1:87" x14ac:dyDescent="0.25">
      <c r="A297" s="5">
        <f ca="1">IFERROR(__xludf.DUMMYFUNCTION("""COMPUTED_VALUE"""),45404.4241834837)</f>
        <v>45404.424183483701</v>
      </c>
      <c r="B297" s="1" t="str">
        <f ca="1">IFERROR(__xludf.DUMMYFUNCTION("""COMPUTED_VALUE"""),"waganiamar@gmail.com")</f>
        <v>waganiamar@gmail.com</v>
      </c>
      <c r="C297" s="1" t="str">
        <f ca="1">IFERROR(__xludf.DUMMYFUNCTION("""COMPUTED_VALUE"""),"Amar Wagani ")</f>
        <v xml:space="preserve">Amar Wagani </v>
      </c>
      <c r="D297" s="1">
        <f ca="1">IFERROR(__xludf.DUMMYFUNCTION("""COMPUTED_VALUE"""),9920030651)</f>
        <v>9920030651</v>
      </c>
      <c r="E297" s="1" t="str">
        <f ca="1">IFERROR(__xludf.DUMMYFUNCTION("""COMPUTED_VALUE"""),"No")</f>
        <v>No</v>
      </c>
      <c r="F297" s="1" t="str">
        <f ca="1">IFERROR(__xludf.DUMMYFUNCTION("""COMPUTED_VALUE"""),"हिन्दी or English")</f>
        <v>हिन्दी or English</v>
      </c>
      <c r="G297" s="1" t="str">
        <f ca="1">IFERROR(__xludf.DUMMYFUNCTION("""COMPUTED_VALUE"""),"Any")</f>
        <v>Any</v>
      </c>
      <c r="H297" s="1" t="str">
        <f ca="1">IFERROR(__xludf.DUMMYFUNCTION("""COMPUTED_VALUE"""),"आत्मज्ञान एवं आत्मनिर्माण")</f>
        <v>आत्मज्ञान एवं आत्मनिर्माण</v>
      </c>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f ca="1">IFERROR(__xludf.DUMMYFUNCTION("""COMPUTED_VALUE"""),1)</f>
        <v>1</v>
      </c>
      <c r="BX297" s="1">
        <f ca="1">IFERROR(__xludf.DUMMYFUNCTION("""COMPUTED_VALUE"""),0)</f>
        <v>0</v>
      </c>
      <c r="BY297" s="1">
        <f ca="1">IFERROR(__xludf.DUMMYFUNCTION("""COMPUTED_VALUE"""),1)</f>
        <v>1</v>
      </c>
      <c r="BZ297" s="1">
        <f ca="1">IFERROR(__xludf.DUMMYFUNCTION("""COMPUTED_VALUE"""),0)</f>
        <v>0</v>
      </c>
      <c r="CA297" s="1"/>
      <c r="CB297" s="1"/>
      <c r="CC297" s="1" t="str">
        <f ca="1">IFERROR(__xludf.DUMMYFUNCTION("""COMPUTED_VALUE"""),"Drops Of Nectar : EPB_138")</f>
        <v>Drops Of Nectar : EPB_138</v>
      </c>
      <c r="CD297" s="3" t="str">
        <f ca="1">IFERROR(__xludf.DUMMYFUNCTION("""COMPUTED_VALUE"""),"https://vicharkrantibooks.org/productdetail?book_name=ENGB0203_DROPS_OF_NECTAR_1st2013&amp;product_id=3523")</f>
        <v>https://vicharkrantibooks.org/productdetail?book_name=ENGB0203_DROPS_OF_NECTAR_1st2013&amp;product_id=3523</v>
      </c>
      <c r="CE297" s="1" t="str">
        <f ca="1">IFERROR(__xludf.DUMMYFUNCTION("""COMPUTED_VALUE"""),"Audiobook : Drops Of Nectar : EPB_138 : waganiamar@gmail.com : Recorded")</f>
        <v>Audiobook : Drops Of Nectar : EPB_138 : waganiamar@gmail.com : Recorded</v>
      </c>
      <c r="CF297" s="1" t="str">
        <f ca="1">IFERROR(__xludf.DUMMYFUNCTION("""COMPUTED_VALUE"""),"#N/A")</f>
        <v>#N/A</v>
      </c>
      <c r="CG297" s="1" t="str">
        <f ca="1">IFERROR(__xludf.DUMMYFUNCTION("""COMPUTED_VALUE"""),"Adarniya Amar Wagani  ji Drops Of Nectar : EPB_138 : Allocated on 22-Apr-24 Contact Number  9920030651")</f>
        <v>Adarniya Amar Wagani  ji Drops Of Nectar : EPB_138 : Allocated on 22-Apr-24 Contact Number  9920030651</v>
      </c>
      <c r="CH297" s="1" t="str">
        <f ca="1">IFERROR(__xludf.DUMMYFUNCTION("""COMPUTED_VALUE"""),"waganiamar@gmail.com : Drops Of Nectar : EPB_138")</f>
        <v>waganiamar@gmail.com : Drops Of Nectar : EPB_138</v>
      </c>
      <c r="CI297" s="5">
        <f ca="1">IFERROR(__xludf.DUMMYFUNCTION("""COMPUTED_VALUE"""),45404.4241834837)</f>
        <v>45404.424183483701</v>
      </c>
    </row>
    <row r="298" spans="1:87" x14ac:dyDescent="0.25">
      <c r="A298" s="5">
        <f ca="1">IFERROR(__xludf.DUMMYFUNCTION("""COMPUTED_VALUE"""),45404.1164028703)</f>
        <v>45404.116402870299</v>
      </c>
      <c r="B298" s="1" t="str">
        <f ca="1">IFERROR(__xludf.DUMMYFUNCTION("""COMPUTED_VALUE"""),"sneha09.here@gmail.com")</f>
        <v>sneha09.here@gmail.com</v>
      </c>
      <c r="C298" s="1" t="str">
        <f ca="1">IFERROR(__xludf.DUMMYFUNCTION("""COMPUTED_VALUE"""),"Sneha Chaudhari")</f>
        <v>Sneha Chaudhari</v>
      </c>
      <c r="D298" s="1" t="str">
        <f ca="1">IFERROR(__xludf.DUMMYFUNCTION("""COMPUTED_VALUE"""),"+12243245848")</f>
        <v>+12243245848</v>
      </c>
      <c r="E298" s="1" t="str">
        <f ca="1">IFERROR(__xludf.DUMMYFUNCTION("""COMPUTED_VALUE"""),"Yes")</f>
        <v>Yes</v>
      </c>
      <c r="F298" s="1" t="str">
        <f ca="1">IFERROR(__xludf.DUMMYFUNCTION("""COMPUTED_VALUE"""),"गुजराती")</f>
        <v>गुजराती</v>
      </c>
      <c r="G298" s="1" t="str">
        <f ca="1">IFERROR(__xludf.DUMMYFUNCTION("""COMPUTED_VALUE"""),"युग परिवर्तन-विचार क्रांति")</f>
        <v>युग परिवर्तन-विचार क्रांति</v>
      </c>
      <c r="H298" s="1"/>
      <c r="I298" s="1"/>
      <c r="J298" s="1"/>
      <c r="K298" s="1"/>
      <c r="L298" s="1"/>
      <c r="M298" s="1"/>
      <c r="N298" s="1"/>
      <c r="O298" s="1"/>
      <c r="P298" s="1"/>
      <c r="Q298" s="1" t="str">
        <f ca="1">IFERROR(__xludf.DUMMYFUNCTION("""COMPUTED_VALUE"""),"विचार क्रांति")</f>
        <v>विचार क्रांति</v>
      </c>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f ca="1">IFERROR(__xludf.DUMMYFUNCTION("""COMPUTED_VALUE"""),3)</f>
        <v>3</v>
      </c>
      <c r="BX298" s="1">
        <f ca="1">IFERROR(__xludf.DUMMYFUNCTION("""COMPUTED_VALUE"""),3)</f>
        <v>3</v>
      </c>
      <c r="BY298" s="1">
        <f ca="1">IFERROR(__xludf.DUMMYFUNCTION("""COMPUTED_VALUE"""),1)</f>
        <v>1</v>
      </c>
      <c r="BZ298" s="1">
        <f ca="1">IFERROR(__xludf.DUMMYFUNCTION("""COMPUTED_VALUE"""),0)</f>
        <v>0</v>
      </c>
      <c r="CA298" s="1"/>
      <c r="CB298" s="1"/>
      <c r="CC298" s="1" t="str">
        <f ca="1">IFERROR(__xludf.DUMMYFUNCTION("""COMPUTED_VALUE"""),"વાંચો અને જીવનમાં ઉતારો : G_PP_34")</f>
        <v>વાંચો અને જીવનમાં ઉતારો : G_PP_34</v>
      </c>
      <c r="CD298" s="3" t="str">
        <f ca="1">IFERROR(__xludf.DUMMYFUNCTION("""COMPUTED_VALUE"""),"https://vicharkrantibooks.org/productdetail?book_name=GUJP0609_VANCHO_ANE_JIVANMA_UTARO_XXYYYY&amp;product_id=3939")</f>
        <v>https://vicharkrantibooks.org/productdetail?book_name=GUJP0609_VANCHO_ANE_JIVANMA_UTARO_XXYYYY&amp;product_id=3939</v>
      </c>
      <c r="CE298" s="1" t="str">
        <f ca="1">IFERROR(__xludf.DUMMYFUNCTION("""COMPUTED_VALUE"""),"Audiobook : વાંચો અને જીવનમાં ઉતારો : G_PP_34 : sneha09.here@gmail.com : Recorded")</f>
        <v>Audiobook : વાંચો અને જીવનમાં ઉતારો : G_PP_34 : sneha09.here@gmail.com : Recorded</v>
      </c>
      <c r="CF298" s="1" t="str">
        <f ca="1">IFERROR(__xludf.DUMMYFUNCTION("""COMPUTED_VALUE"""),"Audiobook : વાંચો અને જીવનમાં ઉતારો : G_PP_34 : sneha09.here@gmail.com : Recorded")</f>
        <v>Audiobook : વાંચો અને જીવનમાં ઉતારો : G_PP_34 : sneha09.here@gmail.com : Recorded</v>
      </c>
      <c r="CG298" s="1" t="str">
        <f ca="1">IFERROR(__xludf.DUMMYFUNCTION("""COMPUTED_VALUE"""),"Adarniya Sneha Chaudhari ji વાંચો અને જીવનમાં ઉતારો : G_PP_34 : Allocated on 22-Apr-24 Contact Number  +12243245848")</f>
        <v>Adarniya Sneha Chaudhari ji વાંચો અને જીવનમાં ઉતારો : G_PP_34 : Allocated on 22-Apr-24 Contact Number  +12243245848</v>
      </c>
      <c r="CH298" s="1" t="str">
        <f ca="1">IFERROR(__xludf.DUMMYFUNCTION("""COMPUTED_VALUE"""),"sneha09.here@gmail.com : વાંચો અને જીવનમાં ઉતારો : G_PP_34")</f>
        <v>sneha09.here@gmail.com : વાંચો અને જીવનમાં ઉતારો : G_PP_34</v>
      </c>
      <c r="CI298" s="5">
        <f ca="1">IFERROR(__xludf.DUMMYFUNCTION("""COMPUTED_VALUE"""),45404.1164028703)</f>
        <v>45404.116402870299</v>
      </c>
    </row>
    <row r="299" spans="1:87" x14ac:dyDescent="0.25">
      <c r="A299" s="8">
        <f ca="1">IFERROR(__xludf.DUMMYFUNCTION("""COMPUTED_VALUE"""),45404)</f>
        <v>45404</v>
      </c>
      <c r="B299" s="1" t="str">
        <f ca="1">IFERROR(__xludf.DUMMYFUNCTION("""COMPUTED_VALUE"""),"divyabhatnagar73@gmail.com")</f>
        <v>divyabhatnagar73@gmail.com</v>
      </c>
      <c r="C299" s="1" t="str">
        <f ca="1">IFERROR(__xludf.DUMMYFUNCTION("""COMPUTED_VALUE"""),"Divya Bhatnagar")</f>
        <v>Divya Bhatnagar</v>
      </c>
      <c r="D299" s="1" t="str">
        <f ca="1">IFERROR(__xludf.DUMMYFUNCTION("""COMPUTED_VALUE"""),"09672806579")</f>
        <v>09672806579</v>
      </c>
      <c r="E299" s="1" t="str">
        <f ca="1">IFERROR(__xludf.DUMMYFUNCTION("""COMPUTED_VALUE"""),"Yes")</f>
        <v>Yes</v>
      </c>
      <c r="F299" s="1" t="str">
        <f ca="1">IFERROR(__xludf.DUMMYFUNCTION("""COMPUTED_VALUE"""),"हिन्दी or English")</f>
        <v>हिन्दी or English</v>
      </c>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f ca="1">IFERROR(__xludf.DUMMYFUNCTION("""COMPUTED_VALUE"""),12)</f>
        <v>12</v>
      </c>
      <c r="BX299" s="1">
        <f ca="1">IFERROR(__xludf.DUMMYFUNCTION("""COMPUTED_VALUE"""),6)</f>
        <v>6</v>
      </c>
      <c r="BY299" s="1">
        <f ca="1">IFERROR(__xludf.DUMMYFUNCTION("""COMPUTED_VALUE"""),7)</f>
        <v>7</v>
      </c>
      <c r="BZ299" s="1">
        <f ca="1">IFERROR(__xludf.DUMMYFUNCTION("""COMPUTED_VALUE"""),1)</f>
        <v>1</v>
      </c>
      <c r="CA299" s="1"/>
      <c r="CB299" s="1"/>
      <c r="CC299" s="1" t="str">
        <f ca="1">IFERROR(__xludf.DUMMYFUNCTION("""COMPUTED_VALUE"""),"Bhagwan Buddha : EPB_139")</f>
        <v>Bhagwan Buddha : EPB_139</v>
      </c>
      <c r="CD299" s="3" t="str">
        <f ca="1">IFERROR(__xludf.DUMMYFUNCTION("""COMPUTED_VALUE"""),"https://vicharkrantibooks.org/productdetail?book_name=ENGB0204_BHAGWAN_BUDDHA_1st2013&amp;product_id=3524")</f>
        <v>https://vicharkrantibooks.org/productdetail?book_name=ENGB0204_BHAGWAN_BUDDHA_1st2013&amp;product_id=3524</v>
      </c>
      <c r="CE299" s="1" t="str">
        <f ca="1">IFERROR(__xludf.DUMMYFUNCTION("""COMPUTED_VALUE"""),"Audiobook : Bhagwan Buddha : EPB_139 : divyabhatnagar73@gmail.com : Recorded")</f>
        <v>Audiobook : Bhagwan Buddha : EPB_139 : divyabhatnagar73@gmail.com : Recorded</v>
      </c>
      <c r="CF299" s="1" t="str">
        <f ca="1">IFERROR(__xludf.DUMMYFUNCTION("""COMPUTED_VALUE"""),"Audiobook : Bhagwan Buddha : EPB_139 : divyabhatnagar73@gmail.com : Recorded")</f>
        <v>Audiobook : Bhagwan Buddha : EPB_139 : divyabhatnagar73@gmail.com : Recorded</v>
      </c>
      <c r="CG299" s="1" t="str">
        <f ca="1">IFERROR(__xludf.DUMMYFUNCTION("""COMPUTED_VALUE"""),"Adarniya Divya Bhatnagar ji Bhagwan Buddha : EPB_139 : Allocated on 22-Apr-24 Contact Number  09672806579")</f>
        <v>Adarniya Divya Bhatnagar ji Bhagwan Buddha : EPB_139 : Allocated on 22-Apr-24 Contact Number  09672806579</v>
      </c>
      <c r="CH299" s="1" t="str">
        <f ca="1">IFERROR(__xludf.DUMMYFUNCTION("""COMPUTED_VALUE"""),"divyabhatnagar73@gmail.com : Bhagwan Buddha : EPB_139")</f>
        <v>divyabhatnagar73@gmail.com : Bhagwan Buddha : EPB_139</v>
      </c>
      <c r="CI299" s="8">
        <f ca="1">IFERROR(__xludf.DUMMYFUNCTION("""COMPUTED_VALUE"""),45404)</f>
        <v>45404</v>
      </c>
    </row>
    <row r="300" spans="1:87" x14ac:dyDescent="0.25">
      <c r="A300" s="5">
        <f ca="1">IFERROR(__xludf.DUMMYFUNCTION("""COMPUTED_VALUE"""),45402.9344817939)</f>
        <v>45402.934481793898</v>
      </c>
      <c r="B300" s="1" t="str">
        <f ca="1">IFERROR(__xludf.DUMMYFUNCTION("""COMPUTED_VALUE"""),"sharmabhavna33@gmail.com")</f>
        <v>sharmabhavna33@gmail.com</v>
      </c>
      <c r="C300" s="1" t="str">
        <f ca="1">IFERROR(__xludf.DUMMYFUNCTION("""COMPUTED_VALUE"""),"Bhawana Parashar ")</f>
        <v xml:space="preserve">Bhawana Parashar </v>
      </c>
      <c r="D300" s="1">
        <f ca="1">IFERROR(__xludf.DUMMYFUNCTION("""COMPUTED_VALUE"""),9826248427)</f>
        <v>9826248427</v>
      </c>
      <c r="E300" s="1" t="str">
        <f ca="1">IFERROR(__xludf.DUMMYFUNCTION("""COMPUTED_VALUE"""),"Yes")</f>
        <v>Yes</v>
      </c>
      <c r="F300" s="1" t="str">
        <f ca="1">IFERROR(__xludf.DUMMYFUNCTION("""COMPUTED_VALUE"""),"हिन्दी")</f>
        <v>हिन्दी</v>
      </c>
      <c r="G300" s="1" t="str">
        <f ca="1">IFERROR(__xludf.DUMMYFUNCTION("""COMPUTED_VALUE"""),"जीवन प्रबंध")</f>
        <v>जीवन प्रबंध</v>
      </c>
      <c r="H300" s="1"/>
      <c r="I300" s="1"/>
      <c r="J300" s="1"/>
      <c r="K300" s="1"/>
      <c r="L300" s="1" t="str">
        <f ca="1">IFERROR(__xludf.DUMMYFUNCTION("""COMPUTED_VALUE"""),"मन की शक्ति एवं मनोविज्ञान")</f>
        <v>मन की शक्ति एवं मनोविज्ञान</v>
      </c>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f ca="1">IFERROR(__xludf.DUMMYFUNCTION("""COMPUTED_VALUE"""),9)</f>
        <v>9</v>
      </c>
      <c r="BX300" s="1">
        <f ca="1">IFERROR(__xludf.DUMMYFUNCTION("""COMPUTED_VALUE"""),3)</f>
        <v>3</v>
      </c>
      <c r="BY300" s="1">
        <f ca="1">IFERROR(__xludf.DUMMYFUNCTION("""COMPUTED_VALUE"""),6)</f>
        <v>6</v>
      </c>
      <c r="BZ300" s="1">
        <f ca="1">IFERROR(__xludf.DUMMYFUNCTION("""COMPUTED_VALUE"""),1)</f>
        <v>1</v>
      </c>
      <c r="CA300" s="1"/>
      <c r="CB300" s="1"/>
      <c r="CC300" s="1" t="str">
        <f ca="1">IFERROR(__xludf.DUMMYFUNCTION("""COMPUTED_VALUE"""),"उतार चढ़ाव ही जीवन है : Rare Book")</f>
        <v>उतार चढ़ाव ही जीवन है : Rare Book</v>
      </c>
      <c r="CD300" s="3" t="str">
        <f ca="1">IFERROR(__xludf.DUMMYFUNCTION("""COMPUTED_VALUE"""),"https://vicharkrantibooks.org/productdetail?book_name=HINP0933_UTAR_CHADHAV_HI_JIVAN_HAI_xx1981&amp;product_id=1498")</f>
        <v>https://vicharkrantibooks.org/productdetail?book_name=HINP0933_UTAR_CHADHAV_HI_JIVAN_HAI_xx1981&amp;product_id=1498</v>
      </c>
      <c r="CE300" s="1" t="str">
        <f ca="1">IFERROR(__xludf.DUMMYFUNCTION("""COMPUTED_VALUE"""),"Audiobook : उतार चढ़ाव ही जीवन है : Rare Book : sharmabhavna33@gmail.com : Recorded")</f>
        <v>Audiobook : उतार चढ़ाव ही जीवन है : Rare Book : sharmabhavna33@gmail.com : Recorded</v>
      </c>
      <c r="CF300" s="1" t="str">
        <f ca="1">IFERROR(__xludf.DUMMYFUNCTION("""COMPUTED_VALUE"""),"#N/A")</f>
        <v>#N/A</v>
      </c>
      <c r="CG300" s="1" t="str">
        <f ca="1">IFERROR(__xludf.DUMMYFUNCTION("""COMPUTED_VALUE"""),"Adarniya Bhawana Parashar  ji उतार चढ़ाव ही जीवन है : Rare Book : Allocated on 20-Apr-24 Contact Number  9826248427")</f>
        <v>Adarniya Bhawana Parashar  ji उतार चढ़ाव ही जीवन है : Rare Book : Allocated on 20-Apr-24 Contact Number  9826248427</v>
      </c>
      <c r="CH300" s="1" t="str">
        <f ca="1">IFERROR(__xludf.DUMMYFUNCTION("""COMPUTED_VALUE"""),"sharmabhavna33@gmail.com : उतार चढ़ाव ही जीवन है : Rare Book")</f>
        <v>sharmabhavna33@gmail.com : उतार चढ़ाव ही जीवन है : Rare Book</v>
      </c>
      <c r="CI300" s="5">
        <f ca="1">IFERROR(__xludf.DUMMYFUNCTION("""COMPUTED_VALUE"""),45402.9344817939)</f>
        <v>45402.934481793898</v>
      </c>
    </row>
    <row r="301" spans="1:87" x14ac:dyDescent="0.25">
      <c r="A301" s="5">
        <f ca="1">IFERROR(__xludf.DUMMYFUNCTION("""COMPUTED_VALUE"""),45401.9512526967)</f>
        <v>45401.951252696701</v>
      </c>
      <c r="B301" s="1" t="str">
        <f ca="1">IFERROR(__xludf.DUMMYFUNCTION("""COMPUTED_VALUE"""),"vandana15rastogi@gmail.com")</f>
        <v>vandana15rastogi@gmail.com</v>
      </c>
      <c r="C301" s="1" t="str">
        <f ca="1">IFERROR(__xludf.DUMMYFUNCTION("""COMPUTED_VALUE"""),"Vandana Rastogi")</f>
        <v>Vandana Rastogi</v>
      </c>
      <c r="D301" s="1">
        <f ca="1">IFERROR(__xludf.DUMMYFUNCTION("""COMPUTED_VALUE"""),9359528684)</f>
        <v>9359528684</v>
      </c>
      <c r="E301" s="1" t="str">
        <f ca="1">IFERROR(__xludf.DUMMYFUNCTION("""COMPUTED_VALUE"""),"Yes")</f>
        <v>Yes</v>
      </c>
      <c r="F301" s="1" t="str">
        <f ca="1">IFERROR(__xludf.DUMMYFUNCTION("""COMPUTED_VALUE"""),"हिन्दी")</f>
        <v>हिन्दी</v>
      </c>
      <c r="G301" s="1" t="str">
        <f ca="1">IFERROR(__xludf.DUMMYFUNCTION("""COMPUTED_VALUE"""),"भारतीय संस्कृति")</f>
        <v>भारतीय संस्कृति</v>
      </c>
      <c r="H301" s="1"/>
      <c r="I301" s="1"/>
      <c r="J301" s="1"/>
      <c r="K301" s="1"/>
      <c r="L301" s="1"/>
      <c r="M301" s="1"/>
      <c r="N301" s="1"/>
      <c r="O301" s="1" t="str">
        <f ca="1">IFERROR(__xludf.DUMMYFUNCTION("""COMPUTED_VALUE"""),"योग एवं ध्यान")</f>
        <v>योग एवं ध्यान</v>
      </c>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f ca="1">IFERROR(__xludf.DUMMYFUNCTION("""COMPUTED_VALUE"""),33)</f>
        <v>33</v>
      </c>
      <c r="BX301" s="1">
        <f ca="1">IFERROR(__xludf.DUMMYFUNCTION("""COMPUTED_VALUE"""),19)</f>
        <v>19</v>
      </c>
      <c r="BY301" s="1">
        <f ca="1">IFERROR(__xludf.DUMMYFUNCTION("""COMPUTED_VALUE"""),17)</f>
        <v>17</v>
      </c>
      <c r="BZ301" s="1">
        <f ca="1">IFERROR(__xludf.DUMMYFUNCTION("""COMPUTED_VALUE"""),14)</f>
        <v>14</v>
      </c>
      <c r="CA301" s="1"/>
      <c r="CB301" s="1"/>
      <c r="CC301" s="1" t="str">
        <f ca="1">IFERROR(__xludf.DUMMYFUNCTION("""COMPUTED_VALUE"""),"गायत्री शंका समाधान : Rare Book")</f>
        <v>गायत्री शंका समाधान : Rare Book</v>
      </c>
      <c r="CD301" s="3" t="str">
        <f ca="1">IFERROR(__xludf.DUMMYFUNCTION("""COMPUTED_VALUE"""),"https://vicharkrantibooks.org/productdetail?book_name=HINP0293_GAYATRI_SHANKA_SAMADHAN_xxyyyy&amp;product_id=858")</f>
        <v>https://vicharkrantibooks.org/productdetail?book_name=HINP0293_GAYATRI_SHANKA_SAMADHAN_xxyyyy&amp;product_id=858</v>
      </c>
      <c r="CE301" s="1" t="str">
        <f ca="1">IFERROR(__xludf.DUMMYFUNCTION("""COMPUTED_VALUE"""),"Audiobook : गायत्री शंका समाधान : Rare Book : vandana15rastogi@gmail.com : Recorded")</f>
        <v>Audiobook : गायत्री शंका समाधान : Rare Book : vandana15rastogi@gmail.com : Recorded</v>
      </c>
      <c r="CF301" s="1" t="str">
        <f ca="1">IFERROR(__xludf.DUMMYFUNCTION("""COMPUTED_VALUE"""),"#N/A")</f>
        <v>#N/A</v>
      </c>
      <c r="CG301" s="1" t="str">
        <f ca="1">IFERROR(__xludf.DUMMYFUNCTION("""COMPUTED_VALUE"""),"Adarniya Vandana Rastogi ji गायत्री शंका समाधान : Rare Book : Allocated on 19-Apr-24 Contact Number  9359528684")</f>
        <v>Adarniya Vandana Rastogi ji गायत्री शंका समाधान : Rare Book : Allocated on 19-Apr-24 Contact Number  9359528684</v>
      </c>
      <c r="CH301" s="1" t="str">
        <f ca="1">IFERROR(__xludf.DUMMYFUNCTION("""COMPUTED_VALUE"""),"vandana15rastogi@gmail.com : गायत्री शंका समाधान : Rare Book")</f>
        <v>vandana15rastogi@gmail.com : गायत्री शंका समाधान : Rare Book</v>
      </c>
      <c r="CI301" s="5">
        <f ca="1">IFERROR(__xludf.DUMMYFUNCTION("""COMPUTED_VALUE"""),45401.9512526967)</f>
        <v>45401.951252696701</v>
      </c>
    </row>
    <row r="302" spans="1:87" x14ac:dyDescent="0.25">
      <c r="A302" s="5">
        <f ca="1">IFERROR(__xludf.DUMMYFUNCTION("""COMPUTED_VALUE"""),45401.9186016087)</f>
        <v>45401.918601608697</v>
      </c>
      <c r="B302" s="1" t="str">
        <f ca="1">IFERROR(__xludf.DUMMYFUNCTION("""COMPUTED_VALUE"""),"hinap775@gmail.com")</f>
        <v>hinap775@gmail.com</v>
      </c>
      <c r="C302" s="1" t="str">
        <f ca="1">IFERROR(__xludf.DUMMYFUNCTION("""COMPUTED_VALUE"""),"Hina Patel ")</f>
        <v xml:space="preserve">Hina Patel </v>
      </c>
      <c r="D302" s="1">
        <f ca="1">IFERROR(__xludf.DUMMYFUNCTION("""COMPUTED_VALUE"""),9921772176)</f>
        <v>9921772176</v>
      </c>
      <c r="E302" s="1" t="str">
        <f ca="1">IFERROR(__xludf.DUMMYFUNCTION("""COMPUTED_VALUE"""),"Yes")</f>
        <v>Yes</v>
      </c>
      <c r="F302" s="1" t="str">
        <f ca="1">IFERROR(__xludf.DUMMYFUNCTION("""COMPUTED_VALUE"""),"गुजराती")</f>
        <v>गुजराती</v>
      </c>
      <c r="G302" s="1" t="str">
        <f ca="1">IFERROR(__xludf.DUMMYFUNCTION("""COMPUTED_VALUE"""),"वैज्ञानिक अध्यात्मवाद का प्रतिपादन")</f>
        <v>वैज्ञानिक अध्यात्मवाद का प्रतिपादन</v>
      </c>
      <c r="H302" s="1"/>
      <c r="I302" s="1"/>
      <c r="J302" s="1"/>
      <c r="K302" s="1"/>
      <c r="L302" s="1"/>
      <c r="M302" s="1"/>
      <c r="N302" s="1"/>
      <c r="O302" s="1"/>
      <c r="P302" s="1"/>
      <c r="Q302" s="1"/>
      <c r="R302" s="1"/>
      <c r="S302" s="1" t="str">
        <f ca="1">IFERROR(__xludf.DUMMYFUNCTION("""COMPUTED_VALUE"""),"वैज्ञानिक अध्यात्मवाद का प्रतिपादन")</f>
        <v>वैज्ञानिक अध्यात्मवाद का प्रतिपादन</v>
      </c>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f ca="1">IFERROR(__xludf.DUMMYFUNCTION("""COMPUTED_VALUE"""),6)</f>
        <v>6</v>
      </c>
      <c r="BX302" s="1">
        <f ca="1">IFERROR(__xludf.DUMMYFUNCTION("""COMPUTED_VALUE"""),6)</f>
        <v>6</v>
      </c>
      <c r="BY302" s="1">
        <f ca="1">IFERROR(__xludf.DUMMYFUNCTION("""COMPUTED_VALUE"""),2)</f>
        <v>2</v>
      </c>
      <c r="BZ302" s="1">
        <f ca="1">IFERROR(__xludf.DUMMYFUNCTION("""COMPUTED_VALUE"""),0)</f>
        <v>0</v>
      </c>
      <c r="CA302" s="1"/>
      <c r="CB302" s="1"/>
      <c r="CC302" s="1" t="str">
        <f ca="1">IFERROR(__xludf.DUMMYFUNCTION("""COMPUTED_VALUE"""),"પાંચ અમાનતોને ઈશ્વરીય કાર્યોમાં જ વાપરો : G_PP_05")</f>
        <v>પાંચ અમાનતોને ઈશ્વરીય કાર્યોમાં જ વાપરો : G_PP_05</v>
      </c>
      <c r="CD302" s="3" t="str">
        <f ca="1">IFERROR(__xludf.DUMMYFUNCTION("""COMPUTED_VALUE"""),"https://vicharkrantibooks.org/productdetail?product_id=3910")</f>
        <v>https://vicharkrantibooks.org/productdetail?product_id=3910</v>
      </c>
      <c r="CE302" s="1" t="str">
        <f ca="1">IFERROR(__xludf.DUMMYFUNCTION("""COMPUTED_VALUE"""),"Audiobook : પાંચ અમાનતોને ઈશ્વરીય કાર્યોમાં જ વાપરો : G_PP_05 : hinap775@gmail.com : Recorded")</f>
        <v>Audiobook : પાંચ અમાનતોને ઈશ્વરીય કાર્યોમાં જ વાપરો : G_PP_05 : hinap775@gmail.com : Recorded</v>
      </c>
      <c r="CF302" s="1" t="str">
        <f ca="1">IFERROR(__xludf.DUMMYFUNCTION("""COMPUTED_VALUE"""),"Audiobook : પાંચ અમાનતોને ઈશ્વરીય કાર્યોમાં જ વાપરો : G_PP_05 : hinap775@gmail.com : Recorded")</f>
        <v>Audiobook : પાંચ અમાનતોને ઈશ્વરીય કાર્યોમાં જ વાપરો : G_PP_05 : hinap775@gmail.com : Recorded</v>
      </c>
      <c r="CG302" s="1" t="str">
        <f ca="1">IFERROR(__xludf.DUMMYFUNCTION("""COMPUTED_VALUE"""),"Adarniya Hina Patel  ji પાંચ અમાનતોને ઈશ્વરીય કાર્યોમાં જ વાપરો : G_PP_05 : Allocated on 19-Apr-24 Contact Number  9921772176")</f>
        <v>Adarniya Hina Patel  ji પાંચ અમાનતોને ઈશ્વરીય કાર્યોમાં જ વાપરો : G_PP_05 : Allocated on 19-Apr-24 Contact Number  9921772176</v>
      </c>
      <c r="CH302" s="1" t="str">
        <f ca="1">IFERROR(__xludf.DUMMYFUNCTION("""COMPUTED_VALUE"""),"hinap775@gmail.com : પાંચ અમાનતોને ઈશ્વરીય કાર્યોમાં જ વાપરો : G_PP_05")</f>
        <v>hinap775@gmail.com : પાંચ અમાનતોને ઈશ્વરીય કાર્યોમાં જ વાપરો : G_PP_05</v>
      </c>
      <c r="CI302" s="5">
        <f ca="1">IFERROR(__xludf.DUMMYFUNCTION("""COMPUTED_VALUE"""),45401.9186016087)</f>
        <v>45401.918601608697</v>
      </c>
    </row>
    <row r="303" spans="1:87" x14ac:dyDescent="0.25">
      <c r="A303" s="5">
        <f ca="1">IFERROR(__xludf.DUMMYFUNCTION("""COMPUTED_VALUE"""),45401.8978435763)</f>
        <v>45401.897843576298</v>
      </c>
      <c r="B303" s="1" t="str">
        <f ca="1">IFERROR(__xludf.DUMMYFUNCTION("""COMPUTED_VALUE"""),"druma4107@gmail.com")</f>
        <v>druma4107@gmail.com</v>
      </c>
      <c r="C303" s="1" t="str">
        <f ca="1">IFERROR(__xludf.DUMMYFUNCTION("""COMPUTED_VALUE"""),"Dr Uma Agrawal")</f>
        <v>Dr Uma Agrawal</v>
      </c>
      <c r="D303" s="1">
        <f ca="1">IFERROR(__xludf.DUMMYFUNCTION("""COMPUTED_VALUE"""),9410861182)</f>
        <v>9410861182</v>
      </c>
      <c r="E303" s="1" t="str">
        <f ca="1">IFERROR(__xludf.DUMMYFUNCTION("""COMPUTED_VALUE"""),"Yes")</f>
        <v>Yes</v>
      </c>
      <c r="F303" s="1" t="str">
        <f ca="1">IFERROR(__xludf.DUMMYFUNCTION("""COMPUTED_VALUE"""),"हिन्दी")</f>
        <v>हिन्दी</v>
      </c>
      <c r="G303" s="1" t="str">
        <f ca="1">IFERROR(__xludf.DUMMYFUNCTION("""COMPUTED_VALUE"""),"युग परिवर्तन-विचार क्रांति")</f>
        <v>युग परिवर्तन-विचार क्रांति</v>
      </c>
      <c r="H303" s="1"/>
      <c r="I303" s="1"/>
      <c r="J303" s="1"/>
      <c r="K303" s="1"/>
      <c r="L303" s="1"/>
      <c r="M303" s="1"/>
      <c r="N303" s="1"/>
      <c r="O303" s="1"/>
      <c r="P303" s="1"/>
      <c r="Q303" s="1" t="str">
        <f ca="1">IFERROR(__xludf.DUMMYFUNCTION("""COMPUTED_VALUE"""),"ज्ञानयज्ञ")</f>
        <v>ज्ञानयज्ञ</v>
      </c>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f ca="1">IFERROR(__xludf.DUMMYFUNCTION("""COMPUTED_VALUE"""),104)</f>
        <v>104</v>
      </c>
      <c r="BX303" s="1">
        <f ca="1">IFERROR(__xludf.DUMMYFUNCTION("""COMPUTED_VALUE"""),106)</f>
        <v>106</v>
      </c>
      <c r="BY303" s="1">
        <f ca="1">IFERROR(__xludf.DUMMYFUNCTION("""COMPUTED_VALUE"""),9)</f>
        <v>9</v>
      </c>
      <c r="BZ303" s="1">
        <f ca="1">IFERROR(__xludf.DUMMYFUNCTION("""COMPUTED_VALUE"""),43)</f>
        <v>43</v>
      </c>
      <c r="CA303" s="1"/>
      <c r="CB303" s="1"/>
      <c r="CC303" s="1" t="str">
        <f ca="1">IFERROR(__xludf.DUMMYFUNCTION("""COMPUTED_VALUE"""),"उथल पुथल की वेला एवं उज्ज्वल भविष्य की संभावनाएँ : Rare Book")</f>
        <v>उथल पुथल की वेला एवं उज्ज्वल भविष्य की संभावनाएँ : Rare Book</v>
      </c>
      <c r="CD303" s="3" t="str">
        <f ca="1">IFERROR(__xludf.DUMMYFUNCTION("""COMPUTED_VALUE"""),"https://vicharkrantibooks.org/productdetail?book_name=HINF0303_UTHAL_PUTHAL_KI_VELA_EVAM_UJJVAL_BHAVISHY_KI_SAMBHAVANAEN_xxyyyy&amp;product_id=523")</f>
        <v>https://vicharkrantibooks.org/productdetail?book_name=HINF0303_UTHAL_PUTHAL_KI_VELA_EVAM_UJJVAL_BHAVISHY_KI_SAMBHAVANAEN_xxyyyy&amp;product_id=523</v>
      </c>
      <c r="CE303" s="1" t="str">
        <f ca="1">IFERROR(__xludf.DUMMYFUNCTION("""COMPUTED_VALUE"""),"Audiobook : उथल पुथल की वेला एवं उज्ज्वल भविष्य की संभावनाएँ : Rare Book : druma4107@gmail.com : Recorded")</f>
        <v>Audiobook : उथल पुथल की वेला एवं उज्ज्वल भविष्य की संभावनाएँ : Rare Book : druma4107@gmail.com : Recorded</v>
      </c>
      <c r="CF303" s="1" t="str">
        <f ca="1">IFERROR(__xludf.DUMMYFUNCTION("""COMPUTED_VALUE"""),"Audiobook : उथल पुथल की वेला एवं उज्ज्वल भविष्य की संभावनाएँ : Rare Book : druma4107@gmail.com : Recorded")</f>
        <v>Audiobook : उथल पुथल की वेला एवं उज्ज्वल भविष्य की संभावनाएँ : Rare Book : druma4107@gmail.com : Recorded</v>
      </c>
      <c r="CG303" s="1" t="str">
        <f ca="1">IFERROR(__xludf.DUMMYFUNCTION("""COMPUTED_VALUE"""),"Adarniya Dr Uma Agrawal ji उथल पुथल की वेला एवं उज्ज्वल भविष्य की संभावनाएँ : Rare Book : Allocated on 19-Apr-24 Contact Number  9410861182")</f>
        <v>Adarniya Dr Uma Agrawal ji उथल पुथल की वेला एवं उज्ज्वल भविष्य की संभावनाएँ : Rare Book : Allocated on 19-Apr-24 Contact Number  9410861182</v>
      </c>
      <c r="CH303" s="1" t="str">
        <f ca="1">IFERROR(__xludf.DUMMYFUNCTION("""COMPUTED_VALUE"""),"druma4107@gmail.com : उथल पुथल की वेला एवं उज्ज्वल भविष्य की संभावनाएँ : Rare Book")</f>
        <v>druma4107@gmail.com : उथल पुथल की वेला एवं उज्ज्वल भविष्य की संभावनाएँ : Rare Book</v>
      </c>
      <c r="CI303" s="5">
        <f ca="1">IFERROR(__xludf.DUMMYFUNCTION("""COMPUTED_VALUE"""),45401.8978435763)</f>
        <v>45401.897843576298</v>
      </c>
    </row>
    <row r="304" spans="1:87" x14ac:dyDescent="0.25">
      <c r="A304" s="5">
        <f ca="1">IFERROR(__xludf.DUMMYFUNCTION("""COMPUTED_VALUE"""),45401.7444445138)</f>
        <v>45401.744444513803</v>
      </c>
      <c r="B304" s="1" t="str">
        <f ca="1">IFERROR(__xludf.DUMMYFUNCTION("""COMPUTED_VALUE"""),"vjatul025@gmail.com")</f>
        <v>vjatul025@gmail.com</v>
      </c>
      <c r="C304" s="1" t="str">
        <f ca="1">IFERROR(__xludf.DUMMYFUNCTION("""COMPUTED_VALUE"""),"Vandana Joshi ")</f>
        <v xml:space="preserve">Vandana Joshi </v>
      </c>
      <c r="D304" s="1">
        <f ca="1">IFERROR(__xludf.DUMMYFUNCTION("""COMPUTED_VALUE"""),9174756367)</f>
        <v>9174756367</v>
      </c>
      <c r="E304" s="1" t="str">
        <f ca="1">IFERROR(__xludf.DUMMYFUNCTION("""COMPUTED_VALUE"""),"No")</f>
        <v>No</v>
      </c>
      <c r="F304" s="1" t="str">
        <f ca="1">IFERROR(__xludf.DUMMYFUNCTION("""COMPUTED_VALUE"""),"हिन्दी")</f>
        <v>हिन्दी</v>
      </c>
      <c r="G304" s="1" t="str">
        <f ca="1">IFERROR(__xludf.DUMMYFUNCTION("""COMPUTED_VALUE"""),"अध्यात्म, धर्म एवं दर्शन")</f>
        <v>अध्यात्म, धर्म एवं दर्शन</v>
      </c>
      <c r="H304" s="1" t="str">
        <f ca="1">IFERROR(__xludf.DUMMYFUNCTION("""COMPUTED_VALUE"""),"आत्मज्ञान एवं आत्मनिर्माण")</f>
        <v>आत्मज्ञान एवं आत्मनिर्माण</v>
      </c>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f ca="1">IFERROR(__xludf.DUMMYFUNCTION("""COMPUTED_VALUE"""),8)</f>
        <v>8</v>
      </c>
      <c r="BX304" s="1">
        <f ca="1">IFERROR(__xludf.DUMMYFUNCTION("""COMPUTED_VALUE"""),6)</f>
        <v>6</v>
      </c>
      <c r="BY304" s="1">
        <f ca="1">IFERROR(__xludf.DUMMYFUNCTION("""COMPUTED_VALUE"""),2)</f>
        <v>2</v>
      </c>
      <c r="BZ304" s="1">
        <f ca="1">IFERROR(__xludf.DUMMYFUNCTION("""COMPUTED_VALUE"""),0)</f>
        <v>0</v>
      </c>
      <c r="CA304" s="1"/>
      <c r="CB304" s="1"/>
      <c r="CC304" s="1" t="str">
        <f ca="1">IFERROR(__xludf.DUMMYFUNCTION("""COMPUTED_VALUE"""),"अणु में विभु लघु में महान : Rare Book")</f>
        <v>अणु में विभु लघु में महान : Rare Book</v>
      </c>
      <c r="CD304" s="3" t="str">
        <f ca="1">IFERROR(__xludf.DUMMYFUNCTION("""COMPUTED_VALUE"""),"https://vicharkrantibooks.org/productdetail?book_name=HINF0030_ANU_MEIN_VIBHU_LAGHU_MEIN_MAHAN_xxyyyy&amp;product_id=250")</f>
        <v>https://vicharkrantibooks.org/productdetail?book_name=HINF0030_ANU_MEIN_VIBHU_LAGHU_MEIN_MAHAN_xxyyyy&amp;product_id=250</v>
      </c>
      <c r="CE304" s="1" t="str">
        <f ca="1">IFERROR(__xludf.DUMMYFUNCTION("""COMPUTED_VALUE"""),"Audiobook : अणु में विभु लघु में महान : Rare Book : vjatul025@gmail.com : Recorded")</f>
        <v>Audiobook : अणु में विभु लघु में महान : Rare Book : vjatul025@gmail.com : Recorded</v>
      </c>
      <c r="CF304" s="1" t="str">
        <f ca="1">IFERROR(__xludf.DUMMYFUNCTION("""COMPUTED_VALUE"""),"#N/A")</f>
        <v>#N/A</v>
      </c>
      <c r="CG304" s="1" t="str">
        <f ca="1">IFERROR(__xludf.DUMMYFUNCTION("""COMPUTED_VALUE"""),"Adarniya Vandana Joshi  ji अणु में विभु लघु में महान : Rare Book : Allocated on 19-Apr-24 Contact Number  9174756367")</f>
        <v>Adarniya Vandana Joshi  ji अणु में विभु लघु में महान : Rare Book : Allocated on 19-Apr-24 Contact Number  9174756367</v>
      </c>
      <c r="CH304" s="1" t="str">
        <f ca="1">IFERROR(__xludf.DUMMYFUNCTION("""COMPUTED_VALUE"""),"vjatul025@gmail.com : अणु में विभु लघु में महान : Rare Book")</f>
        <v>vjatul025@gmail.com : अणु में विभु लघु में महान : Rare Book</v>
      </c>
      <c r="CI304" s="5">
        <f ca="1">IFERROR(__xludf.DUMMYFUNCTION("""COMPUTED_VALUE"""),45401.7444445138)</f>
        <v>45401.744444513803</v>
      </c>
    </row>
    <row r="305" spans="1:87" x14ac:dyDescent="0.25">
      <c r="A305" s="5">
        <f ca="1">IFERROR(__xludf.DUMMYFUNCTION("""COMPUTED_VALUE"""),45401.7368517939)</f>
        <v>45401.736851793903</v>
      </c>
      <c r="B305" s="1" t="str">
        <f ca="1">IFERROR(__xludf.DUMMYFUNCTION("""COMPUTED_VALUE"""),"dave.chhaya@gmail.com")</f>
        <v>dave.chhaya@gmail.com</v>
      </c>
      <c r="C305" s="1" t="str">
        <f ca="1">IFERROR(__xludf.DUMMYFUNCTION("""COMPUTED_VALUE"""),"Chhaya Deepak Dave ")</f>
        <v xml:space="preserve">Chhaya Deepak Dave </v>
      </c>
      <c r="D305" s="1">
        <f ca="1">IFERROR(__xludf.DUMMYFUNCTION("""COMPUTED_VALUE"""),9879596556)</f>
        <v>9879596556</v>
      </c>
      <c r="E305" s="1" t="str">
        <f ca="1">IFERROR(__xludf.DUMMYFUNCTION("""COMPUTED_VALUE"""),"Yes")</f>
        <v>Yes</v>
      </c>
      <c r="F305" s="1" t="str">
        <f ca="1">IFERROR(__xludf.DUMMYFUNCTION("""COMPUTED_VALUE"""),"गुजराती")</f>
        <v>गुजराती</v>
      </c>
      <c r="G305" s="1" t="str">
        <f ca="1">IFERROR(__xludf.DUMMYFUNCTION("""COMPUTED_VALUE"""),"युग द्रष्टा पं. श्रीराम शर्मा आचार्यजी")</f>
        <v>युग द्रष्टा पं. श्रीराम शर्मा आचार्यजी</v>
      </c>
      <c r="H305" s="1"/>
      <c r="I305" s="1"/>
      <c r="J305" s="1"/>
      <c r="K305" s="1"/>
      <c r="L305" s="1"/>
      <c r="M305" s="1"/>
      <c r="N305" s="1"/>
      <c r="O305" s="1"/>
      <c r="P305" s="1" t="str">
        <f ca="1">IFERROR(__xludf.DUMMYFUNCTION("""COMPUTED_VALUE"""),"युगॠषी की अमृतवाणी")</f>
        <v>युगॠषी की अमृतवाणी</v>
      </c>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f ca="1">IFERROR(__xludf.DUMMYFUNCTION("""COMPUTED_VALUE"""),46)</f>
        <v>46</v>
      </c>
      <c r="BX305" s="1">
        <f ca="1">IFERROR(__xludf.DUMMYFUNCTION("""COMPUTED_VALUE"""),39)</f>
        <v>39</v>
      </c>
      <c r="BY305" s="1">
        <f ca="1">IFERROR(__xludf.DUMMYFUNCTION("""COMPUTED_VALUE"""),6)</f>
        <v>6</v>
      </c>
      <c r="BZ305" s="1">
        <f ca="1">IFERROR(__xludf.DUMMYFUNCTION("""COMPUTED_VALUE"""),16)</f>
        <v>16</v>
      </c>
      <c r="CA305" s="1"/>
      <c r="CB305" s="1"/>
      <c r="CC305" s="1" t="str">
        <f ca="1">IFERROR(__xludf.DUMMYFUNCTION("""COMPUTED_VALUE"""),"બલિવૈશ્વ : G_YS_12")</f>
        <v>બલિવૈશ્વ : G_YS_12</v>
      </c>
      <c r="CD305" s="3" t="str">
        <f ca="1">IFERROR(__xludf.DUMMYFUNCTION("""COMPUTED_VALUE"""),"https://vicharkrantibooks.org/productdetail?product_id=4239")</f>
        <v>https://vicharkrantibooks.org/productdetail?product_id=4239</v>
      </c>
      <c r="CE305" s="1" t="str">
        <f ca="1">IFERROR(__xludf.DUMMYFUNCTION("""COMPUTED_VALUE"""),"Audiobook : બલિવૈશ્વ : G_YS_12 : dave.chhaya@gmail.com : Recorded")</f>
        <v>Audiobook : બલિવૈશ્વ : G_YS_12 : dave.chhaya@gmail.com : Recorded</v>
      </c>
      <c r="CF305" s="1" t="str">
        <f ca="1">IFERROR(__xludf.DUMMYFUNCTION("""COMPUTED_VALUE"""),"Audiobook : બલિવૈશ્વ : G_YS_12 : dave.chhaya@gmail.com : Recorded")</f>
        <v>Audiobook : બલિવૈશ્વ : G_YS_12 : dave.chhaya@gmail.com : Recorded</v>
      </c>
      <c r="CG305" s="1" t="str">
        <f ca="1">IFERROR(__xludf.DUMMYFUNCTION("""COMPUTED_VALUE"""),"Adarniya Chhaya Deepak Dave  ji બલિવૈશ્વ : G_YS_12 : Allocated on 19-Apr-24 Contact Number  9879596556")</f>
        <v>Adarniya Chhaya Deepak Dave  ji બલિવૈશ્વ : G_YS_12 : Allocated on 19-Apr-24 Contact Number  9879596556</v>
      </c>
      <c r="CH305" s="1" t="str">
        <f ca="1">IFERROR(__xludf.DUMMYFUNCTION("""COMPUTED_VALUE"""),"dave.chhaya@gmail.com : બલિવૈશ્વ : G_YS_12")</f>
        <v>dave.chhaya@gmail.com : બલિવૈશ્વ : G_YS_12</v>
      </c>
      <c r="CI305" s="5">
        <f ca="1">IFERROR(__xludf.DUMMYFUNCTION("""COMPUTED_VALUE"""),45401.7368517939)</f>
        <v>45401.736851793903</v>
      </c>
    </row>
    <row r="306" spans="1:87" x14ac:dyDescent="0.25">
      <c r="A306" s="5">
        <f ca="1">IFERROR(__xludf.DUMMYFUNCTION("""COMPUTED_VALUE"""),45401.6383842129)</f>
        <v>45401.6383842129</v>
      </c>
      <c r="B306" s="1" t="str">
        <f ca="1">IFERROR(__xludf.DUMMYFUNCTION("""COMPUTED_VALUE"""),"shweta.r.gupta79@gmail.com")</f>
        <v>shweta.r.gupta79@gmail.com</v>
      </c>
      <c r="C306" s="1" t="str">
        <f ca="1">IFERROR(__xludf.DUMMYFUNCTION("""COMPUTED_VALUE"""),"Shweta Gupta ")</f>
        <v xml:space="preserve">Shweta Gupta </v>
      </c>
      <c r="D306" s="1">
        <f ca="1">IFERROR(__xludf.DUMMYFUNCTION("""COMPUTED_VALUE"""),8369516724)</f>
        <v>8369516724</v>
      </c>
      <c r="E306" s="1" t="str">
        <f ca="1">IFERROR(__xludf.DUMMYFUNCTION("""COMPUTED_VALUE"""),"Yes")</f>
        <v>Yes</v>
      </c>
      <c r="F306" s="1" t="str">
        <f ca="1">IFERROR(__xludf.DUMMYFUNCTION("""COMPUTED_VALUE"""),"English")</f>
        <v>English</v>
      </c>
      <c r="G306" s="1" t="str">
        <f ca="1">IFERROR(__xludf.DUMMYFUNCTION("""COMPUTED_VALUE"""),"English")</f>
        <v>English</v>
      </c>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f ca="1">IFERROR(__xludf.DUMMYFUNCTION("""COMPUTED_VALUE"""),31)</f>
        <v>31</v>
      </c>
      <c r="BX306" s="1">
        <f ca="1">IFERROR(__xludf.DUMMYFUNCTION("""COMPUTED_VALUE"""),45)</f>
        <v>45</v>
      </c>
      <c r="BY306" s="1">
        <f ca="1">IFERROR(__xludf.DUMMYFUNCTION("""COMPUTED_VALUE"""),3)</f>
        <v>3</v>
      </c>
      <c r="BZ306" s="1">
        <f ca="1">IFERROR(__xludf.DUMMYFUNCTION("""COMPUTED_VALUE"""),40)</f>
        <v>40</v>
      </c>
      <c r="CA306" s="1"/>
      <c r="CB306" s="1"/>
      <c r="CC306" s="1" t="str">
        <f ca="1">IFERROR(__xludf.DUMMYFUNCTION("""COMPUTED_VALUE"""),"Be Good : EPB_134")</f>
        <v>Be Good : EPB_134</v>
      </c>
      <c r="CD306" s="3" t="str">
        <f ca="1">IFERROR(__xludf.DUMMYFUNCTION("""COMPUTED_VALUE"""),"https://vicharkrantibooks.org/productdetail?book_name=ENGB0206_BE_GOOD_1st2013&amp;product_id=3519")</f>
        <v>https://vicharkrantibooks.org/productdetail?book_name=ENGB0206_BE_GOOD_1st2013&amp;product_id=3519</v>
      </c>
      <c r="CE306" s="1" t="str">
        <f ca="1">IFERROR(__xludf.DUMMYFUNCTION("""COMPUTED_VALUE"""),"Audiobook : Be Good : EPB_134 : shweta.r.gupta79@gmail.com : Recorded")</f>
        <v>Audiobook : Be Good : EPB_134 : shweta.r.gupta79@gmail.com : Recorded</v>
      </c>
      <c r="CF306" s="1" t="str">
        <f ca="1">IFERROR(__xludf.DUMMYFUNCTION("""COMPUTED_VALUE"""),"Audiobook : Be Good : EPB_134 : shweta.r.gupta79@gmail.com : Recorded")</f>
        <v>Audiobook : Be Good : EPB_134 : shweta.r.gupta79@gmail.com : Recorded</v>
      </c>
      <c r="CG306" s="1" t="str">
        <f ca="1">IFERROR(__xludf.DUMMYFUNCTION("""COMPUTED_VALUE"""),"Adarniya Shweta Gupta  ji Be Good : EPB_134 : Allocated on 19-Apr-24 Contact Number  8369516724")</f>
        <v>Adarniya Shweta Gupta  ji Be Good : EPB_134 : Allocated on 19-Apr-24 Contact Number  8369516724</v>
      </c>
      <c r="CH306" s="1" t="str">
        <f ca="1">IFERROR(__xludf.DUMMYFUNCTION("""COMPUTED_VALUE"""),"shweta.r.gupta79@gmail.com : Be Good : EPB_134")</f>
        <v>shweta.r.gupta79@gmail.com : Be Good : EPB_134</v>
      </c>
      <c r="CI306" s="5">
        <f ca="1">IFERROR(__xludf.DUMMYFUNCTION("""COMPUTED_VALUE"""),45401.6383842129)</f>
        <v>45401.6383842129</v>
      </c>
    </row>
    <row r="307" spans="1:87" x14ac:dyDescent="0.25">
      <c r="A307" s="5">
        <f ca="1">IFERROR(__xludf.DUMMYFUNCTION("""COMPUTED_VALUE"""),45401.6006512731)</f>
        <v>45401.600651273096</v>
      </c>
      <c r="B307" s="1" t="str">
        <f ca="1">IFERROR(__xludf.DUMMYFUNCTION("""COMPUTED_VALUE"""),"divyabhatnagar73@gmail.com")</f>
        <v>divyabhatnagar73@gmail.com</v>
      </c>
      <c r="C307" s="1" t="str">
        <f ca="1">IFERROR(__xludf.DUMMYFUNCTION("""COMPUTED_VALUE"""),"Divya Bhatnagar")</f>
        <v>Divya Bhatnagar</v>
      </c>
      <c r="D307" s="1" t="str">
        <f ca="1">IFERROR(__xludf.DUMMYFUNCTION("""COMPUTED_VALUE"""),"09672806579")</f>
        <v>09672806579</v>
      </c>
      <c r="E307" s="1" t="str">
        <f ca="1">IFERROR(__xludf.DUMMYFUNCTION("""COMPUTED_VALUE"""),"Yes")</f>
        <v>Yes</v>
      </c>
      <c r="F307" s="1" t="str">
        <f ca="1">IFERROR(__xludf.DUMMYFUNCTION("""COMPUTED_VALUE"""),"हिन्दी or English")</f>
        <v>हिन्दी or English</v>
      </c>
      <c r="G307" s="1" t="str">
        <f ca="1">IFERROR(__xludf.DUMMYFUNCTION("""COMPUTED_VALUE"""),"वैज्ञानिक अध्यात्मवाद का प्रतिपादन")</f>
        <v>वैज्ञानिक अध्यात्मवाद का प्रतिपादन</v>
      </c>
      <c r="H307" s="1"/>
      <c r="I307" s="1"/>
      <c r="J307" s="1"/>
      <c r="K307" s="1"/>
      <c r="L307" s="1"/>
      <c r="M307" s="1"/>
      <c r="N307" s="1"/>
      <c r="O307" s="1"/>
      <c r="P307" s="1"/>
      <c r="Q307" s="1"/>
      <c r="R307" s="1"/>
      <c r="S307" s="1" t="str">
        <f ca="1">IFERROR(__xludf.DUMMYFUNCTION("""COMPUTED_VALUE"""),"वैज्ञानिक अध्यात्मवाद का प्रतिपादन")</f>
        <v>वैज्ञानिक अध्यात्मवाद का प्रतिपादन</v>
      </c>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f ca="1">IFERROR(__xludf.DUMMYFUNCTION("""COMPUTED_VALUE"""),12)</f>
        <v>12</v>
      </c>
      <c r="BX307" s="1">
        <f ca="1">IFERROR(__xludf.DUMMYFUNCTION("""COMPUTED_VALUE"""),6)</f>
        <v>6</v>
      </c>
      <c r="BY307" s="1">
        <f ca="1">IFERROR(__xludf.DUMMYFUNCTION("""COMPUTED_VALUE"""),7)</f>
        <v>7</v>
      </c>
      <c r="BZ307" s="1">
        <f ca="1">IFERROR(__xludf.DUMMYFUNCTION("""COMPUTED_VALUE"""),1)</f>
        <v>1</v>
      </c>
      <c r="CA307" s="1"/>
      <c r="CB307" s="1"/>
      <c r="CC307" s="1" t="str">
        <f ca="1">IFERROR(__xludf.DUMMYFUNCTION("""COMPUTED_VALUE"""),"The Science Of Mantra : EP_39")</f>
        <v>The Science Of Mantra : EP_39</v>
      </c>
      <c r="CD307" s="3" t="str">
        <f ca="1">IFERROR(__xludf.DUMMYFUNCTION("""COMPUTED_VALUE"""),"https://vicharkrantibooks.org/productdetail?book_name=ENGPE039_THE_SCIENCE_OF_MANTRA_xxyyyy&amp;product_id=3432")</f>
        <v>https://vicharkrantibooks.org/productdetail?book_name=ENGPE039_THE_SCIENCE_OF_MANTRA_xxyyyy&amp;product_id=3432</v>
      </c>
      <c r="CE307" s="1" t="str">
        <f ca="1">IFERROR(__xludf.DUMMYFUNCTION("""COMPUTED_VALUE"""),"Audiobook : The Science Of Mantra : EP_39 : divyabhatnagar73@gmail.com : Recorded")</f>
        <v>Audiobook : The Science Of Mantra : EP_39 : divyabhatnagar73@gmail.com : Recorded</v>
      </c>
      <c r="CF307" s="1" t="str">
        <f ca="1">IFERROR(__xludf.DUMMYFUNCTION("""COMPUTED_VALUE"""),"#N/A")</f>
        <v>#N/A</v>
      </c>
      <c r="CG307" s="1" t="str">
        <f ca="1">IFERROR(__xludf.DUMMYFUNCTION("""COMPUTED_VALUE"""),"Adarniya Divya Bhatnagar ji The Science Of Mantra : EP_39 : Allocated on 19-Apr-24 Contact Number  09672806579")</f>
        <v>Adarniya Divya Bhatnagar ji The Science Of Mantra : EP_39 : Allocated on 19-Apr-24 Contact Number  09672806579</v>
      </c>
      <c r="CH307" s="1" t="str">
        <f ca="1">IFERROR(__xludf.DUMMYFUNCTION("""COMPUTED_VALUE"""),"divyabhatnagar73@gmail.com : The Science Of Mantra : EP_39")</f>
        <v>divyabhatnagar73@gmail.com : The Science Of Mantra : EP_39</v>
      </c>
      <c r="CI307" s="5">
        <f ca="1">IFERROR(__xludf.DUMMYFUNCTION("""COMPUTED_VALUE"""),45401.6006512731)</f>
        <v>45401.600651273096</v>
      </c>
    </row>
    <row r="308" spans="1:87" x14ac:dyDescent="0.25">
      <c r="A308" s="5">
        <f ca="1">IFERROR(__xludf.DUMMYFUNCTION("""COMPUTED_VALUE"""),45401.3371516319)</f>
        <v>45401.337151631902</v>
      </c>
      <c r="B308" s="1" t="str">
        <f ca="1">IFERROR(__xludf.DUMMYFUNCTION("""COMPUTED_VALUE"""),"pragyapaliwal78@gmail.com")</f>
        <v>pragyapaliwal78@gmail.com</v>
      </c>
      <c r="C308" s="1" t="str">
        <f ca="1">IFERROR(__xludf.DUMMYFUNCTION("""COMPUTED_VALUE"""),"Pragya paliwal ")</f>
        <v xml:space="preserve">Pragya paliwal </v>
      </c>
      <c r="D308" s="1">
        <f ca="1">IFERROR(__xludf.DUMMYFUNCTION("""COMPUTED_VALUE"""),8696296388)</f>
        <v>8696296388</v>
      </c>
      <c r="E308" s="1" t="str">
        <f ca="1">IFERROR(__xludf.DUMMYFUNCTION("""COMPUTED_VALUE"""),"Yes")</f>
        <v>Yes</v>
      </c>
      <c r="F308" s="1" t="str">
        <f ca="1">IFERROR(__xludf.DUMMYFUNCTION("""COMPUTED_VALUE"""),"हिन्दी")</f>
        <v>हिन्दी</v>
      </c>
      <c r="G308" s="1" t="str">
        <f ca="1">IFERROR(__xludf.DUMMYFUNCTION("""COMPUTED_VALUE"""),"समग्र स्वास्थ्य")</f>
        <v>समग्र स्वास्थ्य</v>
      </c>
      <c r="H308" s="1"/>
      <c r="I308" s="1"/>
      <c r="J308" s="1"/>
      <c r="K308" s="1"/>
      <c r="L308" s="1"/>
      <c r="M308" s="1"/>
      <c r="N308" s="1"/>
      <c r="O308" s="1"/>
      <c r="P308" s="1"/>
      <c r="Q308" s="1"/>
      <c r="R308" s="1"/>
      <c r="S308" s="1"/>
      <c r="T308" s="1"/>
      <c r="U308" s="1" t="str">
        <f ca="1">IFERROR(__xludf.DUMMYFUNCTION("""COMPUTED_VALUE"""),"आहार-विहार एवं उपवास")</f>
        <v>आहार-विहार एवं उपवास</v>
      </c>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f ca="1">IFERROR(__xludf.DUMMYFUNCTION("""COMPUTED_VALUE"""),11)</f>
        <v>11</v>
      </c>
      <c r="BX308" s="1">
        <f ca="1">IFERROR(__xludf.DUMMYFUNCTION("""COMPUTED_VALUE"""),3)</f>
        <v>3</v>
      </c>
      <c r="BY308" s="1">
        <f ca="1">IFERROR(__xludf.DUMMYFUNCTION("""COMPUTED_VALUE"""),8)</f>
        <v>8</v>
      </c>
      <c r="BZ308" s="1">
        <f ca="1">IFERROR(__xludf.DUMMYFUNCTION("""COMPUTED_VALUE"""),0)</f>
        <v>0</v>
      </c>
      <c r="CA308" s="1"/>
      <c r="CB308" s="1"/>
      <c r="CC308" s="1" t="str">
        <f ca="1">IFERROR(__xludf.DUMMYFUNCTION("""COMPUTED_VALUE"""),"मनोविकारों के दुष्परिणाम : Rare Book")</f>
        <v>मनोविकारों के दुष्परिणाम : Rare Book</v>
      </c>
      <c r="CD308" s="3" t="str">
        <f ca="1">IFERROR(__xludf.DUMMYFUNCTION("""COMPUTED_VALUE"""),"https://vicharkrantibooks.org/productdetail?book_name=HINP0517_MANOVIKARON_KE_DUSHPARINAM_xx1978&amp;product_id=1082")</f>
        <v>https://vicharkrantibooks.org/productdetail?book_name=HINP0517_MANOVIKARON_KE_DUSHPARINAM_xx1978&amp;product_id=1082</v>
      </c>
      <c r="CE308" s="1" t="str">
        <f ca="1">IFERROR(__xludf.DUMMYFUNCTION("""COMPUTED_VALUE"""),"Audiobook : मनोविकारों के दुष्परिणाम : Rare Book : pragyapaliwal78@gmail.com : Recorded")</f>
        <v>Audiobook : मनोविकारों के दुष्परिणाम : Rare Book : pragyapaliwal78@gmail.com : Recorded</v>
      </c>
      <c r="CF308" s="1" t="str">
        <f ca="1">IFERROR(__xludf.DUMMYFUNCTION("""COMPUTED_VALUE"""),"#N/A")</f>
        <v>#N/A</v>
      </c>
      <c r="CG308" s="1" t="str">
        <f ca="1">IFERROR(__xludf.DUMMYFUNCTION("""COMPUTED_VALUE"""),"Adarniya Pragya paliwal  ji मनोविकारों के दुष्परिणाम : Rare Book : Allocated on 19-Apr-24 Contact Number  8696296388")</f>
        <v>Adarniya Pragya paliwal  ji मनोविकारों के दुष्परिणाम : Rare Book : Allocated on 19-Apr-24 Contact Number  8696296388</v>
      </c>
      <c r="CH308" s="1" t="str">
        <f ca="1">IFERROR(__xludf.DUMMYFUNCTION("""COMPUTED_VALUE"""),"pragyapaliwal78@gmail.com : मनोविकारों के दुष्परिणाम : Rare Book")</f>
        <v>pragyapaliwal78@gmail.com : मनोविकारों के दुष्परिणाम : Rare Book</v>
      </c>
      <c r="CI308" s="5">
        <f ca="1">IFERROR(__xludf.DUMMYFUNCTION("""COMPUTED_VALUE"""),45401.3371516319)</f>
        <v>45401.337151631902</v>
      </c>
    </row>
    <row r="309" spans="1:87" x14ac:dyDescent="0.25">
      <c r="A309" s="5">
        <f ca="1">IFERROR(__xludf.DUMMYFUNCTION("""COMPUTED_VALUE"""),45401.3149140509)</f>
        <v>45401.314914050898</v>
      </c>
      <c r="B309" s="1" t="str">
        <f ca="1">IFERROR(__xludf.DUMMYFUNCTION("""COMPUTED_VALUE"""),"shweta.r.gupta79@gmail.com")</f>
        <v>shweta.r.gupta79@gmail.com</v>
      </c>
      <c r="C309" s="1" t="str">
        <f ca="1">IFERROR(__xludf.DUMMYFUNCTION("""COMPUTED_VALUE"""),"Shweta Gupta ")</f>
        <v xml:space="preserve">Shweta Gupta </v>
      </c>
      <c r="D309" s="1">
        <f ca="1">IFERROR(__xludf.DUMMYFUNCTION("""COMPUTED_VALUE"""),8369516724)</f>
        <v>8369516724</v>
      </c>
      <c r="E309" s="1" t="str">
        <f ca="1">IFERROR(__xludf.DUMMYFUNCTION("""COMPUTED_VALUE"""),"Yes")</f>
        <v>Yes</v>
      </c>
      <c r="F309" s="1" t="str">
        <f ca="1">IFERROR(__xludf.DUMMYFUNCTION("""COMPUTED_VALUE"""),"हिन्दी")</f>
        <v>हिन्दी</v>
      </c>
      <c r="G309" s="1" t="str">
        <f ca="1">IFERROR(__xludf.DUMMYFUNCTION("""COMPUTED_VALUE"""),"समग्र स्वास्थ्य")</f>
        <v>समग्र स्वास्थ्य</v>
      </c>
      <c r="H309" s="1"/>
      <c r="I309" s="1"/>
      <c r="J309" s="1"/>
      <c r="K309" s="1"/>
      <c r="L309" s="1"/>
      <c r="M309" s="1"/>
      <c r="N309" s="1"/>
      <c r="O309" s="1"/>
      <c r="P309" s="1"/>
      <c r="Q309" s="1"/>
      <c r="R309" s="1"/>
      <c r="S309" s="1"/>
      <c r="T309" s="1"/>
      <c r="U309" s="1" t="str">
        <f ca="1">IFERROR(__xludf.DUMMYFUNCTION("""COMPUTED_VALUE"""),"आहार-विहार एवं उपवास")</f>
        <v>आहार-विहार एवं उपवास</v>
      </c>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f ca="1">IFERROR(__xludf.DUMMYFUNCTION("""COMPUTED_VALUE"""),31)</f>
        <v>31</v>
      </c>
      <c r="BX309" s="1">
        <f ca="1">IFERROR(__xludf.DUMMYFUNCTION("""COMPUTED_VALUE"""),45)</f>
        <v>45</v>
      </c>
      <c r="BY309" s="1">
        <f ca="1">IFERROR(__xludf.DUMMYFUNCTION("""COMPUTED_VALUE"""),3)</f>
        <v>3</v>
      </c>
      <c r="BZ309" s="1">
        <f ca="1">IFERROR(__xludf.DUMMYFUNCTION("""COMPUTED_VALUE"""),40)</f>
        <v>40</v>
      </c>
      <c r="CA309" s="1"/>
      <c r="CB309" s="1"/>
      <c r="CC309" s="1" t="str">
        <f ca="1">IFERROR(__xludf.DUMMYFUNCTION("""COMPUTED_VALUE"""),"संतुलित आहार : Rare Book")</f>
        <v>संतुलित आहार : Rare Book</v>
      </c>
      <c r="CD309" s="3" t="str">
        <f ca="1">IFERROR(__xludf.DUMMYFUNCTION("""COMPUTED_VALUE"""),"https://vicharkrantibooks.org/productdetail?book_name=HINP0798_SANTULIT_AHAR_xxyyyy&amp;product_id=1363")</f>
        <v>https://vicharkrantibooks.org/productdetail?book_name=HINP0798_SANTULIT_AHAR_xxyyyy&amp;product_id=1363</v>
      </c>
      <c r="CE309" s="1" t="str">
        <f ca="1">IFERROR(__xludf.DUMMYFUNCTION("""COMPUTED_VALUE"""),"Audiobook : संतुलित आहार : Rare Book : shweta.r.gupta79@gmail.com : Recorded")</f>
        <v>Audiobook : संतुलित आहार : Rare Book : shweta.r.gupta79@gmail.com : Recorded</v>
      </c>
      <c r="CF309" s="1" t="str">
        <f ca="1">IFERROR(__xludf.DUMMYFUNCTION("""COMPUTED_VALUE"""),"Audiobook : संतुलित आहार : Rare Book : shweta.r.gupta79@gmail.com : Recorded")</f>
        <v>Audiobook : संतुलित आहार : Rare Book : shweta.r.gupta79@gmail.com : Recorded</v>
      </c>
      <c r="CG309" s="1" t="str">
        <f ca="1">IFERROR(__xludf.DUMMYFUNCTION("""COMPUTED_VALUE"""),"Adarniya Shweta Gupta  ji संतुलित आहार : Rare Book : Allocated on 19-Apr-24 Contact Number  8369516724")</f>
        <v>Adarniya Shweta Gupta  ji संतुलित आहार : Rare Book : Allocated on 19-Apr-24 Contact Number  8369516724</v>
      </c>
      <c r="CH309" s="1" t="str">
        <f ca="1">IFERROR(__xludf.DUMMYFUNCTION("""COMPUTED_VALUE"""),"shweta.r.gupta79@gmail.com : संतुलित आहार : Rare Book")</f>
        <v>shweta.r.gupta79@gmail.com : संतुलित आहार : Rare Book</v>
      </c>
      <c r="CI309" s="5">
        <f ca="1">IFERROR(__xludf.DUMMYFUNCTION("""COMPUTED_VALUE"""),45401.3149140509)</f>
        <v>45401.314914050898</v>
      </c>
    </row>
    <row r="310" spans="1:87" x14ac:dyDescent="0.25">
      <c r="A310" s="5">
        <f ca="1">IFERROR(__xludf.DUMMYFUNCTION("""COMPUTED_VALUE"""),45401.3075957407)</f>
        <v>45401.307595740698</v>
      </c>
      <c r="B310" s="1" t="str">
        <f ca="1">IFERROR(__xludf.DUMMYFUNCTION("""COMPUTED_VALUE"""),"rajnithakur9934@gmail.com")</f>
        <v>rajnithakur9934@gmail.com</v>
      </c>
      <c r="C310" s="1" t="str">
        <f ca="1">IFERROR(__xludf.DUMMYFUNCTION("""COMPUTED_VALUE"""),"Rajni Thakur ")</f>
        <v xml:space="preserve">Rajni Thakur </v>
      </c>
      <c r="D310" s="1">
        <f ca="1">IFERROR(__xludf.DUMMYFUNCTION("""COMPUTED_VALUE"""),6202048434)</f>
        <v>6202048434</v>
      </c>
      <c r="E310" s="1" t="str">
        <f ca="1">IFERROR(__xludf.DUMMYFUNCTION("""COMPUTED_VALUE"""),"Yes")</f>
        <v>Yes</v>
      </c>
      <c r="F310" s="1" t="str">
        <f ca="1">IFERROR(__xludf.DUMMYFUNCTION("""COMPUTED_VALUE"""),"हिन्दी")</f>
        <v>हिन्दी</v>
      </c>
      <c r="G310" s="1" t="str">
        <f ca="1">IFERROR(__xludf.DUMMYFUNCTION("""COMPUTED_VALUE"""),"व्यक्ति निर्माण, युवा/विद्यार्थी एवं शिक्षक")</f>
        <v>व्यक्ति निर्माण, युवा/विद्यार्थी एवं शिक्षक</v>
      </c>
      <c r="H310" s="1"/>
      <c r="I310" s="1"/>
      <c r="J310" s="1"/>
      <c r="K310" s="1"/>
      <c r="L310" s="1"/>
      <c r="M310" s="1"/>
      <c r="N310" s="1"/>
      <c r="O310" s="1"/>
      <c r="P310" s="1"/>
      <c r="Q310" s="1"/>
      <c r="R310" s="1"/>
      <c r="S310" s="1"/>
      <c r="T310" s="1" t="str">
        <f ca="1">IFERROR(__xludf.DUMMYFUNCTION("""COMPUTED_VALUE"""),"विद्यार्थी एवं शिक्षक")</f>
        <v>विद्यार्थी एवं शिक्षक</v>
      </c>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f ca="1">IFERROR(__xludf.DUMMYFUNCTION("""COMPUTED_VALUE"""),4)</f>
        <v>4</v>
      </c>
      <c r="BX310" s="1">
        <f ca="1">IFERROR(__xludf.DUMMYFUNCTION("""COMPUTED_VALUE"""),1)</f>
        <v>1</v>
      </c>
      <c r="BY310" s="1">
        <f ca="1">IFERROR(__xludf.DUMMYFUNCTION("""COMPUTED_VALUE"""),3)</f>
        <v>3</v>
      </c>
      <c r="BZ310" s="1">
        <f ca="1">IFERROR(__xludf.DUMMYFUNCTION("""COMPUTED_VALUE"""),0)</f>
        <v>0</v>
      </c>
      <c r="CA310" s="1"/>
      <c r="CB310" s="1"/>
      <c r="CC310" s="1" t="str">
        <f ca="1">IFERROR(__xludf.DUMMYFUNCTION("""COMPUTED_VALUE"""),"उज्जवल भविष्य के लिए वर्तमान का सदुपयोग करें : Rare Book")</f>
        <v>उज्जवल भविष्य के लिए वर्तमान का सदुपयोग करें : Rare Book</v>
      </c>
      <c r="CD310" s="3" t="str">
        <f ca="1">IFERROR(__xludf.DUMMYFUNCTION("""COMPUTED_VALUE"""),"https://vicharkrantibooks.org/productdetail?book_name=HINF0297_UJJAVAL_BHAVISHY_KE_LIE_VARTAMAN_KA_SADUPAYOG_KAREN_xxyyyy&amp;product_id=517")</f>
        <v>https://vicharkrantibooks.org/productdetail?book_name=HINF0297_UJJAVAL_BHAVISHY_KE_LIE_VARTAMAN_KA_SADUPAYOG_KAREN_xxyyyy&amp;product_id=517</v>
      </c>
      <c r="CE310" s="1" t="str">
        <f ca="1">IFERROR(__xludf.DUMMYFUNCTION("""COMPUTED_VALUE"""),"Audiobook : उज्जवल भविष्य के लिए वर्तमान का सदुपयोग करें : Rare Book : rajnithakur9934@gmail.com : Recorded")</f>
        <v>Audiobook : उज्जवल भविष्य के लिए वर्तमान का सदुपयोग करें : Rare Book : rajnithakur9934@gmail.com : Recorded</v>
      </c>
      <c r="CF310" s="1" t="str">
        <f ca="1">IFERROR(__xludf.DUMMYFUNCTION("""COMPUTED_VALUE"""),"#N/A")</f>
        <v>#N/A</v>
      </c>
      <c r="CG310" s="1" t="str">
        <f ca="1">IFERROR(__xludf.DUMMYFUNCTION("""COMPUTED_VALUE"""),"Adarniya Rajni Thakur  ji उज्जवल भविष्य के लिए वर्तमान का सदुपयोग करें : Rare Book : Allocated on 19-Apr-24 Contact Number  6202048434")</f>
        <v>Adarniya Rajni Thakur  ji उज्जवल भविष्य के लिए वर्तमान का सदुपयोग करें : Rare Book : Allocated on 19-Apr-24 Contact Number  6202048434</v>
      </c>
      <c r="CH310" s="1" t="str">
        <f ca="1">IFERROR(__xludf.DUMMYFUNCTION("""COMPUTED_VALUE"""),"rajnithakur9934@gmail.com : उज्जवल भविष्य के लिए वर्तमान का सदुपयोग करें : Rare Book")</f>
        <v>rajnithakur9934@gmail.com : उज्जवल भविष्य के लिए वर्तमान का सदुपयोग करें : Rare Book</v>
      </c>
      <c r="CI310" s="5">
        <f ca="1">IFERROR(__xludf.DUMMYFUNCTION("""COMPUTED_VALUE"""),45401.3075957407)</f>
        <v>45401.307595740698</v>
      </c>
    </row>
    <row r="311" spans="1:87" x14ac:dyDescent="0.25">
      <c r="A311" s="5">
        <f ca="1">IFERROR(__xludf.DUMMYFUNCTION("""COMPUTED_VALUE"""),45400.3961910185)</f>
        <v>45400.396191018503</v>
      </c>
      <c r="B311" s="1" t="str">
        <f ca="1">IFERROR(__xludf.DUMMYFUNCTION("""COMPUTED_VALUE"""),"30rakhi@gmail.com")</f>
        <v>30rakhi@gmail.com</v>
      </c>
      <c r="C311" s="1" t="str">
        <f ca="1">IFERROR(__xludf.DUMMYFUNCTION("""COMPUTED_VALUE"""),"Rakhi Ahuja")</f>
        <v>Rakhi Ahuja</v>
      </c>
      <c r="D311" s="1">
        <f ca="1">IFERROR(__xludf.DUMMYFUNCTION("""COMPUTED_VALUE"""),8936982492)</f>
        <v>8936982492</v>
      </c>
      <c r="E311" s="1" t="str">
        <f ca="1">IFERROR(__xludf.DUMMYFUNCTION("""COMPUTED_VALUE"""),"No")</f>
        <v>No</v>
      </c>
      <c r="F311" s="1" t="str">
        <f ca="1">IFERROR(__xludf.DUMMYFUNCTION("""COMPUTED_VALUE"""),"हिन्दी")</f>
        <v>हिन्दी</v>
      </c>
      <c r="G311" s="1" t="str">
        <f ca="1">IFERROR(__xludf.DUMMYFUNCTION("""COMPUTED_VALUE"""),"युग परिवर्तन-विचार क्रांति")</f>
        <v>युग परिवर्तन-विचार क्रांति</v>
      </c>
      <c r="H311" s="1"/>
      <c r="I311" s="1"/>
      <c r="J311" s="1"/>
      <c r="K311" s="1"/>
      <c r="L311" s="1"/>
      <c r="M311" s="1"/>
      <c r="N311" s="1"/>
      <c r="O311" s="1"/>
      <c r="P311" s="1"/>
      <c r="Q311" s="1" t="str">
        <f ca="1">IFERROR(__xludf.DUMMYFUNCTION("""COMPUTED_VALUE"""),"विचार क्रांति")</f>
        <v>विचार क्रांति</v>
      </c>
      <c r="R311" s="1"/>
      <c r="S311" s="1"/>
      <c r="T311" s="1"/>
      <c r="U311" s="1" t="str">
        <f ca="1">IFERROR(__xludf.DUMMYFUNCTION("""COMPUTED_VALUE"""),"मानसिक स्वास्थ्य")</f>
        <v>मानसिक स्वास्थ्य</v>
      </c>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f ca="1">IFERROR(__xludf.DUMMYFUNCTION("""COMPUTED_VALUE"""),4)</f>
        <v>4</v>
      </c>
      <c r="BX311" s="1">
        <f ca="1">IFERROR(__xludf.DUMMYFUNCTION("""COMPUTED_VALUE"""),2)</f>
        <v>2</v>
      </c>
      <c r="BY311" s="1">
        <f ca="1">IFERROR(__xludf.DUMMYFUNCTION("""COMPUTED_VALUE"""),2)</f>
        <v>2</v>
      </c>
      <c r="BZ311" s="1">
        <f ca="1">IFERROR(__xludf.DUMMYFUNCTION("""COMPUTED_VALUE"""),1)</f>
        <v>1</v>
      </c>
      <c r="CA311" s="1"/>
      <c r="CB311" s="1"/>
      <c r="CC311" s="1" t="str">
        <f ca="1">IFERROR(__xludf.DUMMYFUNCTION("""COMPUTED_VALUE"""),"क्या खाएँ ? कैसे खाएँ ? : Rare Book")</f>
        <v>क्या खाएँ ? कैसे खाएँ ? : Rare Book</v>
      </c>
      <c r="CD311" s="3" t="str">
        <f ca="1">IFERROR(__xludf.DUMMYFUNCTION("""COMPUTED_VALUE"""),"https://vicharkrantibooks.org/productdetail?product_id=378")</f>
        <v>https://vicharkrantibooks.org/productdetail?product_id=378</v>
      </c>
      <c r="CE311" s="1" t="str">
        <f ca="1">IFERROR(__xludf.DUMMYFUNCTION("""COMPUTED_VALUE"""),"Audiobook : क्या खाएँ ? कैसे खाएँ ? : Rare Book : 30rakhi@gmail.com : Recorded")</f>
        <v>Audiobook : क्या खाएँ ? कैसे खाएँ ? : Rare Book : 30rakhi@gmail.com : Recorded</v>
      </c>
      <c r="CF311" s="1" t="str">
        <f ca="1">IFERROR(__xludf.DUMMYFUNCTION("""COMPUTED_VALUE"""),"Audiobook : क्या खाएँ ? कैसे खाएँ ? : Rare Book : 30rakhi@gmail.com : Recorded")</f>
        <v>Audiobook : क्या खाएँ ? कैसे खाएँ ? : Rare Book : 30rakhi@gmail.com : Recorded</v>
      </c>
      <c r="CG311" s="1" t="str">
        <f ca="1">IFERROR(__xludf.DUMMYFUNCTION("""COMPUTED_VALUE"""),"Adarniya Rakhi Ahuja ji क्या खाएँ ? कैसे खाएँ ? : Rare Book : Allocated on 18-Apr-24 Contact Number  8936982492")</f>
        <v>Adarniya Rakhi Ahuja ji क्या खाएँ ? कैसे खाएँ ? : Rare Book : Allocated on 18-Apr-24 Contact Number  8936982492</v>
      </c>
      <c r="CH311" s="1" t="str">
        <f ca="1">IFERROR(__xludf.DUMMYFUNCTION("""COMPUTED_VALUE"""),"30rakhi@gmail.com : क्या खाएँ ? कैसे खाएँ ? : Rare Book")</f>
        <v>30rakhi@gmail.com : क्या खाएँ ? कैसे खाएँ ? : Rare Book</v>
      </c>
      <c r="CI311" s="5">
        <f ca="1">IFERROR(__xludf.DUMMYFUNCTION("""COMPUTED_VALUE"""),45400.3961910185)</f>
        <v>45400.396191018503</v>
      </c>
    </row>
    <row r="312" spans="1:87" x14ac:dyDescent="0.25">
      <c r="A312" s="5">
        <f ca="1">IFERROR(__xludf.DUMMYFUNCTION("""COMPUTED_VALUE"""),45400.3913740625)</f>
        <v>45400.391374062499</v>
      </c>
      <c r="B312" s="1" t="str">
        <f ca="1">IFERROR(__xludf.DUMMYFUNCTION("""COMPUTED_VALUE"""),"kalagpatel1959@gmail.com")</f>
        <v>kalagpatel1959@gmail.com</v>
      </c>
      <c r="C312" s="1" t="str">
        <f ca="1">IFERROR(__xludf.DUMMYFUNCTION("""COMPUTED_VALUE"""),"Kala Patel ")</f>
        <v xml:space="preserve">Kala Patel </v>
      </c>
      <c r="D312" s="1">
        <f ca="1">IFERROR(__xludf.DUMMYFUNCTION("""COMPUTED_VALUE"""),9016250929)</f>
        <v>9016250929</v>
      </c>
      <c r="E312" s="1" t="str">
        <f ca="1">IFERROR(__xludf.DUMMYFUNCTION("""COMPUTED_VALUE"""),"Yes")</f>
        <v>Yes</v>
      </c>
      <c r="F312" s="1" t="str">
        <f ca="1">IFERROR(__xludf.DUMMYFUNCTION("""COMPUTED_VALUE"""),"गुजराती")</f>
        <v>गुजराती</v>
      </c>
      <c r="G312" s="1" t="str">
        <f ca="1">IFERROR(__xludf.DUMMYFUNCTION("""COMPUTED_VALUE"""),"अध्यात्म, धर्म एवं दर्शन")</f>
        <v>अध्यात्म, धर्म एवं दर्शन</v>
      </c>
      <c r="H312" s="1" t="str">
        <f ca="1">IFERROR(__xludf.DUMMYFUNCTION("""COMPUTED_VALUE"""),"अध्यात्म, धर्म एवं आस्तिकता")</f>
        <v>अध्यात्म, धर्म एवं आस्तिकता</v>
      </c>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f ca="1">IFERROR(__xludf.DUMMYFUNCTION("""COMPUTED_VALUE"""),34)</f>
        <v>34</v>
      </c>
      <c r="BX312" s="1">
        <f ca="1">IFERROR(__xludf.DUMMYFUNCTION("""COMPUTED_VALUE"""),34)</f>
        <v>34</v>
      </c>
      <c r="BY312" s="1">
        <f ca="1">IFERROR(__xludf.DUMMYFUNCTION("""COMPUTED_VALUE"""),4)</f>
        <v>4</v>
      </c>
      <c r="BZ312" s="1">
        <f ca="1">IFERROR(__xludf.DUMMYFUNCTION("""COMPUTED_VALUE"""),11)</f>
        <v>11</v>
      </c>
      <c r="CA312" s="1"/>
      <c r="CB312" s="1"/>
      <c r="CC312" s="1" t="str">
        <f ca="1">IFERROR(__xludf.DUMMYFUNCTION("""COMPUTED_VALUE"""),"ગાયત્રી ચાલીસા (મોટી) : G_GG_14")</f>
        <v>ગાયત્રી ચાલીસા (મોટી) : G_GG_14</v>
      </c>
      <c r="CD312" s="3" t="str">
        <f ca="1">IFERROR(__xludf.DUMMYFUNCTION("""COMPUTED_VALUE"""),"https://vicharkrantibooks.org/productdetail?product_id=3637")</f>
        <v>https://vicharkrantibooks.org/productdetail?product_id=3637</v>
      </c>
      <c r="CE312" s="1" t="str">
        <f ca="1">IFERROR(__xludf.DUMMYFUNCTION("""COMPUTED_VALUE"""),"Audiobook : ગાયત્રી ચાલીસા (મોટી) : G_GG_14 : kalagpatel1959@gmail.com : Recorded")</f>
        <v>Audiobook : ગાયત્રી ચાલીસા (મોટી) : G_GG_14 : kalagpatel1959@gmail.com : Recorded</v>
      </c>
      <c r="CF312" s="1" t="str">
        <f ca="1">IFERROR(__xludf.DUMMYFUNCTION("""COMPUTED_VALUE"""),"Audiobook : ગાયત્રી ચાલીસા (મોટી) : G_GG_14 : kalagpatel1959@gmail.com : Recorded")</f>
        <v>Audiobook : ગાયત્રી ચાલીસા (મોટી) : G_GG_14 : kalagpatel1959@gmail.com : Recorded</v>
      </c>
      <c r="CG312" s="1" t="str">
        <f ca="1">IFERROR(__xludf.DUMMYFUNCTION("""COMPUTED_VALUE"""),"Adarniya Kala Patel  ji ગાયત્રી ચાલીસા (મોટી) : G_GG_14 : Allocated on 18-Apr-24 Contact Number  9016250929")</f>
        <v>Adarniya Kala Patel  ji ગાયત્રી ચાલીસા (મોટી) : G_GG_14 : Allocated on 18-Apr-24 Contact Number  9016250929</v>
      </c>
      <c r="CH312" s="1" t="str">
        <f ca="1">IFERROR(__xludf.DUMMYFUNCTION("""COMPUTED_VALUE"""),"kalagpatel1959@gmail.com : ગાયત્રી ચાલીસા (મોટી) : G_GG_14")</f>
        <v>kalagpatel1959@gmail.com : ગાયત્રી ચાલીસા (મોટી) : G_GG_14</v>
      </c>
      <c r="CI312" s="5">
        <f ca="1">IFERROR(__xludf.DUMMYFUNCTION("""COMPUTED_VALUE"""),45400.3913740625)</f>
        <v>45400.391374062499</v>
      </c>
    </row>
    <row r="313" spans="1:87" x14ac:dyDescent="0.25">
      <c r="A313" s="5">
        <f ca="1">IFERROR(__xludf.DUMMYFUNCTION("""COMPUTED_VALUE"""),45399.7928917939)</f>
        <v>45399.792891793899</v>
      </c>
      <c r="B313" s="1" t="str">
        <f ca="1">IFERROR(__xludf.DUMMYFUNCTION("""COMPUTED_VALUE"""),"tushar.pandit7686@gmail.com")</f>
        <v>tushar.pandit7686@gmail.com</v>
      </c>
      <c r="C313" s="1" t="str">
        <f ca="1">IFERROR(__xludf.DUMMYFUNCTION("""COMPUTED_VALUE"""),"Hetal")</f>
        <v>Hetal</v>
      </c>
      <c r="D313" s="1">
        <f ca="1">IFERROR(__xludf.DUMMYFUNCTION("""COMPUTED_VALUE"""),7874048920)</f>
        <v>7874048920</v>
      </c>
      <c r="E313" s="1" t="str">
        <f ca="1">IFERROR(__xludf.DUMMYFUNCTION("""COMPUTED_VALUE"""),"Yes")</f>
        <v>Yes</v>
      </c>
      <c r="F313" s="1" t="str">
        <f ca="1">IFERROR(__xludf.DUMMYFUNCTION("""COMPUTED_VALUE"""),"गुजराती")</f>
        <v>गुजराती</v>
      </c>
      <c r="G313" s="1" t="str">
        <f ca="1">IFERROR(__xludf.DUMMYFUNCTION("""COMPUTED_VALUE"""),"अध्यात्म, धर्म एवं दर्शन")</f>
        <v>अध्यात्म, धर्म एवं दर्शन</v>
      </c>
      <c r="H313" s="1" t="str">
        <f ca="1">IFERROR(__xludf.DUMMYFUNCTION("""COMPUTED_VALUE"""),"उपासना")</f>
        <v>उपासना</v>
      </c>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f ca="1">IFERROR(__xludf.DUMMYFUNCTION("""COMPUTED_VALUE"""),13)</f>
        <v>13</v>
      </c>
      <c r="BX313" s="1">
        <f ca="1">IFERROR(__xludf.DUMMYFUNCTION("""COMPUTED_VALUE"""),13)</f>
        <v>13</v>
      </c>
      <c r="BY313" s="1">
        <f ca="1">IFERROR(__xludf.DUMMYFUNCTION("""COMPUTED_VALUE"""),3)</f>
        <v>3</v>
      </c>
      <c r="BZ313" s="1">
        <f ca="1">IFERROR(__xludf.DUMMYFUNCTION("""COMPUTED_VALUE"""),0)</f>
        <v>0</v>
      </c>
      <c r="CA313" s="1"/>
      <c r="CB313" s="1"/>
      <c r="CC313" s="1" t="str">
        <f ca="1">IFERROR(__xludf.DUMMYFUNCTION("""COMPUTED_VALUE"""),"આધ્યાત્મિક કાયાકલ્પનું વિધિ-વિધાન ભાગ- ૧ : G_JS_25")</f>
        <v>આધ્યાત્મિક કાયાકલ્પનું વિધિ-વિધાન ભાગ- ૧ : G_JS_25</v>
      </c>
      <c r="CD313" s="3" t="str">
        <f ca="1">IFERROR(__xludf.DUMMYFUNCTION("""COMPUTED_VALUE"""),"https://vicharkrantibooks.org/productdetail?product_id=3750")</f>
        <v>https://vicharkrantibooks.org/productdetail?product_id=3750</v>
      </c>
      <c r="CE313" s="1" t="str">
        <f ca="1">IFERROR(__xludf.DUMMYFUNCTION("""COMPUTED_VALUE"""),"Audiobook : આધ્યાત્મિક કાયાકલ્પનું વિધિ-વિધાન ભાગ- ૧ : G_JS_25 : tushar.pandit7686@gmail.com : Recorded")</f>
        <v>Audiobook : આધ્યાત્મિક કાયાકલ્પનું વિધિ-વિધાન ભાગ- ૧ : G_JS_25 : tushar.pandit7686@gmail.com : Recorded</v>
      </c>
      <c r="CF313" s="1" t="str">
        <f ca="1">IFERROR(__xludf.DUMMYFUNCTION("""COMPUTED_VALUE"""),"Audiobook : આધ્યાત્મિક કાયાકલ્પનું વિધિ-વિધાન ભાગ- ૧ : G_JS_25 : tushar.pandit7686@gmail.com : Recorded")</f>
        <v>Audiobook : આધ્યાત્મિક કાયાકલ્પનું વિધિ-વિધાન ભાગ- ૧ : G_JS_25 : tushar.pandit7686@gmail.com : Recorded</v>
      </c>
      <c r="CG313" s="1" t="str">
        <f ca="1">IFERROR(__xludf.DUMMYFUNCTION("""COMPUTED_VALUE"""),"Adarniya Hetal ji આધ્યાત્મિક કાયાકલ્પનું વિધિ-વિધાન ભાગ- ૧ : G_JS_25 : Allocated on 17-Apr-24 Contact Number  7874048920")</f>
        <v>Adarniya Hetal ji આધ્યાત્મિક કાયાકલ્પનું વિધિ-વિધાન ભાગ- ૧ : G_JS_25 : Allocated on 17-Apr-24 Contact Number  7874048920</v>
      </c>
      <c r="CH313" s="1" t="str">
        <f ca="1">IFERROR(__xludf.DUMMYFUNCTION("""COMPUTED_VALUE"""),"tushar.pandit7686@gmail.com : આધ્યાત્મિક કાયાકલ્પનું વિધિ-વિધાન ભાગ- ૧ : G_JS_25")</f>
        <v>tushar.pandit7686@gmail.com : આધ્યાત્મિક કાયાકલ્પનું વિધિ-વિધાન ભાગ- ૧ : G_JS_25</v>
      </c>
      <c r="CI313" s="5">
        <f ca="1">IFERROR(__xludf.DUMMYFUNCTION("""COMPUTED_VALUE"""),45399.7928917939)</f>
        <v>45399.792891793899</v>
      </c>
    </row>
    <row r="314" spans="1:87" x14ac:dyDescent="0.25">
      <c r="A314" s="5">
        <f ca="1">IFERROR(__xludf.DUMMYFUNCTION("""COMPUTED_VALUE"""),45398.9575532407)</f>
        <v>45398.957553240703</v>
      </c>
      <c r="B314" s="1" t="str">
        <f ca="1">IFERROR(__xludf.DUMMYFUNCTION("""COMPUTED_VALUE"""),"shwetalirane26@gmail.com")</f>
        <v>shwetalirane26@gmail.com</v>
      </c>
      <c r="C314" s="1" t="str">
        <f ca="1">IFERROR(__xludf.DUMMYFUNCTION("""COMPUTED_VALUE"""),"Shwetali sanjay Rane")</f>
        <v>Shwetali sanjay Rane</v>
      </c>
      <c r="D314" s="1" t="str">
        <f ca="1">IFERROR(__xludf.DUMMYFUNCTION("""COMPUTED_VALUE"""),"09930999578")</f>
        <v>09930999578</v>
      </c>
      <c r="E314" s="1" t="str">
        <f ca="1">IFERROR(__xludf.DUMMYFUNCTION("""COMPUTED_VALUE"""),"No")</f>
        <v>No</v>
      </c>
      <c r="F314" s="1" t="str">
        <f ca="1">IFERROR(__xludf.DUMMYFUNCTION("""COMPUTED_VALUE"""),"मराठी")</f>
        <v>मराठी</v>
      </c>
      <c r="G314" s="1" t="str">
        <f ca="1">IFERROR(__xludf.DUMMYFUNCTION("""COMPUTED_VALUE"""),"marathi")</f>
        <v>marathi</v>
      </c>
      <c r="H314" s="1" t="str">
        <f ca="1">IFERROR(__xludf.DUMMYFUNCTION("""COMPUTED_VALUE"""),"साधना")</f>
        <v>साधना</v>
      </c>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f ca="1">IFERROR(__xludf.DUMMYFUNCTION("""COMPUTED_VALUE"""),2)</f>
        <v>2</v>
      </c>
      <c r="BX314" s="1">
        <f ca="1">IFERROR(__xludf.DUMMYFUNCTION("""COMPUTED_VALUE"""),3)</f>
        <v>3</v>
      </c>
      <c r="BY314" s="1">
        <f ca="1">IFERROR(__xludf.DUMMYFUNCTION("""COMPUTED_VALUE"""),1)</f>
        <v>1</v>
      </c>
      <c r="BZ314" s="1">
        <f ca="1">IFERROR(__xludf.DUMMYFUNCTION("""COMPUTED_VALUE"""),0)</f>
        <v>0</v>
      </c>
      <c r="CA314" s="1"/>
      <c r="CB314" s="1"/>
      <c r="CC314" s="1" t="str">
        <f ca="1">IFERROR(__xludf.DUMMYFUNCTION("""COMPUTED_VALUE"""),"संकटांन घाबरु नका खंबीरपणे सामना करा : MR_154")</f>
        <v>संकटांन घाबरु नका खंबीरपणे सामना करा : MR_154</v>
      </c>
      <c r="CD314" s="3" t="str">
        <f ca="1">IFERROR(__xludf.DUMMYFUNCTION("""COMPUTED_VALUE"""),"https://vicharkrantibooks.org/productdetail?book_name=MRTP0981_SANKATANNA_GHABARU_NAKA_KHAMBIRAPANE_SAMANA_KARA_XXYYYY&amp;product_id=4350")</f>
        <v>https://vicharkrantibooks.org/productdetail?book_name=MRTP0981_SANKATANNA_GHABARU_NAKA_KHAMBIRAPANE_SAMANA_KARA_XXYYYY&amp;product_id=4350</v>
      </c>
      <c r="CE314" s="1" t="str">
        <f ca="1">IFERROR(__xludf.DUMMYFUNCTION("""COMPUTED_VALUE"""),"Audiobook : संकटांन घाबरु नका खंबीरपणे सामना करा : MR_154 : shwetalirane26@gmail.com : Recorded")</f>
        <v>Audiobook : संकटांन घाबरु नका खंबीरपणे सामना करा : MR_154 : shwetalirane26@gmail.com : Recorded</v>
      </c>
      <c r="CF314" s="1" t="str">
        <f ca="1">IFERROR(__xludf.DUMMYFUNCTION("""COMPUTED_VALUE"""),"Audiobook : संकटांन घाबरु नका खंबीरपणे सामना करा : MR_154 : shwetalirane26@gmail.com : Recorded")</f>
        <v>Audiobook : संकटांन घाबरु नका खंबीरपणे सामना करा : MR_154 : shwetalirane26@gmail.com : Recorded</v>
      </c>
      <c r="CG314" s="1" t="str">
        <f ca="1">IFERROR(__xludf.DUMMYFUNCTION("""COMPUTED_VALUE"""),"Adarniya Shwetali sanjay Rane ji संकटांन घाबरु नका खंबीरपणे सामना करा : MR_154 : Allocated on 16-Apr-24 Contact Number  09930999578")</f>
        <v>Adarniya Shwetali sanjay Rane ji संकटांन घाबरु नका खंबीरपणे सामना करा : MR_154 : Allocated on 16-Apr-24 Contact Number  09930999578</v>
      </c>
      <c r="CH314" s="1" t="str">
        <f ca="1">IFERROR(__xludf.DUMMYFUNCTION("""COMPUTED_VALUE"""),"shwetalirane26@gmail.com : संकटांन घाबरु नका खंबीरपणे सामना करा : MR_154")</f>
        <v>shwetalirane26@gmail.com : संकटांन घाबरु नका खंबीरपणे सामना करा : MR_154</v>
      </c>
      <c r="CI314" s="5">
        <f ca="1">IFERROR(__xludf.DUMMYFUNCTION("""COMPUTED_VALUE"""),45398.9575532407)</f>
        <v>45398.957553240703</v>
      </c>
    </row>
    <row r="315" spans="1:87" x14ac:dyDescent="0.25">
      <c r="A315" s="5">
        <f ca="1">IFERROR(__xludf.DUMMYFUNCTION("""COMPUTED_VALUE"""),45398.8559313078)</f>
        <v>45398.8559313078</v>
      </c>
      <c r="B315" s="1" t="str">
        <f ca="1">IFERROR(__xludf.DUMMYFUNCTION("""COMPUTED_VALUE"""),"kalagpatel1959@gmail.com")</f>
        <v>kalagpatel1959@gmail.com</v>
      </c>
      <c r="C315" s="1" t="str">
        <f ca="1">IFERROR(__xludf.DUMMYFUNCTION("""COMPUTED_VALUE"""),"Kala Patel ")</f>
        <v xml:space="preserve">Kala Patel </v>
      </c>
      <c r="D315" s="1">
        <f ca="1">IFERROR(__xludf.DUMMYFUNCTION("""COMPUTED_VALUE"""),9016250929)</f>
        <v>9016250929</v>
      </c>
      <c r="E315" s="1" t="str">
        <f ca="1">IFERROR(__xludf.DUMMYFUNCTION("""COMPUTED_VALUE"""),"Yes")</f>
        <v>Yes</v>
      </c>
      <c r="F315" s="1" t="str">
        <f ca="1">IFERROR(__xludf.DUMMYFUNCTION("""COMPUTED_VALUE"""),"गुजराती")</f>
        <v>गुजराती</v>
      </c>
      <c r="G315" s="1" t="str">
        <f ca="1">IFERROR(__xludf.DUMMYFUNCTION("""COMPUTED_VALUE"""),"युग द्रष्टा पं. श्रीराम शर्मा आचार्यजी")</f>
        <v>युग द्रष्टा पं. श्रीराम शर्मा आचार्यजी</v>
      </c>
      <c r="H315" s="1"/>
      <c r="I315" s="1"/>
      <c r="J315" s="1"/>
      <c r="K315" s="1"/>
      <c r="L315" s="1"/>
      <c r="M315" s="1"/>
      <c r="N315" s="1"/>
      <c r="O315" s="1"/>
      <c r="P315" s="1" t="str">
        <f ca="1">IFERROR(__xludf.DUMMYFUNCTION("""COMPUTED_VALUE"""),"युगॠषी की अमृतवाणी")</f>
        <v>युगॠषी की अमृतवाणी</v>
      </c>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f ca="1">IFERROR(__xludf.DUMMYFUNCTION("""COMPUTED_VALUE"""),34)</f>
        <v>34</v>
      </c>
      <c r="BX315" s="1">
        <f ca="1">IFERROR(__xludf.DUMMYFUNCTION("""COMPUTED_VALUE"""),34)</f>
        <v>34</v>
      </c>
      <c r="BY315" s="1">
        <f ca="1">IFERROR(__xludf.DUMMYFUNCTION("""COMPUTED_VALUE"""),4)</f>
        <v>4</v>
      </c>
      <c r="BZ315" s="1">
        <f ca="1">IFERROR(__xludf.DUMMYFUNCTION("""COMPUTED_VALUE"""),11)</f>
        <v>11</v>
      </c>
      <c r="CA315" s="1"/>
      <c r="CB315" s="1"/>
      <c r="CC315" s="1" t="str">
        <f ca="1">IFERROR(__xludf.DUMMYFUNCTION("""COMPUTED_VALUE"""),"ભજ્‌ સેવાયામ્‌ જ ભક્તિ છે : G_JS_79")</f>
        <v>ભજ્‌ સેવાયામ્‌ જ ભક્તિ છે : G_JS_79</v>
      </c>
      <c r="CD315" s="3" t="str">
        <f ca="1">IFERROR(__xludf.DUMMYFUNCTION("""COMPUTED_VALUE"""),"https://vicharkrantibooks.org/productdetail?product_id=3804")</f>
        <v>https://vicharkrantibooks.org/productdetail?product_id=3804</v>
      </c>
      <c r="CE315" s="1" t="str">
        <f ca="1">IFERROR(__xludf.DUMMYFUNCTION("""COMPUTED_VALUE"""),"Audiobook : ભજ્‌ સેવાયામ્‌ જ ભક્તિ છે : G_JS_79 : kalagpatel1959@gmail.com : Recorded")</f>
        <v>Audiobook : ભજ્‌ સેવાયામ્‌ જ ભક્તિ છે : G_JS_79 : kalagpatel1959@gmail.com : Recorded</v>
      </c>
      <c r="CF315" s="1" t="str">
        <f ca="1">IFERROR(__xludf.DUMMYFUNCTION("""COMPUTED_VALUE"""),"Audiobook : ભજ્‌ સેવાયામ્‌ જ ભક્તિ છે : G_JS_79 : kalagpatel1959@gmail.com : Recorded")</f>
        <v>Audiobook : ભજ્‌ સેવાયામ્‌ જ ભક્તિ છે : G_JS_79 : kalagpatel1959@gmail.com : Recorded</v>
      </c>
      <c r="CG315" s="1" t="str">
        <f ca="1">IFERROR(__xludf.DUMMYFUNCTION("""COMPUTED_VALUE"""),"Adarniya Kala Patel  ji ભજ્‌ સેવાયામ્‌ જ ભક્તિ છે : G_JS_79 : Allocated on 16-Apr-24 Contact Number  9016250929")</f>
        <v>Adarniya Kala Patel  ji ભજ્‌ સેવાયામ્‌ જ ભક્તિ છે : G_JS_79 : Allocated on 16-Apr-24 Contact Number  9016250929</v>
      </c>
      <c r="CH315" s="1" t="str">
        <f ca="1">IFERROR(__xludf.DUMMYFUNCTION("""COMPUTED_VALUE"""),"kalagpatel1959@gmail.com : ભજ્‌ સેવાયામ્‌ જ ભક્તિ છે : G_JS_79")</f>
        <v>kalagpatel1959@gmail.com : ભજ્‌ સેવાયામ્‌ જ ભક્તિ છે : G_JS_79</v>
      </c>
      <c r="CI315" s="5">
        <f ca="1">IFERROR(__xludf.DUMMYFUNCTION("""COMPUTED_VALUE"""),45398.8559313078)</f>
        <v>45398.8559313078</v>
      </c>
    </row>
    <row r="316" spans="1:87" x14ac:dyDescent="0.25">
      <c r="A316" s="5">
        <f ca="1">IFERROR(__xludf.DUMMYFUNCTION("""COMPUTED_VALUE"""),45398.6454356597)</f>
        <v>45398.645435659702</v>
      </c>
      <c r="B316" s="1" t="str">
        <f ca="1">IFERROR(__xludf.DUMMYFUNCTION("""COMPUTED_VALUE"""),"dave.chhaya@gmail.com")</f>
        <v>dave.chhaya@gmail.com</v>
      </c>
      <c r="C316" s="1" t="str">
        <f ca="1">IFERROR(__xludf.DUMMYFUNCTION("""COMPUTED_VALUE"""),"Chhaya Deepak Dave ")</f>
        <v xml:space="preserve">Chhaya Deepak Dave </v>
      </c>
      <c r="D316" s="1">
        <f ca="1">IFERROR(__xludf.DUMMYFUNCTION("""COMPUTED_VALUE"""),9879596556)</f>
        <v>9879596556</v>
      </c>
      <c r="E316" s="1" t="str">
        <f ca="1">IFERROR(__xludf.DUMMYFUNCTION("""COMPUTED_VALUE"""),"Yes")</f>
        <v>Yes</v>
      </c>
      <c r="F316" s="1" t="str">
        <f ca="1">IFERROR(__xludf.DUMMYFUNCTION("""COMPUTED_VALUE"""),"गुजराती")</f>
        <v>गुजराती</v>
      </c>
      <c r="G316" s="1" t="str">
        <f ca="1">IFERROR(__xludf.DUMMYFUNCTION("""COMPUTED_VALUE"""),"युग द्रष्टा पं. श्रीराम शर्मा आचार्यजी")</f>
        <v>युग द्रष्टा पं. श्रीराम शर्मा आचार्यजी</v>
      </c>
      <c r="H316" s="1"/>
      <c r="I316" s="1"/>
      <c r="J316" s="1"/>
      <c r="K316" s="1"/>
      <c r="L316" s="1"/>
      <c r="M316" s="1"/>
      <c r="N316" s="1"/>
      <c r="O316" s="1"/>
      <c r="P316" s="1" t="str">
        <f ca="1">IFERROR(__xludf.DUMMYFUNCTION("""COMPUTED_VALUE"""),"युगॠषी की अमृतवाणी")</f>
        <v>युगॠषी की अमृतवाणी</v>
      </c>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f ca="1">IFERROR(__xludf.DUMMYFUNCTION("""COMPUTED_VALUE"""),46)</f>
        <v>46</v>
      </c>
      <c r="BX316" s="1">
        <f ca="1">IFERROR(__xludf.DUMMYFUNCTION("""COMPUTED_VALUE"""),39)</f>
        <v>39</v>
      </c>
      <c r="BY316" s="1">
        <f ca="1">IFERROR(__xludf.DUMMYFUNCTION("""COMPUTED_VALUE"""),6)</f>
        <v>6</v>
      </c>
      <c r="BZ316" s="1">
        <f ca="1">IFERROR(__xludf.DUMMYFUNCTION("""COMPUTED_VALUE"""),16)</f>
        <v>16</v>
      </c>
      <c r="CA316" s="1"/>
      <c r="CB316" s="1"/>
      <c r="CC316" s="1" t="str">
        <f ca="1">IFERROR(__xludf.DUMMYFUNCTION("""COMPUTED_VALUE"""),"પ્રતિભાઓનો ઉપયોગ નવનિર્માણમાં : G_PP_16")</f>
        <v>પ્રતિભાઓનો ઉપયોગ નવનિર્માણમાં : G_PP_16</v>
      </c>
      <c r="CD316" s="3" t="str">
        <f ca="1">IFERROR(__xludf.DUMMYFUNCTION("""COMPUTED_VALUE"""),"https://vicharkrantibooks.org/productdetail?product_id=3921")</f>
        <v>https://vicharkrantibooks.org/productdetail?product_id=3921</v>
      </c>
      <c r="CE316" s="1" t="str">
        <f ca="1">IFERROR(__xludf.DUMMYFUNCTION("""COMPUTED_VALUE"""),"Audiobook : પ્રતિભાઓનો ઉપયોગ નવનિર્માણમાં : G_PP_16 : dave.chhaya@gmail.com : Recorded")</f>
        <v>Audiobook : પ્રતિભાઓનો ઉપયોગ નવનિર્માણમાં : G_PP_16 : dave.chhaya@gmail.com : Recorded</v>
      </c>
      <c r="CF316" s="1" t="str">
        <f ca="1">IFERROR(__xludf.DUMMYFUNCTION("""COMPUTED_VALUE"""),"Audiobook : પ્રતિભાઓનો ઉપયોગ નવનિર્માણમાં : G_PP_16 : dave.chhaya@gmail.com : Recorded")</f>
        <v>Audiobook : પ્રતિભાઓનો ઉપયોગ નવનિર્માણમાં : G_PP_16 : dave.chhaya@gmail.com : Recorded</v>
      </c>
      <c r="CG316" s="1" t="str">
        <f ca="1">IFERROR(__xludf.DUMMYFUNCTION("""COMPUTED_VALUE"""),"Adarniya Chhaya Deepak Dave  ji પ્રતિભાઓનો ઉપયોગ નવનિર્માણમાં : G_PP_16 : Allocated on 16-Apr-24 Contact Number  9879596556")</f>
        <v>Adarniya Chhaya Deepak Dave  ji પ્રતિભાઓનો ઉપયોગ નવનિર્માણમાં : G_PP_16 : Allocated on 16-Apr-24 Contact Number  9879596556</v>
      </c>
      <c r="CH316" s="1" t="str">
        <f ca="1">IFERROR(__xludf.DUMMYFUNCTION("""COMPUTED_VALUE"""),"dave.chhaya@gmail.com : પ્રતિભાઓનો ઉપયોગ નવનિર્માણમાં : G_PP_16")</f>
        <v>dave.chhaya@gmail.com : પ્રતિભાઓનો ઉપયોગ નવનિર્માણમાં : G_PP_16</v>
      </c>
      <c r="CI316" s="5">
        <f ca="1">IFERROR(__xludf.DUMMYFUNCTION("""COMPUTED_VALUE"""),45398.6454356597)</f>
        <v>45398.645435659702</v>
      </c>
    </row>
    <row r="317" spans="1:87" x14ac:dyDescent="0.25">
      <c r="A317" s="5">
        <f ca="1">IFERROR(__xludf.DUMMYFUNCTION("""COMPUTED_VALUE"""),45397.9393399189)</f>
        <v>45397.939339918899</v>
      </c>
      <c r="B317" s="1" t="str">
        <f ca="1">IFERROR(__xludf.DUMMYFUNCTION("""COMPUTED_VALUE"""),"hinap775@gmail.com")</f>
        <v>hinap775@gmail.com</v>
      </c>
      <c r="C317" s="1" t="str">
        <f ca="1">IFERROR(__xludf.DUMMYFUNCTION("""COMPUTED_VALUE"""),"Hina Patel ")</f>
        <v xml:space="preserve">Hina Patel </v>
      </c>
      <c r="D317" s="1">
        <f ca="1">IFERROR(__xludf.DUMMYFUNCTION("""COMPUTED_VALUE"""),9921772176)</f>
        <v>9921772176</v>
      </c>
      <c r="E317" s="1" t="str">
        <f ca="1">IFERROR(__xludf.DUMMYFUNCTION("""COMPUTED_VALUE"""),"Yes")</f>
        <v>Yes</v>
      </c>
      <c r="F317" s="1" t="str">
        <f ca="1">IFERROR(__xludf.DUMMYFUNCTION("""COMPUTED_VALUE"""),"गुजराती")</f>
        <v>गुजराती</v>
      </c>
      <c r="G317" s="1" t="str">
        <f ca="1">IFERROR(__xludf.DUMMYFUNCTION("""COMPUTED_VALUE"""),"समग्र स्वास्थ्य")</f>
        <v>समग्र स्वास्थ्य</v>
      </c>
      <c r="H317" s="1"/>
      <c r="I317" s="1"/>
      <c r="J317" s="1"/>
      <c r="K317" s="1"/>
      <c r="L317" s="1"/>
      <c r="M317" s="1"/>
      <c r="N317" s="1"/>
      <c r="O317" s="1"/>
      <c r="P317" s="1"/>
      <c r="Q317" s="1"/>
      <c r="R317" s="1"/>
      <c r="S317" s="1"/>
      <c r="T317" s="1"/>
      <c r="U317" s="1" t="str">
        <f ca="1">IFERROR(__xludf.DUMMYFUNCTION("""COMPUTED_VALUE"""),"मानसिक स्वास्थ्य")</f>
        <v>मानसिक स्वास्थ्य</v>
      </c>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f ca="1">IFERROR(__xludf.DUMMYFUNCTION("""COMPUTED_VALUE"""),6)</f>
        <v>6</v>
      </c>
      <c r="BX317" s="1">
        <f ca="1">IFERROR(__xludf.DUMMYFUNCTION("""COMPUTED_VALUE"""),6)</f>
        <v>6</v>
      </c>
      <c r="BY317" s="1">
        <f ca="1">IFERROR(__xludf.DUMMYFUNCTION("""COMPUTED_VALUE"""),2)</f>
        <v>2</v>
      </c>
      <c r="BZ317" s="1">
        <f ca="1">IFERROR(__xludf.DUMMYFUNCTION("""COMPUTED_VALUE"""),0)</f>
        <v>0</v>
      </c>
      <c r="CA317" s="1"/>
      <c r="CB317" s="1"/>
      <c r="CC317" s="1" t="str">
        <f ca="1">IFERROR(__xludf.DUMMYFUNCTION("""COMPUTED_VALUE"""),"જીવનદેવતાની અનિવાર્ય સાધના : G_JS_95")</f>
        <v>જીવનદેવતાની અનિવાર્ય સાધના : G_JS_95</v>
      </c>
      <c r="CD317" s="3" t="str">
        <f ca="1">IFERROR(__xludf.DUMMYFUNCTION("""COMPUTED_VALUE"""),"https://vicharkrantibooks.org/productdetail?product_id=3820")</f>
        <v>https://vicharkrantibooks.org/productdetail?product_id=3820</v>
      </c>
      <c r="CE317" s="1" t="str">
        <f ca="1">IFERROR(__xludf.DUMMYFUNCTION("""COMPUTED_VALUE"""),"Audiobook : જીવનદેવતાની અનિવાર્ય સાધના : G_JS_95 : hinap775@gmail.com : Recorded")</f>
        <v>Audiobook : જીવનદેવતાની અનિવાર્ય સાધના : G_JS_95 : hinap775@gmail.com : Recorded</v>
      </c>
      <c r="CF317" s="1" t="str">
        <f ca="1">IFERROR(__xludf.DUMMYFUNCTION("""COMPUTED_VALUE"""),"Audiobook : જીવનદેવતાની અનિવાર્ય સાધના : G_JS_95 : hinap775@gmail.com : Recorded")</f>
        <v>Audiobook : જીવનદેવતાની અનિવાર્ય સાધના : G_JS_95 : hinap775@gmail.com : Recorded</v>
      </c>
      <c r="CG317" s="1" t="str">
        <f ca="1">IFERROR(__xludf.DUMMYFUNCTION("""COMPUTED_VALUE"""),"Adarniya Hina Patel  ji જીવનદેવતાની અનિવાર્ય સાધના : G_JS_95 : Allocated on 15-Apr-24 Contact Number  9921772176")</f>
        <v>Adarniya Hina Patel  ji જીવનદેવતાની અનિવાર્ય સાધના : G_JS_95 : Allocated on 15-Apr-24 Contact Number  9921772176</v>
      </c>
      <c r="CH317" s="1" t="str">
        <f ca="1">IFERROR(__xludf.DUMMYFUNCTION("""COMPUTED_VALUE"""),"hinap775@gmail.com : જીવનદેવતાની અનિવાર્ય સાધના : G_JS_95")</f>
        <v>hinap775@gmail.com : જીવનદેવતાની અનિવાર્ય સાધના : G_JS_95</v>
      </c>
      <c r="CI317" s="5">
        <f ca="1">IFERROR(__xludf.DUMMYFUNCTION("""COMPUTED_VALUE"""),45397.9393399189)</f>
        <v>45397.939339918899</v>
      </c>
    </row>
    <row r="318" spans="1:87" x14ac:dyDescent="0.25">
      <c r="A318" s="5">
        <f ca="1">IFERROR(__xludf.DUMMYFUNCTION("""COMPUTED_VALUE"""),45397.7393535763)</f>
        <v>45397.739353576297</v>
      </c>
      <c r="B318" s="1" t="str">
        <f ca="1">IFERROR(__xludf.DUMMYFUNCTION("""COMPUTED_VALUE"""),"30rakhi@gmail.com")</f>
        <v>30rakhi@gmail.com</v>
      </c>
      <c r="C318" s="1" t="str">
        <f ca="1">IFERROR(__xludf.DUMMYFUNCTION("""COMPUTED_VALUE"""),"Rakhi Ahuja")</f>
        <v>Rakhi Ahuja</v>
      </c>
      <c r="D318" s="1">
        <f ca="1">IFERROR(__xludf.DUMMYFUNCTION("""COMPUTED_VALUE"""),9760726888)</f>
        <v>9760726888</v>
      </c>
      <c r="E318" s="1" t="str">
        <f ca="1">IFERROR(__xludf.DUMMYFUNCTION("""COMPUTED_VALUE"""),"Yes")</f>
        <v>Yes</v>
      </c>
      <c r="F318" s="1" t="str">
        <f ca="1">IFERROR(__xludf.DUMMYFUNCTION("""COMPUTED_VALUE"""),"हिन्दी")</f>
        <v>हिन्दी</v>
      </c>
      <c r="G318" s="1" t="str">
        <f ca="1">IFERROR(__xludf.DUMMYFUNCTION("""COMPUTED_VALUE"""),"युग परिवर्तन-विचार क्रांति")</f>
        <v>युग परिवर्तन-विचार क्रांति</v>
      </c>
      <c r="H318" s="1"/>
      <c r="I318" s="1"/>
      <c r="J318" s="1"/>
      <c r="K318" s="1"/>
      <c r="L318" s="1"/>
      <c r="M318" s="1"/>
      <c r="N318" s="1"/>
      <c r="O318" s="1"/>
      <c r="P318" s="1"/>
      <c r="Q318" s="1" t="str">
        <f ca="1">IFERROR(__xludf.DUMMYFUNCTION("""COMPUTED_VALUE"""),"विचार क्रांति")</f>
        <v>विचार क्रांति</v>
      </c>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f ca="1">IFERROR(__xludf.DUMMYFUNCTION("""COMPUTED_VALUE"""),4)</f>
        <v>4</v>
      </c>
      <c r="BX318" s="1">
        <f ca="1">IFERROR(__xludf.DUMMYFUNCTION("""COMPUTED_VALUE"""),2)</f>
        <v>2</v>
      </c>
      <c r="BY318" s="1">
        <f ca="1">IFERROR(__xludf.DUMMYFUNCTION("""COMPUTED_VALUE"""),2)</f>
        <v>2</v>
      </c>
      <c r="BZ318" s="1">
        <f ca="1">IFERROR(__xludf.DUMMYFUNCTION("""COMPUTED_VALUE"""),1)</f>
        <v>1</v>
      </c>
      <c r="CA318" s="1"/>
      <c r="CB318" s="1"/>
      <c r="CC318" s="1" t="str">
        <f ca="1">IFERROR(__xludf.DUMMYFUNCTION("""COMPUTED_VALUE"""),"उज्ज्वल भविष्य की रचना में संलग्न महाकाल : Rare Book")</f>
        <v>उज्ज्वल भविष्य की रचना में संलग्न महाकाल : Rare Book</v>
      </c>
      <c r="CD318" s="3" t="str">
        <f ca="1">IFERROR(__xludf.DUMMYFUNCTION("""COMPUTED_VALUE"""),"https://vicharkrantibooks.org/productdetail?book_name=HINF0298_UJJAVAL_BHAVISHY_KI_RACHANA_MEIN_SANLAGN_MAHAKAL_xxyyyy&amp;product_id=518")</f>
        <v>https://vicharkrantibooks.org/productdetail?book_name=HINF0298_UJJAVAL_BHAVISHY_KI_RACHANA_MEIN_SANLAGN_MAHAKAL_xxyyyy&amp;product_id=518</v>
      </c>
      <c r="CE318" s="1" t="str">
        <f ca="1">IFERROR(__xludf.DUMMYFUNCTION("""COMPUTED_VALUE"""),"Audiobook : उज्ज्वल भविष्य की रचना में संलग्न महाकाल : Rare Book : 30rakhi@gmail.com : Recorded")</f>
        <v>Audiobook : उज्ज्वल भविष्य की रचना में संलग्न महाकाल : Rare Book : 30rakhi@gmail.com : Recorded</v>
      </c>
      <c r="CF318" s="1" t="str">
        <f ca="1">IFERROR(__xludf.DUMMYFUNCTION("""COMPUTED_VALUE"""),"Audiobook : उज्ज्वल भविष्य की रचना में संलग्न महाकाल : Rare Book : 30rakhi@gmail.com : Recorded")</f>
        <v>Audiobook : उज्ज्वल भविष्य की रचना में संलग्न महाकाल : Rare Book : 30rakhi@gmail.com : Recorded</v>
      </c>
      <c r="CG318" s="1" t="str">
        <f ca="1">IFERROR(__xludf.DUMMYFUNCTION("""COMPUTED_VALUE"""),"Adarniya Rakhi Ahuja ji उज्ज्वल भविष्य की रचना में संलग्न महाकाल : Rare Book : Allocated on 15-Apr-24 Contact Number  9760726888")</f>
        <v>Adarniya Rakhi Ahuja ji उज्ज्वल भविष्य की रचना में संलग्न महाकाल : Rare Book : Allocated on 15-Apr-24 Contact Number  9760726888</v>
      </c>
      <c r="CH318" s="1" t="str">
        <f ca="1">IFERROR(__xludf.DUMMYFUNCTION("""COMPUTED_VALUE"""),"30rakhi@gmail.com : उज्ज्वल भविष्य की रचना में संलग्न महाकाल : Rare Book")</f>
        <v>30rakhi@gmail.com : उज्ज्वल भविष्य की रचना में संलग्न महाकाल : Rare Book</v>
      </c>
      <c r="CI318" s="5">
        <f ca="1">IFERROR(__xludf.DUMMYFUNCTION("""COMPUTED_VALUE"""),45397.7393535763)</f>
        <v>45397.739353576297</v>
      </c>
    </row>
    <row r="319" spans="1:87" x14ac:dyDescent="0.25">
      <c r="A319" s="5">
        <f ca="1">IFERROR(__xludf.DUMMYFUNCTION("""COMPUTED_VALUE"""),45397.7261735879)</f>
        <v>45397.7261735879</v>
      </c>
      <c r="B319" s="1" t="str">
        <f ca="1">IFERROR(__xludf.DUMMYFUNCTION("""COMPUTED_VALUE"""),"vandanarastogi@gmail.com")</f>
        <v>vandanarastogi@gmail.com</v>
      </c>
      <c r="C319" s="1" t="str">
        <f ca="1">IFERROR(__xludf.DUMMYFUNCTION("""COMPUTED_VALUE"""),"Vandana rastogi")</f>
        <v>Vandana rastogi</v>
      </c>
      <c r="D319" s="1">
        <f ca="1">IFERROR(__xludf.DUMMYFUNCTION("""COMPUTED_VALUE"""),9359528684)</f>
        <v>9359528684</v>
      </c>
      <c r="E319" s="1" t="str">
        <f ca="1">IFERROR(__xludf.DUMMYFUNCTION("""COMPUTED_VALUE"""),"Yes")</f>
        <v>Yes</v>
      </c>
      <c r="F319" s="1" t="str">
        <f ca="1">IFERROR(__xludf.DUMMYFUNCTION("""COMPUTED_VALUE"""),"हिन्दी")</f>
        <v>हिन्दी</v>
      </c>
      <c r="G319" s="1" t="str">
        <f ca="1">IFERROR(__xludf.DUMMYFUNCTION("""COMPUTED_VALUE"""),"राष्ट्र निर्माण")</f>
        <v>राष्ट्र निर्माण</v>
      </c>
      <c r="H319" s="1"/>
      <c r="I319" s="1"/>
      <c r="J319" s="1"/>
      <c r="K319" s="1"/>
      <c r="L319" s="1"/>
      <c r="M319" s="1"/>
      <c r="N319" s="1"/>
      <c r="O319" s="1"/>
      <c r="P319" s="1"/>
      <c r="Q319" s="1"/>
      <c r="R319" s="1" t="str">
        <f ca="1">IFERROR(__xludf.DUMMYFUNCTION("""COMPUTED_VALUE"""),"सार्थक एवं समग्र शिक्षा")</f>
        <v>सार्थक एवं समग्र शिक्षा</v>
      </c>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f ca="1">IFERROR(__xludf.DUMMYFUNCTION("""COMPUTED_VALUE"""),3)</f>
        <v>3</v>
      </c>
      <c r="BX319" s="1">
        <f ca="1">IFERROR(__xludf.DUMMYFUNCTION("""COMPUTED_VALUE"""),0)</f>
        <v>0</v>
      </c>
      <c r="BY319" s="1">
        <f ca="1">IFERROR(__xludf.DUMMYFUNCTION("""COMPUTED_VALUE"""),3)</f>
        <v>3</v>
      </c>
      <c r="BZ319" s="1">
        <f ca="1">IFERROR(__xludf.DUMMYFUNCTION("""COMPUTED_VALUE"""),0)</f>
        <v>0</v>
      </c>
      <c r="CA319" s="1"/>
      <c r="CB319" s="1"/>
      <c r="CC319" s="1" t="str">
        <f ca="1">IFERROR(__xludf.DUMMYFUNCTION("""COMPUTED_VALUE"""),"खाने तक में नासमझी की भरमार : Rare Book")</f>
        <v>खाने तक में नासमझी की भरमार : Rare Book</v>
      </c>
      <c r="CD319" s="3" t="str">
        <f ca="1">IFERROR(__xludf.DUMMYFUNCTION("""COMPUTED_VALUE"""),"https://vicharkrantibooks.org/productdetail?product_id=370")</f>
        <v>https://vicharkrantibooks.org/productdetail?product_id=370</v>
      </c>
      <c r="CE319" s="1" t="str">
        <f ca="1">IFERROR(__xludf.DUMMYFUNCTION("""COMPUTED_VALUE"""),"Audiobook : खाने तक में नासमझी की भरमार : Rare Book : vandanarastogi@gmail.com : Recorded")</f>
        <v>Audiobook : खाने तक में नासमझी की भरमार : Rare Book : vandanarastogi@gmail.com : Recorded</v>
      </c>
      <c r="CF319" s="1" t="str">
        <f ca="1">IFERROR(__xludf.DUMMYFUNCTION("""COMPUTED_VALUE"""),"#N/A")</f>
        <v>#N/A</v>
      </c>
      <c r="CG319" s="1" t="str">
        <f ca="1">IFERROR(__xludf.DUMMYFUNCTION("""COMPUTED_VALUE"""),"Adarniya Vandana rastogi ji खाने तक में नासमझी की भरमार : Rare Book : Allocated on 15-Apr-24 Contact Number  9359528684")</f>
        <v>Adarniya Vandana rastogi ji खाने तक में नासमझी की भरमार : Rare Book : Allocated on 15-Apr-24 Contact Number  9359528684</v>
      </c>
      <c r="CH319" s="1" t="str">
        <f ca="1">IFERROR(__xludf.DUMMYFUNCTION("""COMPUTED_VALUE"""),"vandanarastogi@gmail.com : खाने तक में नासमझी की भरमार : Rare Book")</f>
        <v>vandanarastogi@gmail.com : खाने तक में नासमझी की भरमार : Rare Book</v>
      </c>
      <c r="CI319" s="5">
        <f ca="1">IFERROR(__xludf.DUMMYFUNCTION("""COMPUTED_VALUE"""),45397.7261735879)</f>
        <v>45397.7261735879</v>
      </c>
    </row>
    <row r="320" spans="1:87" x14ac:dyDescent="0.25">
      <c r="A320" s="5">
        <f ca="1">IFERROR(__xludf.DUMMYFUNCTION("""COMPUTED_VALUE"""),45397.3212796875)</f>
        <v>45397.321279687501</v>
      </c>
      <c r="B320" s="1" t="str">
        <f ca="1">IFERROR(__xludf.DUMMYFUNCTION("""COMPUTED_VALUE"""),"kalagpatel1959@gmail.com")</f>
        <v>kalagpatel1959@gmail.com</v>
      </c>
      <c r="C320" s="1" t="str">
        <f ca="1">IFERROR(__xludf.DUMMYFUNCTION("""COMPUTED_VALUE"""),"Kala Patel ")</f>
        <v xml:space="preserve">Kala Patel </v>
      </c>
      <c r="D320" s="1">
        <f ca="1">IFERROR(__xludf.DUMMYFUNCTION("""COMPUTED_VALUE"""),9016250929)</f>
        <v>9016250929</v>
      </c>
      <c r="E320" s="1" t="str">
        <f ca="1">IFERROR(__xludf.DUMMYFUNCTION("""COMPUTED_VALUE"""),"Yes")</f>
        <v>Yes</v>
      </c>
      <c r="F320" s="1" t="str">
        <f ca="1">IFERROR(__xludf.DUMMYFUNCTION("""COMPUTED_VALUE"""),"गुजराती")</f>
        <v>गुजराती</v>
      </c>
      <c r="G320" s="1" t="str">
        <f ca="1">IFERROR(__xludf.DUMMYFUNCTION("""COMPUTED_VALUE"""),"राष्ट्र निर्माण")</f>
        <v>राष्ट्र निर्माण</v>
      </c>
      <c r="H320" s="1"/>
      <c r="I320" s="1"/>
      <c r="J320" s="1"/>
      <c r="K320" s="1"/>
      <c r="L320" s="1"/>
      <c r="M320" s="1"/>
      <c r="N320" s="1"/>
      <c r="O320" s="1"/>
      <c r="P320" s="1"/>
      <c r="Q320" s="1"/>
      <c r="R320" s="1" t="str">
        <f ca="1">IFERROR(__xludf.DUMMYFUNCTION("""COMPUTED_VALUE"""),"राष्ट्र निर्माण")</f>
        <v>राष्ट्र निर्माण</v>
      </c>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f ca="1">IFERROR(__xludf.DUMMYFUNCTION("""COMPUTED_VALUE"""),34)</f>
        <v>34</v>
      </c>
      <c r="BX320" s="1">
        <f ca="1">IFERROR(__xludf.DUMMYFUNCTION("""COMPUTED_VALUE"""),34)</f>
        <v>34</v>
      </c>
      <c r="BY320" s="1">
        <f ca="1">IFERROR(__xludf.DUMMYFUNCTION("""COMPUTED_VALUE"""),4)</f>
        <v>4</v>
      </c>
      <c r="BZ320" s="1">
        <f ca="1">IFERROR(__xludf.DUMMYFUNCTION("""COMPUTED_VALUE"""),11)</f>
        <v>11</v>
      </c>
      <c r="CA320" s="1"/>
      <c r="CB320" s="1"/>
      <c r="CC320" s="1" t="str">
        <f ca="1">IFERROR(__xludf.DUMMYFUNCTION("""COMPUTED_VALUE"""),"બ્રાહ્મણત્વ જાગશે તો રાષ્ટ્ર જાગશે : G_PP_01")</f>
        <v>બ્રાહ્મણત્વ જાગશે તો રાષ્ટ્ર જાગશે : G_PP_01</v>
      </c>
      <c r="CD320" s="3" t="str">
        <f ca="1">IFERROR(__xludf.DUMMYFUNCTION("""COMPUTED_VALUE"""),"https://vicharkrantibooks.org/productdetail?product_id=3906")</f>
        <v>https://vicharkrantibooks.org/productdetail?product_id=3906</v>
      </c>
      <c r="CE320" s="1" t="str">
        <f ca="1">IFERROR(__xludf.DUMMYFUNCTION("""COMPUTED_VALUE"""),"Audiobook : બ્રાહ્મણત્વ જાગશે તો રાષ્ટ્ર જાગશે : G_PP_01 : kalagpatel1959@gmail.com : Recorded")</f>
        <v>Audiobook : બ્રાહ્મણત્વ જાગશે તો રાષ્ટ્ર જાગશે : G_PP_01 : kalagpatel1959@gmail.com : Recorded</v>
      </c>
      <c r="CF320" s="1" t="str">
        <f ca="1">IFERROR(__xludf.DUMMYFUNCTION("""COMPUTED_VALUE"""),"Audiobook : બ્રાહ્મણત્વ જાગશે તો રાષ્ટ્ર જાગશે : G_PP_01 : kalagpatel1959@gmail.com : Recorded")</f>
        <v>Audiobook : બ્રાહ્મણત્વ જાગશે તો રાષ્ટ્ર જાગશે : G_PP_01 : kalagpatel1959@gmail.com : Recorded</v>
      </c>
      <c r="CG320" s="1" t="str">
        <f ca="1">IFERROR(__xludf.DUMMYFUNCTION("""COMPUTED_VALUE"""),"Adarniya Kala Patel  ji બ્રાહ્મણત્વ જાગશે તો રાષ્ટ્ર જાગશે : G_PP_01 : Allocated on 15-Apr-24 Contact Number  9016250929")</f>
        <v>Adarniya Kala Patel  ji બ્રાહ્મણત્વ જાગશે તો રાષ્ટ્ર જાગશે : G_PP_01 : Allocated on 15-Apr-24 Contact Number  9016250929</v>
      </c>
      <c r="CH320" s="1" t="str">
        <f ca="1">IFERROR(__xludf.DUMMYFUNCTION("""COMPUTED_VALUE"""),"kalagpatel1959@gmail.com : બ્રાહ્મણત્વ જાગશે તો રાષ્ટ્ર જાગશે : G_PP_01")</f>
        <v>kalagpatel1959@gmail.com : બ્રાહ્મણત્વ જાગશે તો રાષ્ટ્ર જાગશે : G_PP_01</v>
      </c>
      <c r="CI320" s="5">
        <f ca="1">IFERROR(__xludf.DUMMYFUNCTION("""COMPUTED_VALUE"""),45397.3212796875)</f>
        <v>45397.321279687501</v>
      </c>
    </row>
    <row r="321" spans="1:87" x14ac:dyDescent="0.25">
      <c r="A321" s="5">
        <f ca="1">IFERROR(__xludf.DUMMYFUNCTION("""COMPUTED_VALUE"""),45397.3200276851)</f>
        <v>45397.320027685098</v>
      </c>
      <c r="B321" s="1" t="str">
        <f ca="1">IFERROR(__xludf.DUMMYFUNCTION("""COMPUTED_VALUE"""),"kusumlatarai24@gmail.com")</f>
        <v>kusumlatarai24@gmail.com</v>
      </c>
      <c r="C321" s="1" t="str">
        <f ca="1">IFERROR(__xludf.DUMMYFUNCTION("""COMPUTED_VALUE"""),"Kusum Lata Rai ")</f>
        <v xml:space="preserve">Kusum Lata Rai </v>
      </c>
      <c r="D321" s="1">
        <f ca="1">IFERROR(__xludf.DUMMYFUNCTION("""COMPUTED_VALUE"""),9336508442)</f>
        <v>9336508442</v>
      </c>
      <c r="E321" s="1" t="str">
        <f ca="1">IFERROR(__xludf.DUMMYFUNCTION("""COMPUTED_VALUE"""),"Yes")</f>
        <v>Yes</v>
      </c>
      <c r="F321" s="1" t="str">
        <f ca="1">IFERROR(__xludf.DUMMYFUNCTION("""COMPUTED_VALUE"""),"हिन्दी")</f>
        <v>हिन्दी</v>
      </c>
      <c r="G321" s="1" t="str">
        <f ca="1">IFERROR(__xludf.DUMMYFUNCTION("""COMPUTED_VALUE"""),"समाज निर्माण")</f>
        <v>समाज निर्माण</v>
      </c>
      <c r="H321" s="1"/>
      <c r="I321" s="1"/>
      <c r="J321" s="1"/>
      <c r="K321" s="1"/>
      <c r="L321" s="1"/>
      <c r="M321" s="1"/>
      <c r="N321" s="1"/>
      <c r="O321" s="1"/>
      <c r="P321" s="1"/>
      <c r="Q321" s="1"/>
      <c r="R321" s="1"/>
      <c r="S321" s="1"/>
      <c r="T321" s="1"/>
      <c r="U321" s="1"/>
      <c r="V321" s="1" t="str">
        <f ca="1">IFERROR(__xludf.DUMMYFUNCTION("""COMPUTED_VALUE"""),"नारी सशक्तिकरण")</f>
        <v>नारी सशक्तिकरण</v>
      </c>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f ca="1">IFERROR(__xludf.DUMMYFUNCTION("""COMPUTED_VALUE"""),5)</f>
        <v>5</v>
      </c>
      <c r="BX321" s="1">
        <f ca="1">IFERROR(__xludf.DUMMYFUNCTION("""COMPUTED_VALUE"""),1)</f>
        <v>1</v>
      </c>
      <c r="BY321" s="1">
        <f ca="1">IFERROR(__xludf.DUMMYFUNCTION("""COMPUTED_VALUE"""),4)</f>
        <v>4</v>
      </c>
      <c r="BZ321" s="1">
        <f ca="1">IFERROR(__xludf.DUMMYFUNCTION("""COMPUTED_VALUE"""),1)</f>
        <v>1</v>
      </c>
      <c r="CA321" s="1"/>
      <c r="CB321" s="1"/>
      <c r="CC321" s="1" t="str">
        <f ca="1">IFERROR(__xludf.DUMMYFUNCTION("""COMPUTED_VALUE"""),"असुरता का मान-मर्दन संघ शक्ति के बल पर : Rare Book")</f>
        <v>असुरता का मान-मर्दन संघ शक्ति के बल पर : Rare Book</v>
      </c>
      <c r="CD321" s="3" t="str">
        <f ca="1">IFERROR(__xludf.DUMMYFUNCTION("""COMPUTED_VALUE"""),"https://vicharkrantibooks.org/productdetail?book_name=HINF0042_ASURATA_KA_MAN-MARDANSANGH_SHAKTI_KE_BAL_PAR_xxyyyy&amp;product_id=262")</f>
        <v>https://vicharkrantibooks.org/productdetail?book_name=HINF0042_ASURATA_KA_MAN-MARDANSANGH_SHAKTI_KE_BAL_PAR_xxyyyy&amp;product_id=262</v>
      </c>
      <c r="CE321" s="1" t="str">
        <f ca="1">IFERROR(__xludf.DUMMYFUNCTION("""COMPUTED_VALUE"""),"Audiobook : असुरता का मान-मर्दन संघ शक्ति के बल पर : Rare Book : kusumlatarai24@gmail.com : Recorded")</f>
        <v>Audiobook : असुरता का मान-मर्दन संघ शक्ति के बल पर : Rare Book : kusumlatarai24@gmail.com : Recorded</v>
      </c>
      <c r="CF321" s="1" t="str">
        <f ca="1">IFERROR(__xludf.DUMMYFUNCTION("""COMPUTED_VALUE"""),"#N/A")</f>
        <v>#N/A</v>
      </c>
      <c r="CG321" s="1" t="str">
        <f ca="1">IFERROR(__xludf.DUMMYFUNCTION("""COMPUTED_VALUE"""),"Adarniya Kusum Lata Rai  ji असुरता का मान-मर्दन संघ शक्ति के बल पर : Rare Book : Allocated on 15-Apr-24 Contact Number  9336508442")</f>
        <v>Adarniya Kusum Lata Rai  ji असुरता का मान-मर्दन संघ शक्ति के बल पर : Rare Book : Allocated on 15-Apr-24 Contact Number  9336508442</v>
      </c>
      <c r="CH321" s="1" t="str">
        <f ca="1">IFERROR(__xludf.DUMMYFUNCTION("""COMPUTED_VALUE"""),"kusumlatarai24@gmail.com : असुरता का मान-मर्दन संघ शक्ति के बल पर : Rare Book")</f>
        <v>kusumlatarai24@gmail.com : असुरता का मान-मर्दन संघ शक्ति के बल पर : Rare Book</v>
      </c>
      <c r="CI321" s="5">
        <f ca="1">IFERROR(__xludf.DUMMYFUNCTION("""COMPUTED_VALUE"""),45397.3200276851)</f>
        <v>45397.320027685098</v>
      </c>
    </row>
    <row r="322" spans="1:87" x14ac:dyDescent="0.25">
      <c r="A322" s="5">
        <f ca="1">IFERROR(__xludf.DUMMYFUNCTION("""COMPUTED_VALUE"""),45397.0693755787)</f>
        <v>45397.0693755787</v>
      </c>
      <c r="B322" s="1" t="str">
        <f ca="1">IFERROR(__xludf.DUMMYFUNCTION("""COMPUTED_VALUE"""),"richasharma310575@gmail.com")</f>
        <v>richasharma310575@gmail.com</v>
      </c>
      <c r="C322" s="1" t="str">
        <f ca="1">IFERROR(__xludf.DUMMYFUNCTION("""COMPUTED_VALUE"""),"Richa Sharma")</f>
        <v>Richa Sharma</v>
      </c>
      <c r="D322" s="1">
        <f ca="1">IFERROR(__xludf.DUMMYFUNCTION("""COMPUTED_VALUE"""),9479664049)</f>
        <v>9479664049</v>
      </c>
      <c r="E322" s="1" t="str">
        <f ca="1">IFERROR(__xludf.DUMMYFUNCTION("""COMPUTED_VALUE"""),"Yes")</f>
        <v>Yes</v>
      </c>
      <c r="F322" s="1" t="str">
        <f ca="1">IFERROR(__xludf.DUMMYFUNCTION("""COMPUTED_VALUE"""),"हिन्दी")</f>
        <v>हिन्दी</v>
      </c>
      <c r="G322" s="1" t="str">
        <f ca="1">IFERROR(__xludf.DUMMYFUNCTION("""COMPUTED_VALUE"""),"संस्कार, कर्मकाण्ड, पाठ, पूजा, गीत-संगीत")</f>
        <v>संस्कार, कर्मकाण्ड, पाठ, पूजा, गीत-संगीत</v>
      </c>
      <c r="H322" s="1"/>
      <c r="I322" s="1"/>
      <c r="J322" s="1"/>
      <c r="K322" s="1"/>
      <c r="L322" s="1"/>
      <c r="M322" s="1"/>
      <c r="N322" s="1"/>
      <c r="O322" s="1"/>
      <c r="P322" s="1"/>
      <c r="Q322" s="1"/>
      <c r="R322" s="1"/>
      <c r="S322" s="1"/>
      <c r="T322" s="1"/>
      <c r="U322" s="1"/>
      <c r="V322" s="1"/>
      <c r="W322" s="1" t="str">
        <f ca="1">IFERROR(__xludf.DUMMYFUNCTION("""COMPUTED_VALUE"""),"पर्व-त्यौहार, कर्मकाण्ड")</f>
        <v>पर्व-त्यौहार, कर्मकाण्ड</v>
      </c>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t="str">
        <f ca="1">IFERROR(__xludf.DUMMYFUNCTION("""COMPUTED_VALUE"""),"युग परिवर्तन में समर्थ दीपयज्ञ")</f>
        <v>युग परिवर्तन में समर्थ दीपयज्ञ</v>
      </c>
      <c r="BH322" s="1"/>
      <c r="BI322" s="1"/>
      <c r="BJ322" s="1"/>
      <c r="BK322" s="1"/>
      <c r="BL322" s="1"/>
      <c r="BM322" s="1"/>
      <c r="BN322" s="1"/>
      <c r="BO322" s="1"/>
      <c r="BP322" s="1"/>
      <c r="BQ322" s="1"/>
      <c r="BR322" s="1"/>
      <c r="BS322" s="1"/>
      <c r="BT322" s="1"/>
      <c r="BU322" s="1"/>
      <c r="BV322" s="1"/>
      <c r="BW322" s="1">
        <f ca="1">IFERROR(__xludf.DUMMYFUNCTION("""COMPUTED_VALUE"""),23)</f>
        <v>23</v>
      </c>
      <c r="BX322" s="1">
        <f ca="1">IFERROR(__xludf.DUMMYFUNCTION("""COMPUTED_VALUE"""),28)</f>
        <v>28</v>
      </c>
      <c r="BY322" s="1">
        <f ca="1">IFERROR(__xludf.DUMMYFUNCTION("""COMPUTED_VALUE"""),2)</f>
        <v>2</v>
      </c>
      <c r="BZ322" s="1">
        <f ca="1">IFERROR(__xludf.DUMMYFUNCTION("""COMPUTED_VALUE"""),24)</f>
        <v>24</v>
      </c>
      <c r="CA322" s="1"/>
      <c r="CB322" s="1"/>
      <c r="CC322" s="1" t="str">
        <f ca="1">IFERROR(__xludf.DUMMYFUNCTION("""COMPUTED_VALUE"""),"अग्निहोत्र की गरिमा और महत्ता : Rare Book")</f>
        <v>अग्निहोत्र की गरिमा और महत्ता : Rare Book</v>
      </c>
      <c r="CD322" s="3" t="str">
        <f ca="1">IFERROR(__xludf.DUMMYFUNCTION("""COMPUTED_VALUE"""),"https://vicharkrantibooks.org/productdetail?book_name=HINP0030_AGNIHOTR_KI_GARIMA_AUR_MAHATTA_xx1982&amp;product_id=595")</f>
        <v>https://vicharkrantibooks.org/productdetail?book_name=HINP0030_AGNIHOTR_KI_GARIMA_AUR_MAHATTA_xx1982&amp;product_id=595</v>
      </c>
      <c r="CE322" s="1" t="str">
        <f ca="1">IFERROR(__xludf.DUMMYFUNCTION("""COMPUTED_VALUE"""),"Audiobook : अग्निहोत्र की गरिमा और महत्ता : Rare Book : richasharma310575@gmail.com : Recorded")</f>
        <v>Audiobook : अग्निहोत्र की गरिमा और महत्ता : Rare Book : richasharma310575@gmail.com : Recorded</v>
      </c>
      <c r="CF322" s="1" t="str">
        <f ca="1">IFERROR(__xludf.DUMMYFUNCTION("""COMPUTED_VALUE"""),"Audiobook : अग्निहोत्र की गरिमा और महत्ता : Rare Book : richasharma310575@gmail.com : Recorded")</f>
        <v>Audiobook : अग्निहोत्र की गरिमा और महत्ता : Rare Book : richasharma310575@gmail.com : Recorded</v>
      </c>
      <c r="CG322" s="1" t="str">
        <f ca="1">IFERROR(__xludf.DUMMYFUNCTION("""COMPUTED_VALUE"""),"Adarniya Richa Sharma ji अग्निहोत्र की गरिमा और महत्ता : Rare Book : Allocated on 15-Apr-24 Contact Number  9479664049")</f>
        <v>Adarniya Richa Sharma ji अग्निहोत्र की गरिमा और महत्ता : Rare Book : Allocated on 15-Apr-24 Contact Number  9479664049</v>
      </c>
      <c r="CH322" s="1" t="str">
        <f ca="1">IFERROR(__xludf.DUMMYFUNCTION("""COMPUTED_VALUE"""),"richasharma310575@gmail.com : अग्निहोत्र की गरिमा और महत्ता : Rare Book")</f>
        <v>richasharma310575@gmail.com : अग्निहोत्र की गरिमा और महत्ता : Rare Book</v>
      </c>
      <c r="CI322" s="5">
        <f ca="1">IFERROR(__xludf.DUMMYFUNCTION("""COMPUTED_VALUE"""),45397.0693755787)</f>
        <v>45397.0693755787</v>
      </c>
    </row>
    <row r="323" spans="1:87" x14ac:dyDescent="0.25">
      <c r="A323" s="5">
        <f ca="1">IFERROR(__xludf.DUMMYFUNCTION("""COMPUTED_VALUE"""),45396.7968975463)</f>
        <v>45396.796897546301</v>
      </c>
      <c r="B323" s="1" t="str">
        <f ca="1">IFERROR(__xludf.DUMMYFUNCTION("""COMPUTED_VALUE"""),"raushan.rakesh109@gmail.com")</f>
        <v>raushan.rakesh109@gmail.com</v>
      </c>
      <c r="C323" s="1" t="str">
        <f ca="1">IFERROR(__xludf.DUMMYFUNCTION("""COMPUTED_VALUE"""),"Rakesh Raushan ")</f>
        <v xml:space="preserve">Rakesh Raushan </v>
      </c>
      <c r="D323" s="1" t="str">
        <f ca="1">IFERROR(__xludf.DUMMYFUNCTION("""COMPUTED_VALUE"""),"09654565367")</f>
        <v>09654565367</v>
      </c>
      <c r="E323" s="1" t="str">
        <f ca="1">IFERROR(__xludf.DUMMYFUNCTION("""COMPUTED_VALUE"""),"Yes")</f>
        <v>Yes</v>
      </c>
      <c r="F323" s="1" t="str">
        <f ca="1">IFERROR(__xludf.DUMMYFUNCTION("""COMPUTED_VALUE"""),"हिन्दी")</f>
        <v>हिन्दी</v>
      </c>
      <c r="G323" s="1" t="str">
        <f ca="1">IFERROR(__xludf.DUMMYFUNCTION("""COMPUTED_VALUE"""),"व्यक्ति निर्माण, युवा/विद्यार्थी एवं शिक्षक")</f>
        <v>व्यक्ति निर्माण, युवा/विद्यार्थी एवं शिक्षक</v>
      </c>
      <c r="H323" s="1"/>
      <c r="I323" s="1"/>
      <c r="J323" s="1"/>
      <c r="K323" s="1"/>
      <c r="L323" s="1"/>
      <c r="M323" s="1"/>
      <c r="N323" s="1"/>
      <c r="O323" s="1"/>
      <c r="P323" s="1"/>
      <c r="Q323" s="1"/>
      <c r="R323" s="1"/>
      <c r="S323" s="1"/>
      <c r="T323" s="1" t="str">
        <f ca="1">IFERROR(__xludf.DUMMYFUNCTION("""COMPUTED_VALUE"""),"विद्यार्थी एवं शिक्षक")</f>
        <v>विद्यार्थी एवं शिक्षक</v>
      </c>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f ca="1">IFERROR(__xludf.DUMMYFUNCTION("""COMPUTED_VALUE"""),1)</f>
        <v>1</v>
      </c>
      <c r="BX323" s="1">
        <f ca="1">IFERROR(__xludf.DUMMYFUNCTION("""COMPUTED_VALUE"""),0)</f>
        <v>0</v>
      </c>
      <c r="BY323" s="1">
        <f ca="1">IFERROR(__xludf.DUMMYFUNCTION("""COMPUTED_VALUE"""),1)</f>
        <v>1</v>
      </c>
      <c r="BZ323" s="1">
        <f ca="1">IFERROR(__xludf.DUMMYFUNCTION("""COMPUTED_VALUE"""),0)</f>
        <v>0</v>
      </c>
      <c r="CA323" s="1"/>
      <c r="CB323" s="1"/>
      <c r="CC323" s="1" t="str">
        <f ca="1">IFERROR(__xludf.DUMMYFUNCTION("""COMPUTED_VALUE"""),"अपना आपा कितना महान कितना समर्थ : Rare Book")</f>
        <v>अपना आपा कितना महान कितना समर्थ : Rare Book</v>
      </c>
      <c r="CD323" s="3" t="str">
        <f ca="1">IFERROR(__xludf.DUMMYFUNCTION("""COMPUTED_VALUE"""),"https://vicharkrantibooks.org/productdetail?book_name=HINP0055_APANA_APA_KITANA_MAHAN_KITANA_SAMARTH_xx1982&amp;product_id=620")</f>
        <v>https://vicharkrantibooks.org/productdetail?book_name=HINP0055_APANA_APA_KITANA_MAHAN_KITANA_SAMARTH_xx1982&amp;product_id=620</v>
      </c>
      <c r="CE323" s="1" t="str">
        <f ca="1">IFERROR(__xludf.DUMMYFUNCTION("""COMPUTED_VALUE"""),"Audiobook : अपना आपा कितना महान कितना समर्थ : Rare Book : raushan.rakesh109@gmail.com : Recorded")</f>
        <v>Audiobook : अपना आपा कितना महान कितना समर्थ : Rare Book : raushan.rakesh109@gmail.com : Recorded</v>
      </c>
      <c r="CF323" s="1" t="str">
        <f ca="1">IFERROR(__xludf.DUMMYFUNCTION("""COMPUTED_VALUE"""),"#N/A")</f>
        <v>#N/A</v>
      </c>
      <c r="CG323" s="1" t="str">
        <f ca="1">IFERROR(__xludf.DUMMYFUNCTION("""COMPUTED_VALUE"""),"Adarniya Rakesh Raushan  ji अपना आपा कितना महान कितना समर्थ : Rare Book : Allocated on 14-Apr-24 Contact Number  09654565367")</f>
        <v>Adarniya Rakesh Raushan  ji अपना आपा कितना महान कितना समर्थ : Rare Book : Allocated on 14-Apr-24 Contact Number  09654565367</v>
      </c>
      <c r="CH323" s="1" t="str">
        <f ca="1">IFERROR(__xludf.DUMMYFUNCTION("""COMPUTED_VALUE"""),"raushan.rakesh109@gmail.com : अपना आपा कितना महान कितना समर्थ : Rare Book")</f>
        <v>raushan.rakesh109@gmail.com : अपना आपा कितना महान कितना समर्थ : Rare Book</v>
      </c>
      <c r="CI323" s="5">
        <f ca="1">IFERROR(__xludf.DUMMYFUNCTION("""COMPUTED_VALUE"""),45396.7968975463)</f>
        <v>45396.796897546301</v>
      </c>
    </row>
    <row r="324" spans="1:87" x14ac:dyDescent="0.25">
      <c r="A324" s="5">
        <f ca="1">IFERROR(__xludf.DUMMYFUNCTION("""COMPUTED_VALUE"""),45396.7449753472)</f>
        <v>45396.744975347203</v>
      </c>
      <c r="B324" s="1" t="str">
        <f ca="1">IFERROR(__xludf.DUMMYFUNCTION("""COMPUTED_VALUE"""),"sunitasinghji8@gmail.com")</f>
        <v>sunitasinghji8@gmail.com</v>
      </c>
      <c r="C324" s="1" t="str">
        <f ca="1">IFERROR(__xludf.DUMMYFUNCTION("""COMPUTED_VALUE"""),"Sunita Singh ")</f>
        <v xml:space="preserve">Sunita Singh </v>
      </c>
      <c r="D324" s="1">
        <f ca="1">IFERROR(__xludf.DUMMYFUNCTION("""COMPUTED_VALUE"""),8847252965)</f>
        <v>8847252965</v>
      </c>
      <c r="E324" s="1" t="str">
        <f ca="1">IFERROR(__xludf.DUMMYFUNCTION("""COMPUTED_VALUE"""),"No")</f>
        <v>No</v>
      </c>
      <c r="F324" s="1" t="str">
        <f ca="1">IFERROR(__xludf.DUMMYFUNCTION("""COMPUTED_VALUE"""),"हिन्दी")</f>
        <v>हिन्दी</v>
      </c>
      <c r="G324" s="1" t="str">
        <f ca="1">IFERROR(__xludf.DUMMYFUNCTION("""COMPUTED_VALUE"""),"परिवार निर्माण")</f>
        <v>परिवार निर्माण</v>
      </c>
      <c r="H324" s="1"/>
      <c r="I324" s="1"/>
      <c r="J324" s="1"/>
      <c r="K324" s="1"/>
      <c r="L324" s="1"/>
      <c r="M324" s="1" t="str">
        <f ca="1">IFERROR(__xludf.DUMMYFUNCTION("""COMPUTED_VALUE"""),"दाम्पत्य जीवन")</f>
        <v>दाम्पत्य जीवन</v>
      </c>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f ca="1">IFERROR(__xludf.DUMMYFUNCTION("""COMPUTED_VALUE"""),2)</f>
        <v>2</v>
      </c>
      <c r="BX324" s="1">
        <f ca="1">IFERROR(__xludf.DUMMYFUNCTION("""COMPUTED_VALUE"""),0)</f>
        <v>0</v>
      </c>
      <c r="BY324" s="1">
        <f ca="1">IFERROR(__xludf.DUMMYFUNCTION("""COMPUTED_VALUE"""),1)</f>
        <v>1</v>
      </c>
      <c r="BZ324" s="1">
        <f ca="1">IFERROR(__xludf.DUMMYFUNCTION("""COMPUTED_VALUE"""),0)</f>
        <v>0</v>
      </c>
      <c r="CA324" s="1"/>
      <c r="CB324" s="1"/>
      <c r="CC324" s="1" t="str">
        <f ca="1">IFERROR(__xludf.DUMMYFUNCTION("""COMPUTED_VALUE"""),"संतान की संख्या बढाना अत्यंत घातक : Rare Book")</f>
        <v>संतान की संख्या बढाना अत्यंत घातक : Rare Book</v>
      </c>
      <c r="CD324" s="3" t="str">
        <f ca="1">IFERROR(__xludf.DUMMYFUNCTION("""COMPUTED_VALUE"""),"https://vicharkrantibooks.org/productdetail?book_name=HINP0792_SANTAN_KI_SANKHYA_BADHANA_ATYANT_GHATAK_xxyyyy&amp;product_id=1357")</f>
        <v>https://vicharkrantibooks.org/productdetail?book_name=HINP0792_SANTAN_KI_SANKHYA_BADHANA_ATYANT_GHATAK_xxyyyy&amp;product_id=1357</v>
      </c>
      <c r="CE324" s="1"/>
      <c r="CF324" s="1"/>
      <c r="CG324" s="1" t="str">
        <f ca="1">IFERROR(__xludf.DUMMYFUNCTION("""COMPUTED_VALUE"""),"Adarniya Sunita Singh  ji संतान की संख्या बढाना अत्यंत घातक : Rare Book : Allocated on 14-Apr-24 Contact Number  8847252965")</f>
        <v>Adarniya Sunita Singh  ji संतान की संख्या बढाना अत्यंत घातक : Rare Book : Allocated on 14-Apr-24 Contact Number  8847252965</v>
      </c>
      <c r="CH324" s="1" t="str">
        <f ca="1">IFERROR(__xludf.DUMMYFUNCTION("""COMPUTED_VALUE"""),"sunitasinghji8@gmail.com : संतान की संख्या बढाना अत्यंत घातक : Rare Book")</f>
        <v>sunitasinghji8@gmail.com : संतान की संख्या बढाना अत्यंत घातक : Rare Book</v>
      </c>
      <c r="CI324" s="5">
        <f ca="1">IFERROR(__xludf.DUMMYFUNCTION("""COMPUTED_VALUE"""),45396.7449753472)</f>
        <v>45396.744975347203</v>
      </c>
    </row>
    <row r="325" spans="1:87" x14ac:dyDescent="0.25">
      <c r="A325" s="5">
        <f ca="1">IFERROR(__xludf.DUMMYFUNCTION("""COMPUTED_VALUE"""),45396.6394926967)</f>
        <v>45396.639492696697</v>
      </c>
      <c r="B325" s="1" t="str">
        <f ca="1">IFERROR(__xludf.DUMMYFUNCTION("""COMPUTED_VALUE"""),"nksaxena.yoga@gmail.com")</f>
        <v>nksaxena.yoga@gmail.com</v>
      </c>
      <c r="C325" s="1" t="str">
        <f ca="1">IFERROR(__xludf.DUMMYFUNCTION("""COMPUTED_VALUE"""),"Narendra Kumar Saxena ")</f>
        <v xml:space="preserve">Narendra Kumar Saxena </v>
      </c>
      <c r="D325" s="1" t="str">
        <f ca="1">IFERROR(__xludf.DUMMYFUNCTION("""COMPUTED_VALUE"""),"08826499188")</f>
        <v>08826499188</v>
      </c>
      <c r="E325" s="1" t="str">
        <f ca="1">IFERROR(__xludf.DUMMYFUNCTION("""COMPUTED_VALUE"""),"Yes")</f>
        <v>Yes</v>
      </c>
      <c r="F325" s="1" t="str">
        <f ca="1">IFERROR(__xludf.DUMMYFUNCTION("""COMPUTED_VALUE"""),"हिन्दी")</f>
        <v>हिन्दी</v>
      </c>
      <c r="G325" s="1" t="str">
        <f ca="1">IFERROR(__xludf.DUMMYFUNCTION("""COMPUTED_VALUE"""),"समग्र स्वास्थ्य")</f>
        <v>समग्र स्वास्थ्य</v>
      </c>
      <c r="H325" s="1"/>
      <c r="I325" s="1"/>
      <c r="J325" s="1"/>
      <c r="K325" s="1"/>
      <c r="L325" s="1"/>
      <c r="M325" s="1"/>
      <c r="N325" s="1"/>
      <c r="O325" s="1"/>
      <c r="P325" s="1"/>
      <c r="Q325" s="1"/>
      <c r="R325" s="1"/>
      <c r="S325" s="1"/>
      <c r="T325" s="1"/>
      <c r="U325" s="1" t="str">
        <f ca="1">IFERROR(__xludf.DUMMYFUNCTION("""COMPUTED_VALUE"""),"आहार-विहार एवं उपवास")</f>
        <v>आहार-विहार एवं उपवास</v>
      </c>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f ca="1">IFERROR(__xludf.DUMMYFUNCTION("""COMPUTED_VALUE"""),29)</f>
        <v>29</v>
      </c>
      <c r="BX325" s="1">
        <f ca="1">IFERROR(__xludf.DUMMYFUNCTION("""COMPUTED_VALUE"""),30)</f>
        <v>30</v>
      </c>
      <c r="BY325" s="1">
        <f ca="1">IFERROR(__xludf.DUMMYFUNCTION("""COMPUTED_VALUE"""),3)</f>
        <v>3</v>
      </c>
      <c r="BZ325" s="1">
        <f ca="1">IFERROR(__xludf.DUMMYFUNCTION("""COMPUTED_VALUE"""),25)</f>
        <v>25</v>
      </c>
      <c r="CA325" s="1"/>
      <c r="CB325" s="1"/>
      <c r="CC325" s="1" t="str">
        <f ca="1">IFERROR(__xludf.DUMMYFUNCTION("""COMPUTED_VALUE"""),"मांसाहार : Rare Book")</f>
        <v>मांसाहार : Rare Book</v>
      </c>
      <c r="CD325" s="3" t="str">
        <f ca="1">IFERROR(__xludf.DUMMYFUNCTION("""COMPUTED_VALUE"""),"https://vicharkrantibooks.org/productdetail?book_name=HINP0518_MANSAHAR_xxyyyy&amp;product_id=1083")</f>
        <v>https://vicharkrantibooks.org/productdetail?book_name=HINP0518_MANSAHAR_xxyyyy&amp;product_id=1083</v>
      </c>
      <c r="CE325" s="1" t="str">
        <f ca="1">IFERROR(__xludf.DUMMYFUNCTION("""COMPUTED_VALUE"""),"Audiobook : मांसाहार : Rare Book : nksaxena.yoga@gmail.com : Recorded")</f>
        <v>Audiobook : मांसाहार : Rare Book : nksaxena.yoga@gmail.com : Recorded</v>
      </c>
      <c r="CF325" s="1" t="str">
        <f ca="1">IFERROR(__xludf.DUMMYFUNCTION("""COMPUTED_VALUE"""),"Audiobook : मांसाहार : Rare Book : nksaxena.yoga@gmail.com : Recorded")</f>
        <v>Audiobook : मांसाहार : Rare Book : nksaxena.yoga@gmail.com : Recorded</v>
      </c>
      <c r="CG325" s="1" t="str">
        <f ca="1">IFERROR(__xludf.DUMMYFUNCTION("""COMPUTED_VALUE"""),"Adarniya Narendra Kumar Saxena  ji मांसाहार : Rare Book : Allocated on 14-Apr-24 Contact Number  08826499188")</f>
        <v>Adarniya Narendra Kumar Saxena  ji मांसाहार : Rare Book : Allocated on 14-Apr-24 Contact Number  08826499188</v>
      </c>
      <c r="CH325" s="1" t="str">
        <f ca="1">IFERROR(__xludf.DUMMYFUNCTION("""COMPUTED_VALUE"""),"nksaxena.yoga@gmail.com : मांसाहार : Rare Book")</f>
        <v>nksaxena.yoga@gmail.com : मांसाहार : Rare Book</v>
      </c>
      <c r="CI325" s="5">
        <f ca="1">IFERROR(__xludf.DUMMYFUNCTION("""COMPUTED_VALUE"""),45396.6394926967)</f>
        <v>45396.639492696697</v>
      </c>
    </row>
    <row r="326" spans="1:87" x14ac:dyDescent="0.25">
      <c r="A326" s="5">
        <f ca="1">IFERROR(__xludf.DUMMYFUNCTION("""COMPUTED_VALUE"""),45396.3162343287)</f>
        <v>45396.316234328697</v>
      </c>
      <c r="B326" s="1" t="str">
        <f ca="1">IFERROR(__xludf.DUMMYFUNCTION("""COMPUTED_VALUE"""),"gnpatel8438@gmail.com")</f>
        <v>gnpatel8438@gmail.com</v>
      </c>
      <c r="C326" s="1" t="str">
        <f ca="1">IFERROR(__xludf.DUMMYFUNCTION("""COMPUTED_VALUE"""),"Girishbhai Patel ")</f>
        <v xml:space="preserve">Girishbhai Patel </v>
      </c>
      <c r="D326" s="1">
        <f ca="1">IFERROR(__xludf.DUMMYFUNCTION("""COMPUTED_VALUE"""),9426354539)</f>
        <v>9426354539</v>
      </c>
      <c r="E326" s="1" t="str">
        <f ca="1">IFERROR(__xludf.DUMMYFUNCTION("""COMPUTED_VALUE"""),"Yes")</f>
        <v>Yes</v>
      </c>
      <c r="F326" s="1" t="str">
        <f ca="1">IFERROR(__xludf.DUMMYFUNCTION("""COMPUTED_VALUE"""),"गुजराती")</f>
        <v>गुजराती</v>
      </c>
      <c r="G326" s="1" t="str">
        <f ca="1">IFERROR(__xludf.DUMMYFUNCTION("""COMPUTED_VALUE"""),"गायत्री परिवार")</f>
        <v>गायत्री परिवार</v>
      </c>
      <c r="H326" s="1"/>
      <c r="I326" s="1"/>
      <c r="J326" s="1" t="str">
        <f ca="1">IFERROR(__xludf.DUMMYFUNCTION("""COMPUTED_VALUE"""),"सृजन शिल्पियों की योजनाबद्ध कार्य पद्धति")</f>
        <v>सृजन शिल्पियों की योजनाबद्ध कार्य पद्धति</v>
      </c>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f ca="1">IFERROR(__xludf.DUMMYFUNCTION("""COMPUTED_VALUE"""),6)</f>
        <v>6</v>
      </c>
      <c r="BX326" s="1">
        <f ca="1">IFERROR(__xludf.DUMMYFUNCTION("""COMPUTED_VALUE"""),6)</f>
        <v>6</v>
      </c>
      <c r="BY326" s="1">
        <f ca="1">IFERROR(__xludf.DUMMYFUNCTION("""COMPUTED_VALUE"""),0)</f>
        <v>0</v>
      </c>
      <c r="BZ326" s="1">
        <f ca="1">IFERROR(__xludf.DUMMYFUNCTION("""COMPUTED_VALUE"""),1)</f>
        <v>1</v>
      </c>
      <c r="CA326" s="1"/>
      <c r="CB326" s="1"/>
      <c r="CC326" s="1" t="str">
        <f ca="1">IFERROR(__xludf.DUMMYFUNCTION("""COMPUTED_VALUE"""),"કર્મકાંડની પ્રેરણાઓમાં છુપાયેલું અધ્યાત્મ : G_JS_39")</f>
        <v>કર્મકાંડની પ્રેરણાઓમાં છુપાયેલું અધ્યાત્મ : G_JS_39</v>
      </c>
      <c r="CD326" s="3" t="str">
        <f ca="1">IFERROR(__xludf.DUMMYFUNCTION("""COMPUTED_VALUE"""),"https://vicharkrantibooks.org/productdetail?book_name=GUJP0423_KARMAKANDNI_PRERANAOMA_CHHUPAYELU_ADHYATM_XXYYYY&amp;product_id=3764")</f>
        <v>https://vicharkrantibooks.org/productdetail?book_name=GUJP0423_KARMAKANDNI_PRERANAOMA_CHHUPAYELU_ADHYATM_XXYYYY&amp;product_id=3764</v>
      </c>
      <c r="CE326" s="1" t="str">
        <f ca="1">IFERROR(__xludf.DUMMYFUNCTION("""COMPUTED_VALUE"""),"Audiobook : કર્મકાંડની પ્રેરણાઓમાં છુપાયેલું અધ્યાત્મ : G_JS_39 : gnpatel8438@gmail.com : Recorded")</f>
        <v>Audiobook : કર્મકાંડની પ્રેરણાઓમાં છુપાયેલું અધ્યાત્મ : G_JS_39 : gnpatel8438@gmail.com : Recorded</v>
      </c>
      <c r="CF326" s="1" t="str">
        <f ca="1">IFERROR(__xludf.DUMMYFUNCTION("""COMPUTED_VALUE"""),"Audiobook : કર્મકાંડની પ્રેરણાઓમાં છુપાયેલું અધ્યાત્મ : G_JS_39 : gnpatel8438@gmail.com : Recorded")</f>
        <v>Audiobook : કર્મકાંડની પ્રેરણાઓમાં છુપાયેલું અધ્યાત્મ : G_JS_39 : gnpatel8438@gmail.com : Recorded</v>
      </c>
      <c r="CG326" s="1" t="str">
        <f ca="1">IFERROR(__xludf.DUMMYFUNCTION("""COMPUTED_VALUE"""),"Adarniya Girishbhai Patel  ji કર્મકાંડની પ્રેરણાઓમાં છુપાયેલું અધ્યાત્મ : G_JS_39 : Allocated on 14-Apr-24 Contact Number  9426354539")</f>
        <v>Adarniya Girishbhai Patel  ji કર્મકાંડની પ્રેરણાઓમાં છુપાયેલું અધ્યાત્મ : G_JS_39 : Allocated on 14-Apr-24 Contact Number  9426354539</v>
      </c>
      <c r="CH326" s="1" t="str">
        <f ca="1">IFERROR(__xludf.DUMMYFUNCTION("""COMPUTED_VALUE"""),"gnpatel8438@gmail.com : કર્મકાંડની પ્રેરણાઓમાં છુપાયેલું અધ્યાત્મ : G_JS_39")</f>
        <v>gnpatel8438@gmail.com : કર્મકાંડની પ્રેરણાઓમાં છુપાયેલું અધ્યાત્મ : G_JS_39</v>
      </c>
      <c r="CI326" s="5">
        <f ca="1">IFERROR(__xludf.DUMMYFUNCTION("""COMPUTED_VALUE"""),45396.3162343287)</f>
        <v>45396.316234328697</v>
      </c>
    </row>
    <row r="327" spans="1:87" x14ac:dyDescent="0.25">
      <c r="A327" s="5">
        <f ca="1">IFERROR(__xludf.DUMMYFUNCTION("""COMPUTED_VALUE"""),45395.8267405555)</f>
        <v>45395.826740555502</v>
      </c>
      <c r="B327" s="1" t="str">
        <f ca="1">IFERROR(__xludf.DUMMYFUNCTION("""COMPUTED_VALUE"""),"drbrpraj@gmail.com")</f>
        <v>drbrpraj@gmail.com</v>
      </c>
      <c r="C327" s="1" t="str">
        <f ca="1">IFERROR(__xludf.DUMMYFUNCTION("""COMPUTED_VALUE"""),"Dr. Baidyanath Ram Prajapati")</f>
        <v>Dr. Baidyanath Ram Prajapati</v>
      </c>
      <c r="D327" s="1" t="str">
        <f ca="1">IFERROR(__xludf.DUMMYFUNCTION("""COMPUTED_VALUE"""),"09811724821")</f>
        <v>09811724821</v>
      </c>
      <c r="E327" s="1" t="str">
        <f ca="1">IFERROR(__xludf.DUMMYFUNCTION("""COMPUTED_VALUE"""),"Yes")</f>
        <v>Yes</v>
      </c>
      <c r="F327" s="1" t="str">
        <f ca="1">IFERROR(__xludf.DUMMYFUNCTION("""COMPUTED_VALUE"""),"हिन्दी")</f>
        <v>हिन्दी</v>
      </c>
      <c r="G327" s="1" t="str">
        <f ca="1">IFERROR(__xludf.DUMMYFUNCTION("""COMPUTED_VALUE"""),"अध्यात्म, धर्म एवं दर्शन")</f>
        <v>अध्यात्म, धर्म एवं दर्शन</v>
      </c>
      <c r="H327" s="1" t="str">
        <f ca="1">IFERROR(__xludf.DUMMYFUNCTION("""COMPUTED_VALUE"""),"अध्यात्म, धर्म एवं आस्तिकता")</f>
        <v>अध्यात्म, धर्म एवं आस्तिकता</v>
      </c>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f ca="1">IFERROR(__xludf.DUMMYFUNCTION("""COMPUTED_VALUE"""),8)</f>
        <v>8</v>
      </c>
      <c r="BX327" s="1">
        <f ca="1">IFERROR(__xludf.DUMMYFUNCTION("""COMPUTED_VALUE"""),5)</f>
        <v>5</v>
      </c>
      <c r="BY327" s="1">
        <f ca="1">IFERROR(__xludf.DUMMYFUNCTION("""COMPUTED_VALUE"""),3)</f>
        <v>3</v>
      </c>
      <c r="BZ327" s="1">
        <f ca="1">IFERROR(__xludf.DUMMYFUNCTION("""COMPUTED_VALUE"""),1)</f>
        <v>1</v>
      </c>
      <c r="CA327" s="1"/>
      <c r="CB327" s="1"/>
      <c r="CC327" s="1" t="str">
        <f ca="1">IFERROR(__xludf.DUMMYFUNCTION("""COMPUTED_VALUE"""),"तीर्थ परम्परा का अभिनव पुनर्जीवन : Rare Book")</f>
        <v>तीर्थ परम्परा का अभिनव पुनर्जीवन : Rare Book</v>
      </c>
      <c r="CD327" s="3" t="str">
        <f ca="1">IFERROR(__xludf.DUMMYFUNCTION("""COMPUTED_VALUE"""),"https://vicharkrantibooks.org/productdetail?product_id=511")</f>
        <v>https://vicharkrantibooks.org/productdetail?product_id=511</v>
      </c>
      <c r="CE327" s="1" t="str">
        <f ca="1">IFERROR(__xludf.DUMMYFUNCTION("""COMPUTED_VALUE"""),"Audiobook : तीर्थ परम्परा का अभिनव पुनर्जीवन : Rare Book : drbrpraj@gmail.com : Recorded")</f>
        <v>Audiobook : तीर्थ परम्परा का अभिनव पुनर्जीवन : Rare Book : drbrpraj@gmail.com : Recorded</v>
      </c>
      <c r="CF327" s="1" t="str">
        <f ca="1">IFERROR(__xludf.DUMMYFUNCTION("""COMPUTED_VALUE"""),"Audiobook : तीर्थ परम्परा का अभिनव पुनर्जीवन : Rare Book : drbrpraj@gmail.com : Recorded")</f>
        <v>Audiobook : तीर्थ परम्परा का अभिनव पुनर्जीवन : Rare Book : drbrpraj@gmail.com : Recorded</v>
      </c>
      <c r="CG327" s="1" t="str">
        <f ca="1">IFERROR(__xludf.DUMMYFUNCTION("""COMPUTED_VALUE"""),"Adarniya Dr. Baidyanath Ram Prajapati ji तीर्थ परम्परा का अभिनव पुनर्जीवन : Rare Book : Allocated on 13-Apr-24 Contact Number  09811724821")</f>
        <v>Adarniya Dr. Baidyanath Ram Prajapati ji तीर्थ परम्परा का अभिनव पुनर्जीवन : Rare Book : Allocated on 13-Apr-24 Contact Number  09811724821</v>
      </c>
      <c r="CH327" s="1" t="str">
        <f ca="1">IFERROR(__xludf.DUMMYFUNCTION("""COMPUTED_VALUE"""),"drbrpraj@gmail.com : तीर्थ परम्परा का अभिनव पुनर्जीवन : Rare Book")</f>
        <v>drbrpraj@gmail.com : तीर्थ परम्परा का अभिनव पुनर्जीवन : Rare Book</v>
      </c>
      <c r="CI327" s="5">
        <f ca="1">IFERROR(__xludf.DUMMYFUNCTION("""COMPUTED_VALUE"""),45395.8267405555)</f>
        <v>45395.826740555502</v>
      </c>
    </row>
    <row r="328" spans="1:87" x14ac:dyDescent="0.25">
      <c r="A328" s="5">
        <f ca="1">IFERROR(__xludf.DUMMYFUNCTION("""COMPUTED_VALUE"""),45395.7903999884)</f>
        <v>45395.7903999884</v>
      </c>
      <c r="B328" s="1" t="str">
        <f ca="1">IFERROR(__xludf.DUMMYFUNCTION("""COMPUTED_VALUE"""),"patilyogitaj@gmail.com")</f>
        <v>patilyogitaj@gmail.com</v>
      </c>
      <c r="C328" s="1" t="str">
        <f ca="1">IFERROR(__xludf.DUMMYFUNCTION("""COMPUTED_VALUE"""),"Dr Yogita Sanjaykumar Jagannath ")</f>
        <v xml:space="preserve">Dr Yogita Sanjaykumar Jagannath </v>
      </c>
      <c r="D328" s="1" t="str">
        <f ca="1">IFERROR(__xludf.DUMMYFUNCTION("""COMPUTED_VALUE"""),"09403837133")</f>
        <v>09403837133</v>
      </c>
      <c r="E328" s="1" t="str">
        <f ca="1">IFERROR(__xludf.DUMMYFUNCTION("""COMPUTED_VALUE"""),"Yes")</f>
        <v>Yes</v>
      </c>
      <c r="F328" s="1" t="str">
        <f ca="1">IFERROR(__xludf.DUMMYFUNCTION("""COMPUTED_VALUE"""),"मराठी")</f>
        <v>मराठी</v>
      </c>
      <c r="G328" s="1" t="str">
        <f ca="1">IFERROR(__xludf.DUMMYFUNCTION("""COMPUTED_VALUE"""),"व्यक्ति निर्माण, युवा/विद्यार्थी एवं शिक्षक")</f>
        <v>व्यक्ति निर्माण, युवा/विद्यार्थी एवं शिक्षक</v>
      </c>
      <c r="H328" s="1"/>
      <c r="I328" s="1"/>
      <c r="J328" s="1"/>
      <c r="K328" s="1"/>
      <c r="L328" s="1"/>
      <c r="M328" s="1"/>
      <c r="N328" s="1"/>
      <c r="O328" s="1"/>
      <c r="P328" s="1"/>
      <c r="Q328" s="1"/>
      <c r="R328" s="1"/>
      <c r="S328" s="1"/>
      <c r="T328" s="1" t="str">
        <f ca="1">IFERROR(__xludf.DUMMYFUNCTION("""COMPUTED_VALUE"""),"व्यक्तित्व परिष्कार")</f>
        <v>व्यक्तित्व परिष्कार</v>
      </c>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f ca="1">IFERROR(__xludf.DUMMYFUNCTION("""COMPUTED_VALUE"""),4)</f>
        <v>4</v>
      </c>
      <c r="BX328" s="1">
        <f ca="1">IFERROR(__xludf.DUMMYFUNCTION("""COMPUTED_VALUE"""),1)</f>
        <v>1</v>
      </c>
      <c r="BY328" s="1">
        <f ca="1">IFERROR(__xludf.DUMMYFUNCTION("""COMPUTED_VALUE"""),3)</f>
        <v>3</v>
      </c>
      <c r="BZ328" s="1">
        <f ca="1">IFERROR(__xludf.DUMMYFUNCTION("""COMPUTED_VALUE"""),0)</f>
        <v>0</v>
      </c>
      <c r="CA328" s="1"/>
      <c r="CB328" s="1"/>
      <c r="CC328" s="1" t="str">
        <f ca="1">IFERROR(__xludf.DUMMYFUNCTION("""COMPUTED_VALUE"""),"आपला न्युन्गंड दुर करा खंवीर बना : MR_156")</f>
        <v>आपला न्युन्गंड दुर करा खंवीर बना : MR_156</v>
      </c>
      <c r="CD328" s="3" t="str">
        <f ca="1">IFERROR(__xludf.DUMMYFUNCTION("""COMPUTED_VALUE"""),"https://vicharkrantibooks.org/productdetail?book_name=MRTP0069_APALA_NYUNAGAND_DUR_KARA_KHMBIR_BANA%20_XXYYYY&amp;product_id=4352")</f>
        <v>https://vicharkrantibooks.org/productdetail?book_name=MRTP0069_APALA_NYUNAGAND_DUR_KARA_KHMBIR_BANA%20_XXYYYY&amp;product_id=4352</v>
      </c>
      <c r="CE328" s="1" t="str">
        <f ca="1">IFERROR(__xludf.DUMMYFUNCTION("""COMPUTED_VALUE"""),"Audiobook : आपला न्युन्गंड दुर करा खंवीर बना : MR_156 : patilyogitaj@gmail.com : Recorded")</f>
        <v>Audiobook : आपला न्युन्गंड दुर करा खंवीर बना : MR_156 : patilyogitaj@gmail.com : Recorded</v>
      </c>
      <c r="CF328" s="1" t="str">
        <f ca="1">IFERROR(__xludf.DUMMYFUNCTION("""COMPUTED_VALUE"""),"#N/A")</f>
        <v>#N/A</v>
      </c>
      <c r="CG328" s="1" t="str">
        <f ca="1">IFERROR(__xludf.DUMMYFUNCTION("""COMPUTED_VALUE"""),"Adarniya Dr Yogita Sanjaykumar Jagannath  ji आपला न्युन्गंड दुर करा खंवीर बना : MR_156 : Allocated on 13-Apr-24 Contact Number  09403837133")</f>
        <v>Adarniya Dr Yogita Sanjaykumar Jagannath  ji आपला न्युन्गंड दुर करा खंवीर बना : MR_156 : Allocated on 13-Apr-24 Contact Number  09403837133</v>
      </c>
      <c r="CH328" s="1" t="str">
        <f ca="1">IFERROR(__xludf.DUMMYFUNCTION("""COMPUTED_VALUE"""),"patilyogitaj@gmail.com : आपला न्युन्गंड दुर करा खंवीर बना : MR_156")</f>
        <v>patilyogitaj@gmail.com : आपला न्युन्गंड दुर करा खंवीर बना : MR_156</v>
      </c>
      <c r="CI328" s="5">
        <f ca="1">IFERROR(__xludf.DUMMYFUNCTION("""COMPUTED_VALUE"""),45395.7903999884)</f>
        <v>45395.7903999884</v>
      </c>
    </row>
    <row r="329" spans="1:87" x14ac:dyDescent="0.25">
      <c r="A329" s="5">
        <f ca="1">IFERROR(__xludf.DUMMYFUNCTION("""COMPUTED_VALUE"""),45395.7307629976)</f>
        <v>45395.730762997599</v>
      </c>
      <c r="B329" s="1" t="str">
        <f ca="1">IFERROR(__xludf.DUMMYFUNCTION("""COMPUTED_VALUE"""),"dave.chhaya@gmail.com")</f>
        <v>dave.chhaya@gmail.com</v>
      </c>
      <c r="C329" s="1" t="str">
        <f ca="1">IFERROR(__xludf.DUMMYFUNCTION("""COMPUTED_VALUE"""),"Chhaya Deepak Dave ")</f>
        <v xml:space="preserve">Chhaya Deepak Dave </v>
      </c>
      <c r="D329" s="1">
        <f ca="1">IFERROR(__xludf.DUMMYFUNCTION("""COMPUTED_VALUE"""),9879596556)</f>
        <v>9879596556</v>
      </c>
      <c r="E329" s="1" t="str">
        <f ca="1">IFERROR(__xludf.DUMMYFUNCTION("""COMPUTED_VALUE"""),"Yes")</f>
        <v>Yes</v>
      </c>
      <c r="F329" s="1" t="str">
        <f ca="1">IFERROR(__xludf.DUMMYFUNCTION("""COMPUTED_VALUE"""),"गुजराती")</f>
        <v>गुजराती</v>
      </c>
      <c r="G329" s="1" t="str">
        <f ca="1">IFERROR(__xludf.DUMMYFUNCTION("""COMPUTED_VALUE"""),"युग द्रष्टा पं. श्रीराम शर्मा आचार्यजी")</f>
        <v>युग द्रष्टा पं. श्रीराम शर्मा आचार्यजी</v>
      </c>
      <c r="H329" s="1"/>
      <c r="I329" s="1"/>
      <c r="J329" s="1"/>
      <c r="K329" s="1"/>
      <c r="L329" s="1"/>
      <c r="M329" s="1"/>
      <c r="N329" s="1"/>
      <c r="O329" s="1"/>
      <c r="P329" s="1" t="str">
        <f ca="1">IFERROR(__xludf.DUMMYFUNCTION("""COMPUTED_VALUE"""),"युगॠषी का जीवनदर्शन")</f>
        <v>युगॠषी का जीवनदर्शन</v>
      </c>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f ca="1">IFERROR(__xludf.DUMMYFUNCTION("""COMPUTED_VALUE"""),46)</f>
        <v>46</v>
      </c>
      <c r="BX329" s="1">
        <f ca="1">IFERROR(__xludf.DUMMYFUNCTION("""COMPUTED_VALUE"""),39)</f>
        <v>39</v>
      </c>
      <c r="BY329" s="1">
        <f ca="1">IFERROR(__xludf.DUMMYFUNCTION("""COMPUTED_VALUE"""),6)</f>
        <v>6</v>
      </c>
      <c r="BZ329" s="1">
        <f ca="1">IFERROR(__xludf.DUMMYFUNCTION("""COMPUTED_VALUE"""),16)</f>
        <v>16</v>
      </c>
      <c r="CA329" s="1"/>
      <c r="CB329" s="1"/>
      <c r="CC329" s="1" t="str">
        <f ca="1">IFERROR(__xludf.DUMMYFUNCTION("""COMPUTED_VALUE"""),"વિચાર બદલાય તો યુગ બદલાય : G_PP_07")</f>
        <v>વિચાર બદલાય તો યુગ બદલાય : G_PP_07</v>
      </c>
      <c r="CD329" s="3" t="str">
        <f ca="1">IFERROR(__xludf.DUMMYFUNCTION("""COMPUTED_VALUE"""),"https://vicharkrantibooks.org/productdetail?book_name=GUJP0957_VICHAR_BADALAY_TO_YUG_BADALAY_XXYYYY&amp;product_id=3912")</f>
        <v>https://vicharkrantibooks.org/productdetail?book_name=GUJP0957_VICHAR_BADALAY_TO_YUG_BADALAY_XXYYYY&amp;product_id=3912</v>
      </c>
      <c r="CE329" s="1" t="str">
        <f ca="1">IFERROR(__xludf.DUMMYFUNCTION("""COMPUTED_VALUE"""),"Audiobook : વિચાર બદલાય તો યુગ બદલાય : G_PP_07 : dave.chhaya@gmail.com : Recorded")</f>
        <v>Audiobook : વિચાર બદલાય તો યુગ બદલાય : G_PP_07 : dave.chhaya@gmail.com : Recorded</v>
      </c>
      <c r="CF329" s="1" t="str">
        <f ca="1">IFERROR(__xludf.DUMMYFUNCTION("""COMPUTED_VALUE"""),"Audiobook : વિચાર બદલાય તો યુગ બદલાય : G_PP_07 : dave.chhaya@gmail.com : Recorded")</f>
        <v>Audiobook : વિચાર બદલાય તો યુગ બદલાય : G_PP_07 : dave.chhaya@gmail.com : Recorded</v>
      </c>
      <c r="CG329" s="1" t="str">
        <f ca="1">IFERROR(__xludf.DUMMYFUNCTION("""COMPUTED_VALUE"""),"Adarniya Chhaya Deepak Dave  ji વિચાર બદલાય તો યુગ બદલાય : G_PP_07 : Allocated on 13-Apr-24 Contact Number  9879596556")</f>
        <v>Adarniya Chhaya Deepak Dave  ji વિચાર બદલાય તો યુગ બદલાય : G_PP_07 : Allocated on 13-Apr-24 Contact Number  9879596556</v>
      </c>
      <c r="CH329" s="1" t="str">
        <f ca="1">IFERROR(__xludf.DUMMYFUNCTION("""COMPUTED_VALUE"""),"dave.chhaya@gmail.com : વિચાર બદલાય તો યુગ બદલાય : G_PP_07")</f>
        <v>dave.chhaya@gmail.com : વિચાર બદલાય તો યુગ બદલાય : G_PP_07</v>
      </c>
      <c r="CI329" s="5">
        <f ca="1">IFERROR(__xludf.DUMMYFUNCTION("""COMPUTED_VALUE"""),45395.7307629976)</f>
        <v>45395.730762997599</v>
      </c>
    </row>
    <row r="330" spans="1:87" x14ac:dyDescent="0.25">
      <c r="A330" s="5">
        <f ca="1">IFERROR(__xludf.DUMMYFUNCTION("""COMPUTED_VALUE"""),45395.4895466782)</f>
        <v>45395.489546678204</v>
      </c>
      <c r="B330" s="1" t="str">
        <f ca="1">IFERROR(__xludf.DUMMYFUNCTION("""COMPUTED_VALUE"""),"pravinathakkar15@gmail.com")</f>
        <v>pravinathakkar15@gmail.com</v>
      </c>
      <c r="C330" s="1" t="str">
        <f ca="1">IFERROR(__xludf.DUMMYFUNCTION("""COMPUTED_VALUE"""),"Pravina B Thakkar ")</f>
        <v xml:space="preserve">Pravina B Thakkar </v>
      </c>
      <c r="D330" s="1">
        <f ca="1">IFERROR(__xludf.DUMMYFUNCTION("""COMPUTED_VALUE"""),7600058001)</f>
        <v>7600058001</v>
      </c>
      <c r="E330" s="1" t="str">
        <f ca="1">IFERROR(__xludf.DUMMYFUNCTION("""COMPUTED_VALUE"""),"Yes")</f>
        <v>Yes</v>
      </c>
      <c r="F330" s="1" t="str">
        <f ca="1">IFERROR(__xludf.DUMMYFUNCTION("""COMPUTED_VALUE"""),"गुजराती")</f>
        <v>गुजराती</v>
      </c>
      <c r="G330" s="1" t="str">
        <f ca="1">IFERROR(__xludf.DUMMYFUNCTION("""COMPUTED_VALUE"""),"जीवन प्रबंध")</f>
        <v>जीवन प्रबंध</v>
      </c>
      <c r="H330" s="1"/>
      <c r="I330" s="1"/>
      <c r="J330" s="1"/>
      <c r="K330" s="1"/>
      <c r="L330" s="1" t="str">
        <f ca="1">IFERROR(__xludf.DUMMYFUNCTION("""COMPUTED_VALUE"""),"मन की शक्ति एवं मनोविज्ञान")</f>
        <v>मन की शक्ति एवं मनोविज्ञान</v>
      </c>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f ca="1">IFERROR(__xludf.DUMMYFUNCTION("""COMPUTED_VALUE"""),6)</f>
        <v>6</v>
      </c>
      <c r="BX330" s="1">
        <f ca="1">IFERROR(__xludf.DUMMYFUNCTION("""COMPUTED_VALUE"""),2)</f>
        <v>2</v>
      </c>
      <c r="BY330" s="1">
        <f ca="1">IFERROR(__xludf.DUMMYFUNCTION("""COMPUTED_VALUE"""),3)</f>
        <v>3</v>
      </c>
      <c r="BZ330" s="1">
        <f ca="1">IFERROR(__xludf.DUMMYFUNCTION("""COMPUTED_VALUE"""),0)</f>
        <v>0</v>
      </c>
      <c r="CA330" s="1"/>
      <c r="CB330" s="1"/>
      <c r="CC330" s="1" t="str">
        <f ca="1">IFERROR(__xludf.DUMMYFUNCTION("""COMPUTED_VALUE"""),"મનને ભગવાનની સાથે જોડો : G_JS_85")</f>
        <v>મનને ભગવાનની સાથે જોડો : G_JS_85</v>
      </c>
      <c r="CD330" s="3" t="str">
        <f ca="1">IFERROR(__xludf.DUMMYFUNCTION("""COMPUTED_VALUE"""),"https://vicharkrantibooks.org/productdetail?book_name=GUJP0488_MANANE_BHAGAVANANI_SATHE_JODO_XXYYYY&amp;product_id=3810")</f>
        <v>https://vicharkrantibooks.org/productdetail?book_name=GUJP0488_MANANE_BHAGAVANANI_SATHE_JODO_XXYYYY&amp;product_id=3810</v>
      </c>
      <c r="CE330" s="1" t="str">
        <f ca="1">IFERROR(__xludf.DUMMYFUNCTION("""COMPUTED_VALUE"""),"Audiobook : મનને ભગવાનની સાથે જોડો : G_JS_85 : pravinathakkar15@gmail.com : Recorded")</f>
        <v>Audiobook : મનને ભગવાનની સાથે જોડો : G_JS_85 : pravinathakkar15@gmail.com : Recorded</v>
      </c>
      <c r="CF330" s="1" t="str">
        <f ca="1">IFERROR(__xludf.DUMMYFUNCTION("""COMPUTED_VALUE"""),"Audiobook : મનને ભગવાનની સાથે જોડો : G_JS_85 : pravinathakkar15@gmail.com : Recorded")</f>
        <v>Audiobook : મનને ભગવાનની સાથે જોડો : G_JS_85 : pravinathakkar15@gmail.com : Recorded</v>
      </c>
      <c r="CG330" s="1" t="str">
        <f ca="1">IFERROR(__xludf.DUMMYFUNCTION("""COMPUTED_VALUE"""),"Adarniya Pravina B Thakkar  ji મનને ભગવાનની સાથે જોડો : G_JS_85 : Allocated on 13-Apr-24 Contact Number  7600058001")</f>
        <v>Adarniya Pravina B Thakkar  ji મનને ભગવાનની સાથે જોડો : G_JS_85 : Allocated on 13-Apr-24 Contact Number  7600058001</v>
      </c>
      <c r="CH330" s="1" t="str">
        <f ca="1">IFERROR(__xludf.DUMMYFUNCTION("""COMPUTED_VALUE"""),"pravinathakkar15@gmail.com : મનને ભગવાનની સાથે જોડો : G_JS_85")</f>
        <v>pravinathakkar15@gmail.com : મનને ભગવાનની સાથે જોડો : G_JS_85</v>
      </c>
      <c r="CI330" s="5">
        <f ca="1">IFERROR(__xludf.DUMMYFUNCTION("""COMPUTED_VALUE"""),45395.4895466782)</f>
        <v>45395.489546678204</v>
      </c>
    </row>
    <row r="331" spans="1:87" x14ac:dyDescent="0.25">
      <c r="A331" s="5">
        <f ca="1">IFERROR(__xludf.DUMMYFUNCTION("""COMPUTED_VALUE"""),45395.298281493)</f>
        <v>45395.298281493</v>
      </c>
      <c r="B331" s="1" t="str">
        <f ca="1">IFERROR(__xludf.DUMMYFUNCTION("""COMPUTED_VALUE"""),"druma4107@gmail.com")</f>
        <v>druma4107@gmail.com</v>
      </c>
      <c r="C331" s="1" t="str">
        <f ca="1">IFERROR(__xludf.DUMMYFUNCTION("""COMPUTED_VALUE"""),"Dr Uma Agrawal ")</f>
        <v xml:space="preserve">Dr Uma Agrawal </v>
      </c>
      <c r="D331" s="1">
        <f ca="1">IFERROR(__xludf.DUMMYFUNCTION("""COMPUTED_VALUE"""),9410861182)</f>
        <v>9410861182</v>
      </c>
      <c r="E331" s="1" t="str">
        <f ca="1">IFERROR(__xludf.DUMMYFUNCTION("""COMPUTED_VALUE"""),"Yes")</f>
        <v>Yes</v>
      </c>
      <c r="F331" s="1" t="str">
        <f ca="1">IFERROR(__xludf.DUMMYFUNCTION("""COMPUTED_VALUE"""),"हिन्दी")</f>
        <v>हिन्दी</v>
      </c>
      <c r="G331" s="1" t="str">
        <f ca="1">IFERROR(__xludf.DUMMYFUNCTION("""COMPUTED_VALUE"""),"युग परिवर्तन-विचार क्रांति")</f>
        <v>युग परिवर्तन-विचार क्रांति</v>
      </c>
      <c r="H331" s="1"/>
      <c r="I331" s="1"/>
      <c r="J331" s="1"/>
      <c r="K331" s="1"/>
      <c r="L331" s="1"/>
      <c r="M331" s="1"/>
      <c r="N331" s="1"/>
      <c r="O331" s="1"/>
      <c r="P331" s="1"/>
      <c r="Q331" s="1" t="str">
        <f ca="1">IFERROR(__xludf.DUMMYFUNCTION("""COMPUTED_VALUE"""),"युग निर्माण योजना एवं युग परिवर्तन")</f>
        <v>युग निर्माण योजना एवं युग परिवर्तन</v>
      </c>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f ca="1">IFERROR(__xludf.DUMMYFUNCTION("""COMPUTED_VALUE"""),104)</f>
        <v>104</v>
      </c>
      <c r="BX331" s="1">
        <f ca="1">IFERROR(__xludf.DUMMYFUNCTION("""COMPUTED_VALUE"""),106)</f>
        <v>106</v>
      </c>
      <c r="BY331" s="1">
        <f ca="1">IFERROR(__xludf.DUMMYFUNCTION("""COMPUTED_VALUE"""),9)</f>
        <v>9</v>
      </c>
      <c r="BZ331" s="1">
        <f ca="1">IFERROR(__xludf.DUMMYFUNCTION("""COMPUTED_VALUE"""),43)</f>
        <v>43</v>
      </c>
      <c r="CA331" s="1"/>
      <c r="CB331" s="1"/>
      <c r="CC331" s="1" t="str">
        <f ca="1">IFERROR(__xludf.DUMMYFUNCTION("""COMPUTED_VALUE"""),"ज्ञान संपदा कमाने में उपेक्षा ना बरतें : Rare Book")</f>
        <v>ज्ञान संपदा कमाने में उपेक्षा ना बरतें : Rare Book</v>
      </c>
      <c r="CD331" s="3" t="str">
        <f ca="1">IFERROR(__xludf.DUMMYFUNCTION("""COMPUTED_VALUE"""),"https://vicharkrantibooks.org/productdetail?product_id=326")</f>
        <v>https://vicharkrantibooks.org/productdetail?product_id=326</v>
      </c>
      <c r="CE331" s="1" t="str">
        <f ca="1">IFERROR(__xludf.DUMMYFUNCTION("""COMPUTED_VALUE"""),"Audiobook : ज्ञान संपदा कमाने में उपेक्षा ना बरतें : Rare Book : druma4107@gmail.com : Recorded")</f>
        <v>Audiobook : ज्ञान संपदा कमाने में उपेक्षा ना बरतें : Rare Book : druma4107@gmail.com : Recorded</v>
      </c>
      <c r="CF331" s="1" t="str">
        <f ca="1">IFERROR(__xludf.DUMMYFUNCTION("""COMPUTED_VALUE"""),"Audiobook : ज्ञान संपदा कमाने में उपेक्षा ना बरतें : Rare Book : druma4107@gmail.com : Recorded")</f>
        <v>Audiobook : ज्ञान संपदा कमाने में उपेक्षा ना बरतें : Rare Book : druma4107@gmail.com : Recorded</v>
      </c>
      <c r="CG331" s="1" t="str">
        <f ca="1">IFERROR(__xludf.DUMMYFUNCTION("""COMPUTED_VALUE"""),"Adarniya Dr Uma Agrawal  ji ज्ञान संपदा कमाने में उपेक्षा ना बरतें : Rare Book : Allocated on 13-Apr-24 Contact Number  9410861182")</f>
        <v>Adarniya Dr Uma Agrawal  ji ज्ञान संपदा कमाने में उपेक्षा ना बरतें : Rare Book : Allocated on 13-Apr-24 Contact Number  9410861182</v>
      </c>
      <c r="CH331" s="1" t="str">
        <f ca="1">IFERROR(__xludf.DUMMYFUNCTION("""COMPUTED_VALUE"""),"druma4107@gmail.com : ज्ञान संपदा कमाने में उपेक्षा ना बरतें : Rare Book")</f>
        <v>druma4107@gmail.com : ज्ञान संपदा कमाने में उपेक्षा ना बरतें : Rare Book</v>
      </c>
      <c r="CI331" s="5">
        <f ca="1">IFERROR(__xludf.DUMMYFUNCTION("""COMPUTED_VALUE"""),45395.298281493)</f>
        <v>45395.298281493</v>
      </c>
    </row>
    <row r="332" spans="1:87" x14ac:dyDescent="0.25">
      <c r="A332" s="5">
        <f ca="1">IFERROR(__xludf.DUMMYFUNCTION("""COMPUTED_VALUE"""),45394.7226133217)</f>
        <v>45394.722613321697</v>
      </c>
      <c r="B332" s="1" t="str">
        <f ca="1">IFERROR(__xludf.DUMMYFUNCTION("""COMPUTED_VALUE"""),"tushar.pandit7686@gmail.com")</f>
        <v>tushar.pandit7686@gmail.com</v>
      </c>
      <c r="C332" s="1" t="str">
        <f ca="1">IFERROR(__xludf.DUMMYFUNCTION("""COMPUTED_VALUE"""),"Hetal")</f>
        <v>Hetal</v>
      </c>
      <c r="D332" s="1">
        <f ca="1">IFERROR(__xludf.DUMMYFUNCTION("""COMPUTED_VALUE"""),7874048920)</f>
        <v>7874048920</v>
      </c>
      <c r="E332" s="1" t="str">
        <f ca="1">IFERROR(__xludf.DUMMYFUNCTION("""COMPUTED_VALUE"""),"Yes")</f>
        <v>Yes</v>
      </c>
      <c r="F332" s="1" t="str">
        <f ca="1">IFERROR(__xludf.DUMMYFUNCTION("""COMPUTED_VALUE"""),"गुजराती")</f>
        <v>गुजराती</v>
      </c>
      <c r="G332" s="1" t="str">
        <f ca="1">IFERROR(__xludf.DUMMYFUNCTION("""COMPUTED_VALUE"""),"अध्यात्म, धर्म एवं दर्शन")</f>
        <v>अध्यात्म, धर्म एवं दर्शन</v>
      </c>
      <c r="H332" s="1" t="str">
        <f ca="1">IFERROR(__xludf.DUMMYFUNCTION("""COMPUTED_VALUE"""),"उपासना")</f>
        <v>उपासना</v>
      </c>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f ca="1">IFERROR(__xludf.DUMMYFUNCTION("""COMPUTED_VALUE"""),13)</f>
        <v>13</v>
      </c>
      <c r="BX332" s="1">
        <f ca="1">IFERROR(__xludf.DUMMYFUNCTION("""COMPUTED_VALUE"""),13)</f>
        <v>13</v>
      </c>
      <c r="BY332" s="1">
        <f ca="1">IFERROR(__xludf.DUMMYFUNCTION("""COMPUTED_VALUE"""),3)</f>
        <v>3</v>
      </c>
      <c r="BZ332" s="1">
        <f ca="1">IFERROR(__xludf.DUMMYFUNCTION("""COMPUTED_VALUE"""),0)</f>
        <v>0</v>
      </c>
      <c r="CA332" s="1"/>
      <c r="CB332" s="1"/>
      <c r="CC332" s="1" t="str">
        <f ca="1">IFERROR(__xludf.DUMMYFUNCTION("""COMPUTED_VALUE"""),"ભક્તિ એક દર્શન, એક વિજ્ઞાન : G_JS_32")</f>
        <v>ભક્તિ એક દર્શન, એક વિજ્ઞાન : G_JS_32</v>
      </c>
      <c r="CD332" s="3" t="str">
        <f ca="1">IFERROR(__xludf.DUMMYFUNCTION("""COMPUTED_VALUE"""),"https://vicharkrantibooks.org/productdetail?book_name=GUJP0146_BHAKTI_EK_DARSHAN_EK_VIGNAN_XXYYYY&amp;product_id=3757")</f>
        <v>https://vicharkrantibooks.org/productdetail?book_name=GUJP0146_BHAKTI_EK_DARSHAN_EK_VIGNAN_XXYYYY&amp;product_id=3757</v>
      </c>
      <c r="CE332" s="1" t="str">
        <f ca="1">IFERROR(__xludf.DUMMYFUNCTION("""COMPUTED_VALUE"""),"Audiobook : ભક્તિ એક દર્શન, એક વિજ્ઞાન : G_JS_32 : tushar.pandit7686@gmail.com : Recorded")</f>
        <v>Audiobook : ભક્તિ એક દર્શન, એક વિજ્ઞાન : G_JS_32 : tushar.pandit7686@gmail.com : Recorded</v>
      </c>
      <c r="CF332" s="1" t="str">
        <f ca="1">IFERROR(__xludf.DUMMYFUNCTION("""COMPUTED_VALUE"""),"Audiobook : ભક્તિ એક દર્શન, એક વિજ્ઞાન : G_JS_32 : tushar.pandit7686@gmail.com : Recorded")</f>
        <v>Audiobook : ભક્તિ એક દર્શન, એક વિજ્ઞાન : G_JS_32 : tushar.pandit7686@gmail.com : Recorded</v>
      </c>
      <c r="CG332" s="1" t="str">
        <f ca="1">IFERROR(__xludf.DUMMYFUNCTION("""COMPUTED_VALUE"""),"Adarniya Hetal ji ભક્તિ એક દર્શન, એક વિજ્ઞાન : G_JS_32 : Allocated on 12-Apr-24 Contact Number  7874048920")</f>
        <v>Adarniya Hetal ji ભક્તિ એક દર્શન, એક વિજ્ઞાન : G_JS_32 : Allocated on 12-Apr-24 Contact Number  7874048920</v>
      </c>
      <c r="CH332" s="1" t="str">
        <f ca="1">IFERROR(__xludf.DUMMYFUNCTION("""COMPUTED_VALUE"""),"tushar.pandit7686@gmail.com : ભક્તિ એક દર્શન, એક વિજ્ઞાન : G_JS_32")</f>
        <v>tushar.pandit7686@gmail.com : ભક્તિ એક દર્શન, એક વિજ્ઞાન : G_JS_32</v>
      </c>
      <c r="CI332" s="5">
        <f ca="1">IFERROR(__xludf.DUMMYFUNCTION("""COMPUTED_VALUE"""),45394.7226133217)</f>
        <v>45394.722613321697</v>
      </c>
    </row>
    <row r="333" spans="1:87" x14ac:dyDescent="0.25">
      <c r="A333" s="5">
        <f ca="1">IFERROR(__xludf.DUMMYFUNCTION("""COMPUTED_VALUE"""),45394.4767119212)</f>
        <v>45394.476711921197</v>
      </c>
      <c r="B333" s="1" t="str">
        <f ca="1">IFERROR(__xludf.DUMMYFUNCTION("""COMPUTED_VALUE"""),"kalagpatel1959@gmail.com")</f>
        <v>kalagpatel1959@gmail.com</v>
      </c>
      <c r="C333" s="1" t="str">
        <f ca="1">IFERROR(__xludf.DUMMYFUNCTION("""COMPUTED_VALUE"""),"Kala Patel ")</f>
        <v xml:space="preserve">Kala Patel </v>
      </c>
      <c r="D333" s="1">
        <f ca="1">IFERROR(__xludf.DUMMYFUNCTION("""COMPUTED_VALUE"""),9016250929)</f>
        <v>9016250929</v>
      </c>
      <c r="E333" s="1" t="str">
        <f ca="1">IFERROR(__xludf.DUMMYFUNCTION("""COMPUTED_VALUE"""),"Yes")</f>
        <v>Yes</v>
      </c>
      <c r="F333" s="1" t="str">
        <f ca="1">IFERROR(__xludf.DUMMYFUNCTION("""COMPUTED_VALUE"""),"गुजराती")</f>
        <v>गुजराती</v>
      </c>
      <c r="G333" s="1" t="str">
        <f ca="1">IFERROR(__xludf.DUMMYFUNCTION("""COMPUTED_VALUE"""),"परिवार निर्माण")</f>
        <v>परिवार निर्माण</v>
      </c>
      <c r="H333" s="1"/>
      <c r="I333" s="1"/>
      <c r="J333" s="1"/>
      <c r="K333" s="1"/>
      <c r="L333" s="1"/>
      <c r="M333" s="1" t="str">
        <f ca="1">IFERROR(__xludf.DUMMYFUNCTION("""COMPUTED_VALUE"""),"परिवार")</f>
        <v>परिवार</v>
      </c>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f ca="1">IFERROR(__xludf.DUMMYFUNCTION("""COMPUTED_VALUE"""),34)</f>
        <v>34</v>
      </c>
      <c r="BX333" s="1">
        <f ca="1">IFERROR(__xludf.DUMMYFUNCTION("""COMPUTED_VALUE"""),34)</f>
        <v>34</v>
      </c>
      <c r="BY333" s="1">
        <f ca="1">IFERROR(__xludf.DUMMYFUNCTION("""COMPUTED_VALUE"""),4)</f>
        <v>4</v>
      </c>
      <c r="BZ333" s="1">
        <f ca="1">IFERROR(__xludf.DUMMYFUNCTION("""COMPUTED_VALUE"""),11)</f>
        <v>11</v>
      </c>
      <c r="CA333" s="1"/>
      <c r="CB333" s="1"/>
      <c r="CC333" s="1" t="str">
        <f ca="1">IFERROR(__xludf.DUMMYFUNCTION("""COMPUTED_VALUE"""),"પ્યાર અને સહકારભર્યા પરિવાર વસે : G_JS_69")</f>
        <v>પ્યાર અને સહકારભર્યા પરિવાર વસે : G_JS_69</v>
      </c>
      <c r="CD333" s="3" t="str">
        <f ca="1">IFERROR(__xludf.DUMMYFUNCTION("""COMPUTED_VALUE"""),"https://vicharkrantibooks.org/productdetail?book_name=GUJP0695_PYAR_ANE_SAHAKARBHARYA_PARIWAR_VASE_XXYYYY&amp;product_id=3794")</f>
        <v>https://vicharkrantibooks.org/productdetail?book_name=GUJP0695_PYAR_ANE_SAHAKARBHARYA_PARIWAR_VASE_XXYYYY&amp;product_id=3794</v>
      </c>
      <c r="CE333" s="1" t="str">
        <f ca="1">IFERROR(__xludf.DUMMYFUNCTION("""COMPUTED_VALUE"""),"Audiobook : પ્યાર અને સહકારભર્યા પરિવાર વસે : G_JS_69 : kalagpatel1959@gmail.com : Recorded")</f>
        <v>Audiobook : પ્યાર અને સહકારભર્યા પરિવાર વસે : G_JS_69 : kalagpatel1959@gmail.com : Recorded</v>
      </c>
      <c r="CF333" s="1" t="str">
        <f ca="1">IFERROR(__xludf.DUMMYFUNCTION("""COMPUTED_VALUE"""),"Audiobook : પ્યાર અને સહકારભર્યા પરિવાર વસે : G_JS_69 : kalagpatel1959@gmail.com : Recorded")</f>
        <v>Audiobook : પ્યાર અને સહકારભર્યા પરિવાર વસે : G_JS_69 : kalagpatel1959@gmail.com : Recorded</v>
      </c>
      <c r="CG333" s="1" t="str">
        <f ca="1">IFERROR(__xludf.DUMMYFUNCTION("""COMPUTED_VALUE"""),"Adarniya Kala Patel  ji પ્યાર અને સહકારભર્યા પરિવાર વસે : G_JS_69 : Allocated on 12-Apr-24 Contact Number  9016250929")</f>
        <v>Adarniya Kala Patel  ji પ્યાર અને સહકારભર્યા પરિવાર વસે : G_JS_69 : Allocated on 12-Apr-24 Contact Number  9016250929</v>
      </c>
      <c r="CH333" s="1" t="str">
        <f ca="1">IFERROR(__xludf.DUMMYFUNCTION("""COMPUTED_VALUE"""),"kalagpatel1959@gmail.com : પ્યાર અને સહકારભર્યા પરિવાર વસે : G_JS_69")</f>
        <v>kalagpatel1959@gmail.com : પ્યાર અને સહકારભર્યા પરિવાર વસે : G_JS_69</v>
      </c>
      <c r="CI333" s="5">
        <f ca="1">IFERROR(__xludf.DUMMYFUNCTION("""COMPUTED_VALUE"""),45394.4767119212)</f>
        <v>45394.476711921197</v>
      </c>
    </row>
    <row r="334" spans="1:87" x14ac:dyDescent="0.25">
      <c r="A334" s="5">
        <f ca="1">IFERROR(__xludf.DUMMYFUNCTION("""COMPUTED_VALUE"""),45393.9498155439)</f>
        <v>45393.9498155439</v>
      </c>
      <c r="B334" s="1" t="str">
        <f ca="1">IFERROR(__xludf.DUMMYFUNCTION("""COMPUTED_VALUE"""),"tushar.pandit7686@gmail.com")</f>
        <v>tushar.pandit7686@gmail.com</v>
      </c>
      <c r="C334" s="1" t="str">
        <f ca="1">IFERROR(__xludf.DUMMYFUNCTION("""COMPUTED_VALUE"""),"Hetal ")</f>
        <v xml:space="preserve">Hetal </v>
      </c>
      <c r="D334" s="1">
        <f ca="1">IFERROR(__xludf.DUMMYFUNCTION("""COMPUTED_VALUE"""),7874048920)</f>
        <v>7874048920</v>
      </c>
      <c r="E334" s="1" t="str">
        <f ca="1">IFERROR(__xludf.DUMMYFUNCTION("""COMPUTED_VALUE"""),"Yes")</f>
        <v>Yes</v>
      </c>
      <c r="F334" s="1" t="str">
        <f ca="1">IFERROR(__xludf.DUMMYFUNCTION("""COMPUTED_VALUE"""),"गुजराती")</f>
        <v>गुजराती</v>
      </c>
      <c r="G334" s="1" t="str">
        <f ca="1">IFERROR(__xludf.DUMMYFUNCTION("""COMPUTED_VALUE"""),"अध्यात्म, धर्म एवं दर्शन")</f>
        <v>अध्यात्म, धर्म एवं दर्शन</v>
      </c>
      <c r="H334" s="1" t="str">
        <f ca="1">IFERROR(__xludf.DUMMYFUNCTION("""COMPUTED_VALUE"""),"आत्मज्ञान एवं आत्मनिर्माण")</f>
        <v>आत्मज्ञान एवं आत्मनिर्माण</v>
      </c>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f ca="1">IFERROR(__xludf.DUMMYFUNCTION("""COMPUTED_VALUE"""),13)</f>
        <v>13</v>
      </c>
      <c r="BX334" s="1">
        <f ca="1">IFERROR(__xludf.DUMMYFUNCTION("""COMPUTED_VALUE"""),13)</f>
        <v>13</v>
      </c>
      <c r="BY334" s="1">
        <f ca="1">IFERROR(__xludf.DUMMYFUNCTION("""COMPUTED_VALUE"""),3)</f>
        <v>3</v>
      </c>
      <c r="BZ334" s="1">
        <f ca="1">IFERROR(__xludf.DUMMYFUNCTION("""COMPUTED_VALUE"""),0)</f>
        <v>0</v>
      </c>
      <c r="CA334" s="1"/>
      <c r="CB334" s="1"/>
      <c r="CC334" s="1" t="str">
        <f ca="1">IFERROR(__xludf.DUMMYFUNCTION("""COMPUTED_VALUE"""),"શક્તિભંડાર સાથે પોતાને જોડો : G_JS_21")</f>
        <v>શક્તિભંડાર સાથે પોતાને જોડો : G_JS_21</v>
      </c>
      <c r="CD334" s="3" t="str">
        <f ca="1">IFERROR(__xludf.DUMMYFUNCTION("""COMPUTED_VALUE"""),"https://vicharkrantibooks.org/productdetail?book_name=GUJP0835_SHAKTIBHANDAR_SATHE_POTANE_JODO_XXYYYY&amp;product_id=3746")</f>
        <v>https://vicharkrantibooks.org/productdetail?book_name=GUJP0835_SHAKTIBHANDAR_SATHE_POTANE_JODO_XXYYYY&amp;product_id=3746</v>
      </c>
      <c r="CE334" s="1" t="str">
        <f ca="1">IFERROR(__xludf.DUMMYFUNCTION("""COMPUTED_VALUE"""),"Audiobook : શક્તિભંડાર સાથે પોતાને જોડો : G_JS_21 : tushar.pandit7686@gmail.com : Recorded")</f>
        <v>Audiobook : શક્તિભંડાર સાથે પોતાને જોડો : G_JS_21 : tushar.pandit7686@gmail.com : Recorded</v>
      </c>
      <c r="CF334" s="1" t="str">
        <f ca="1">IFERROR(__xludf.DUMMYFUNCTION("""COMPUTED_VALUE"""),"Audiobook : શક્તિભંડાર સાથે પોતાને જોડો : G_JS_21 : tushar.pandit7686@gmail.com : Recorded")</f>
        <v>Audiobook : શક્તિભંડાર સાથે પોતાને જોડો : G_JS_21 : tushar.pandit7686@gmail.com : Recorded</v>
      </c>
      <c r="CG334" s="1" t="str">
        <f ca="1">IFERROR(__xludf.DUMMYFUNCTION("""COMPUTED_VALUE"""),"Adarniya Hetal  ji શક્તિભંડાર સાથે પોતાને જોડો : G_JS_21 : Allocated on 11-Apr-24 Contact Number  7874048920")</f>
        <v>Adarniya Hetal  ji શક્તિભંડાર સાથે પોતાને જોડો : G_JS_21 : Allocated on 11-Apr-24 Contact Number  7874048920</v>
      </c>
      <c r="CH334" s="1" t="str">
        <f ca="1">IFERROR(__xludf.DUMMYFUNCTION("""COMPUTED_VALUE"""),"tushar.pandit7686@gmail.com : શક્તિભંડાર સાથે પોતાને જોડો : G_JS_21")</f>
        <v>tushar.pandit7686@gmail.com : શક્તિભંડાર સાથે પોતાને જોડો : G_JS_21</v>
      </c>
      <c r="CI334" s="5">
        <f ca="1">IFERROR(__xludf.DUMMYFUNCTION("""COMPUTED_VALUE"""),45393.9498155439)</f>
        <v>45393.9498155439</v>
      </c>
    </row>
    <row r="335" spans="1:87" x14ac:dyDescent="0.25">
      <c r="A335" s="5">
        <f ca="1">IFERROR(__xludf.DUMMYFUNCTION("""COMPUTED_VALUE"""),45393.918670405)</f>
        <v>45393.918670405001</v>
      </c>
      <c r="B335" s="1" t="str">
        <f ca="1">IFERROR(__xludf.DUMMYFUNCTION("""COMPUTED_VALUE"""),"mahesh1963@gmail.com")</f>
        <v>mahesh1963@gmail.com</v>
      </c>
      <c r="C335" s="1" t="str">
        <f ca="1">IFERROR(__xludf.DUMMYFUNCTION("""COMPUTED_VALUE"""),"Mahesh Chaudhari ")</f>
        <v xml:space="preserve">Mahesh Chaudhari </v>
      </c>
      <c r="D335" s="1" t="str">
        <f ca="1">IFERROR(__xludf.DUMMYFUNCTION("""COMPUTED_VALUE"""),"+91 9313280717")</f>
        <v>+91 9313280717</v>
      </c>
      <c r="E335" s="1" t="str">
        <f ca="1">IFERROR(__xludf.DUMMYFUNCTION("""COMPUTED_VALUE"""),"Yes")</f>
        <v>Yes</v>
      </c>
      <c r="F335" s="1" t="str">
        <f ca="1">IFERROR(__xludf.DUMMYFUNCTION("""COMPUTED_VALUE"""),"हिन्दी or English")</f>
        <v>हिन्दी or English</v>
      </c>
      <c r="G335" s="1" t="str">
        <f ca="1">IFERROR(__xludf.DUMMYFUNCTION("""COMPUTED_VALUE"""),"अध्यात्म, धर्म एवं दर्शन")</f>
        <v>अध्यात्म, धर्म एवं दर्शन</v>
      </c>
      <c r="H335" s="1" t="str">
        <f ca="1">IFERROR(__xludf.DUMMYFUNCTION("""COMPUTED_VALUE"""),"आत्मज्ञान एवं आत्मनिर्माण")</f>
        <v>आत्मज्ञान एवं आत्मनिर्माण</v>
      </c>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f ca="1">IFERROR(__xludf.DUMMYFUNCTION("""COMPUTED_VALUE"""),1)</f>
        <v>1</v>
      </c>
      <c r="BX335" s="1">
        <f ca="1">IFERROR(__xludf.DUMMYFUNCTION("""COMPUTED_VALUE"""),0)</f>
        <v>0</v>
      </c>
      <c r="BY335" s="1">
        <f ca="1">IFERROR(__xludf.DUMMYFUNCTION("""COMPUTED_VALUE"""),1)</f>
        <v>1</v>
      </c>
      <c r="BZ335" s="1">
        <f ca="1">IFERROR(__xludf.DUMMYFUNCTION("""COMPUTED_VALUE"""),0)</f>
        <v>0</v>
      </c>
      <c r="CA335" s="1"/>
      <c r="CB335" s="1"/>
      <c r="CC335" s="1" t="str">
        <f ca="1">IFERROR(__xludf.DUMMYFUNCTION("""COMPUTED_VALUE"""),"अध्यात्म का लक्ष्य आधार और प्रयोग : Rare Book")</f>
        <v>अध्यात्म का लक्ष्य आधार और प्रयोग : Rare Book</v>
      </c>
      <c r="CD335" s="3" t="str">
        <f ca="1">IFERROR(__xludf.DUMMYFUNCTION("""COMPUTED_VALUE"""),"https://vicharkrantibooks.org/productdetail?book_name=HINF0009_ADHYATM_KA_LAKSHY_ADHAR_AUR_PRAYOG_xxyyyy&amp;product_id=229")</f>
        <v>https://vicharkrantibooks.org/productdetail?book_name=HINF0009_ADHYATM_KA_LAKSHY_ADHAR_AUR_PRAYOG_xxyyyy&amp;product_id=229</v>
      </c>
      <c r="CE335" s="1" t="str">
        <f ca="1">IFERROR(__xludf.DUMMYFUNCTION("""COMPUTED_VALUE"""),"Audiobook : अध्यात्म का लक्ष्य आधार और प्रयोग : Rare Book : mahesh1963@gmail.com : Recorded")</f>
        <v>Audiobook : अध्यात्म का लक्ष्य आधार और प्रयोग : Rare Book : mahesh1963@gmail.com : Recorded</v>
      </c>
      <c r="CF335" s="1" t="str">
        <f ca="1">IFERROR(__xludf.DUMMYFUNCTION("""COMPUTED_VALUE"""),"#N/A")</f>
        <v>#N/A</v>
      </c>
      <c r="CG335" s="1" t="str">
        <f ca="1">IFERROR(__xludf.DUMMYFUNCTION("""COMPUTED_VALUE"""),"Adarniya Mahesh Chaudhari  ji अध्यात्म का लक्ष्य आधार और प्रयोग : Rare Book : Allocated on 11-Apr-24 Contact Number  +91 9313280717")</f>
        <v>Adarniya Mahesh Chaudhari  ji अध्यात्म का लक्ष्य आधार और प्रयोग : Rare Book : Allocated on 11-Apr-24 Contact Number  +91 9313280717</v>
      </c>
      <c r="CH335" s="1" t="str">
        <f ca="1">IFERROR(__xludf.DUMMYFUNCTION("""COMPUTED_VALUE"""),"mahesh1963@gmail.com : अध्यात्म का लक्ष्य आधार और प्रयोग : Rare Book")</f>
        <v>mahesh1963@gmail.com : अध्यात्म का लक्ष्य आधार और प्रयोग : Rare Book</v>
      </c>
      <c r="CI335" s="5">
        <f ca="1">IFERROR(__xludf.DUMMYFUNCTION("""COMPUTED_VALUE"""),45393.918670405)</f>
        <v>45393.918670405001</v>
      </c>
    </row>
    <row r="336" spans="1:87" x14ac:dyDescent="0.25">
      <c r="A336" s="5">
        <f ca="1">IFERROR(__xludf.DUMMYFUNCTION("""COMPUTED_VALUE"""),45393.8860008564)</f>
        <v>45393.886000856401</v>
      </c>
      <c r="B336" s="1" t="str">
        <f ca="1">IFERROR(__xludf.DUMMYFUNCTION("""COMPUTED_VALUE"""),"PunamKumari789punam@gmail.com")</f>
        <v>PunamKumari789punam@gmail.com</v>
      </c>
      <c r="C336" s="1" t="str">
        <f ca="1">IFERROR(__xludf.DUMMYFUNCTION("""COMPUTED_VALUE"""),"Punam  singh")</f>
        <v>Punam  singh</v>
      </c>
      <c r="D336" s="1">
        <f ca="1">IFERROR(__xludf.DUMMYFUNCTION("""COMPUTED_VALUE"""),8294349211)</f>
        <v>8294349211</v>
      </c>
      <c r="E336" s="1"/>
      <c r="F336" s="1" t="str">
        <f ca="1">IFERROR(__xludf.DUMMYFUNCTION("""COMPUTED_VALUE"""),"हिन्दी")</f>
        <v>हिन्दी</v>
      </c>
      <c r="G336" s="1" t="str">
        <f ca="1">IFERROR(__xludf.DUMMYFUNCTION("""COMPUTED_VALUE"""),"व्यक्ति निर्माण, युवा/विद्यार्थी एवं शिक्षक")</f>
        <v>व्यक्ति निर्माण, युवा/विद्यार्थी एवं शिक्षक</v>
      </c>
      <c r="H336" s="1"/>
      <c r="I336" s="1"/>
      <c r="J336" s="1"/>
      <c r="K336" s="1"/>
      <c r="L336" s="1"/>
      <c r="M336" s="1"/>
      <c r="N336" s="1"/>
      <c r="O336" s="1"/>
      <c r="P336" s="1"/>
      <c r="Q336" s="1"/>
      <c r="R336" s="1"/>
      <c r="S336" s="1"/>
      <c r="T336" s="1" t="str">
        <f ca="1">IFERROR(__xludf.DUMMYFUNCTION("""COMPUTED_VALUE"""),"विद्यार्थी एवं शिक्षक")</f>
        <v>विद्यार्थी एवं शिक्षक</v>
      </c>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f ca="1">IFERROR(__xludf.DUMMYFUNCTION("""COMPUTED_VALUE"""),1)</f>
        <v>1</v>
      </c>
      <c r="BX336" s="1">
        <f ca="1">IFERROR(__xludf.DUMMYFUNCTION("""COMPUTED_VALUE"""),0)</f>
        <v>0</v>
      </c>
      <c r="BY336" s="1">
        <f ca="1">IFERROR(__xludf.DUMMYFUNCTION("""COMPUTED_VALUE"""),1)</f>
        <v>1</v>
      </c>
      <c r="BZ336" s="1">
        <f ca="1">IFERROR(__xludf.DUMMYFUNCTION("""COMPUTED_VALUE"""),0)</f>
        <v>0</v>
      </c>
      <c r="CA336" s="1"/>
      <c r="CB336" s="1"/>
      <c r="CC336" s="1" t="str">
        <f ca="1">IFERROR(__xludf.DUMMYFUNCTION("""COMPUTED_VALUE"""),"ईमानदारी सर्वोतोमुखी प्रगति की सुनिश्चित निति : Rare Book")</f>
        <v>ईमानदारी सर्वोतोमुखी प्रगति की सुनिश्चित निति : Rare Book</v>
      </c>
      <c r="CD336" s="3" t="str">
        <f ca="1">IFERROR(__xludf.DUMMYFUNCTION("""COMPUTED_VALUE"""),"https://vicharkrantibooks.org/productdetail?book_name=HINF0121_IMANADARI_SARVATOMUKHI_PRAGATI_KI_SUNISHCHIT_NITI_xxyyyy&amp;product_id=341")</f>
        <v>https://vicharkrantibooks.org/productdetail?book_name=HINF0121_IMANADARI_SARVATOMUKHI_PRAGATI_KI_SUNISHCHIT_NITI_xxyyyy&amp;product_id=341</v>
      </c>
      <c r="CE336" s="1" t="str">
        <f ca="1">IFERROR(__xludf.DUMMYFUNCTION("""COMPUTED_VALUE"""),"Audiobook : ईमानदारी सर्वोतोमुखी प्रगति की सुनिश्चित निति : Rare Book : PunamKumari789punam@gmail.com : Recorded")</f>
        <v>Audiobook : ईमानदारी सर्वोतोमुखी प्रगति की सुनिश्चित निति : Rare Book : PunamKumari789punam@gmail.com : Recorded</v>
      </c>
      <c r="CF336" s="1" t="str">
        <f ca="1">IFERROR(__xludf.DUMMYFUNCTION("""COMPUTED_VALUE"""),"#N/A")</f>
        <v>#N/A</v>
      </c>
      <c r="CG336" s="1" t="str">
        <f ca="1">IFERROR(__xludf.DUMMYFUNCTION("""COMPUTED_VALUE"""),"Adarniya Punam  singh ji ईमानदारी सर्वोतोमुखी प्रगति की सुनिश्चित निति : Rare Book : Allocated on 11-Apr-24 Contact Number  8294349211")</f>
        <v>Adarniya Punam  singh ji ईमानदारी सर्वोतोमुखी प्रगति की सुनिश्चित निति : Rare Book : Allocated on 11-Apr-24 Contact Number  8294349211</v>
      </c>
      <c r="CH336" s="1" t="str">
        <f ca="1">IFERROR(__xludf.DUMMYFUNCTION("""COMPUTED_VALUE"""),"PunamKumari789punam@gmail.com : ईमानदारी सर्वोतोमुखी प्रगति की सुनिश्चित निति : Rare Book")</f>
        <v>PunamKumari789punam@gmail.com : ईमानदारी सर्वोतोमुखी प्रगति की सुनिश्चित निति : Rare Book</v>
      </c>
      <c r="CI336" s="5">
        <f ca="1">IFERROR(__xludf.DUMMYFUNCTION("""COMPUTED_VALUE"""),45393.8860008564)</f>
        <v>45393.886000856401</v>
      </c>
    </row>
    <row r="337" spans="1:87" x14ac:dyDescent="0.25">
      <c r="A337" s="5">
        <f ca="1">IFERROR(__xludf.DUMMYFUNCTION("""COMPUTED_VALUE"""),45393.1282003703)</f>
        <v>45393.128200370302</v>
      </c>
      <c r="B337" s="1" t="str">
        <f ca="1">IFERROR(__xludf.DUMMYFUNCTION("""COMPUTED_VALUE"""),"sanjayneha1@yahoo.com")</f>
        <v>sanjayneha1@yahoo.com</v>
      </c>
      <c r="C337" s="1" t="str">
        <f ca="1">IFERROR(__xludf.DUMMYFUNCTION("""COMPUTED_VALUE"""),"Neha Manocha")</f>
        <v>Neha Manocha</v>
      </c>
      <c r="D337" s="1">
        <f ca="1">IFERROR(__xludf.DUMMYFUNCTION("""COMPUTED_VALUE"""),16174130446)</f>
        <v>16174130446</v>
      </c>
      <c r="E337" s="1" t="str">
        <f ca="1">IFERROR(__xludf.DUMMYFUNCTION("""COMPUTED_VALUE"""),"Yes")</f>
        <v>Yes</v>
      </c>
      <c r="F337" s="1" t="str">
        <f ca="1">IFERROR(__xludf.DUMMYFUNCTION("""COMPUTED_VALUE"""),"हिन्दी or English")</f>
        <v>हिन्दी or English</v>
      </c>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f ca="1">IFERROR(__xludf.DUMMYFUNCTION("""COMPUTED_VALUE"""),33)</f>
        <v>33</v>
      </c>
      <c r="BX337" s="1">
        <f ca="1">IFERROR(__xludf.DUMMYFUNCTION("""COMPUTED_VALUE"""),40)</f>
        <v>40</v>
      </c>
      <c r="BY337" s="1">
        <f ca="1">IFERROR(__xludf.DUMMYFUNCTION("""COMPUTED_VALUE"""),3)</f>
        <v>3</v>
      </c>
      <c r="BZ337" s="1">
        <f ca="1">IFERROR(__xludf.DUMMYFUNCTION("""COMPUTED_VALUE"""),22)</f>
        <v>22</v>
      </c>
      <c r="CA337" s="1"/>
      <c r="CB337" s="1"/>
      <c r="CC337" s="1" t="str">
        <f ca="1">IFERROR(__xludf.DUMMYFUNCTION("""COMPUTED_VALUE"""),"Determination Paves The Way To Success : EP_123")</f>
        <v>Determination Paves The Way To Success : EP_123</v>
      </c>
      <c r="CD337" s="3" t="str">
        <f ca="1">IFERROR(__xludf.DUMMYFUNCTION("""COMPUTED_VALUE"""),"https://vicharkrantibooks.org/productdetail?book_name=ENGP0810_DETERMINATION_PAVES_THE_WAY_TO_SUCCESS_xxyyyy&amp;product_id=3508")</f>
        <v>https://vicharkrantibooks.org/productdetail?book_name=ENGP0810_DETERMINATION_PAVES_THE_WAY_TO_SUCCESS_xxyyyy&amp;product_id=3508</v>
      </c>
      <c r="CE337" s="1" t="str">
        <f ca="1">IFERROR(__xludf.DUMMYFUNCTION("""COMPUTED_VALUE"""),"Audiobook : Determination Paves The Way To Success : EP_123 : sanjayneha1@yahoo.com : Recorded")</f>
        <v>Audiobook : Determination Paves The Way To Success : EP_123 : sanjayneha1@yahoo.com : Recorded</v>
      </c>
      <c r="CF337" s="1" t="str">
        <f ca="1">IFERROR(__xludf.DUMMYFUNCTION("""COMPUTED_VALUE"""),"Audiobook : Determination Paves The Way To Success : EP_123 : sanjayneha1@yahoo.com : Recorded")</f>
        <v>Audiobook : Determination Paves The Way To Success : EP_123 : sanjayneha1@yahoo.com : Recorded</v>
      </c>
      <c r="CG337" s="1" t="str">
        <f ca="1">IFERROR(__xludf.DUMMYFUNCTION("""COMPUTED_VALUE"""),"Adarniya Neha Manocha ji Determination Paves The Way To Success : EP_123 : Allocated on 11-Apr-24 Contact Number  16174130446")</f>
        <v>Adarniya Neha Manocha ji Determination Paves The Way To Success : EP_123 : Allocated on 11-Apr-24 Contact Number  16174130446</v>
      </c>
      <c r="CH337" s="1" t="str">
        <f ca="1">IFERROR(__xludf.DUMMYFUNCTION("""COMPUTED_VALUE"""),"sanjayneha1@yahoo.com : Determination Paves The Way To Success : EP_123")</f>
        <v>sanjayneha1@yahoo.com : Determination Paves The Way To Success : EP_123</v>
      </c>
      <c r="CI337" s="5">
        <f ca="1">IFERROR(__xludf.DUMMYFUNCTION("""COMPUTED_VALUE"""),45393.1282003703)</f>
        <v>45393.128200370302</v>
      </c>
    </row>
    <row r="338" spans="1:87" x14ac:dyDescent="0.25">
      <c r="A338" s="5">
        <f ca="1">IFERROR(__xludf.DUMMYFUNCTION("""COMPUTED_VALUE"""),45392.9393762615)</f>
        <v>45392.9393762615</v>
      </c>
      <c r="B338" s="1" t="str">
        <f ca="1">IFERROR(__xludf.DUMMYFUNCTION("""COMPUTED_VALUE"""),"tushar.pandit7686@gmail.com")</f>
        <v>tushar.pandit7686@gmail.com</v>
      </c>
      <c r="C338" s="1" t="str">
        <f ca="1">IFERROR(__xludf.DUMMYFUNCTION("""COMPUTED_VALUE"""),"Hetal ")</f>
        <v xml:space="preserve">Hetal </v>
      </c>
      <c r="D338" s="1">
        <f ca="1">IFERROR(__xludf.DUMMYFUNCTION("""COMPUTED_VALUE"""),7874048920)</f>
        <v>7874048920</v>
      </c>
      <c r="E338" s="1" t="str">
        <f ca="1">IFERROR(__xludf.DUMMYFUNCTION("""COMPUTED_VALUE"""),"Yes")</f>
        <v>Yes</v>
      </c>
      <c r="F338" s="1" t="str">
        <f ca="1">IFERROR(__xludf.DUMMYFUNCTION("""COMPUTED_VALUE"""),"गुजराती")</f>
        <v>गुजराती</v>
      </c>
      <c r="G338" s="1" t="str">
        <f ca="1">IFERROR(__xludf.DUMMYFUNCTION("""COMPUTED_VALUE"""),"अध्यात्म, धर्म एवं दर्शन")</f>
        <v>अध्यात्म, धर्म एवं दर्शन</v>
      </c>
      <c r="H338" s="1" t="str">
        <f ca="1">IFERROR(__xludf.DUMMYFUNCTION("""COMPUTED_VALUE"""),"आत्मज्ञान एवं आत्मनिर्माण")</f>
        <v>आत्मज्ञान एवं आत्मनिर्माण</v>
      </c>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f ca="1">IFERROR(__xludf.DUMMYFUNCTION("""COMPUTED_VALUE"""),13)</f>
        <v>13</v>
      </c>
      <c r="BX338" s="1">
        <f ca="1">IFERROR(__xludf.DUMMYFUNCTION("""COMPUTED_VALUE"""),13)</f>
        <v>13</v>
      </c>
      <c r="BY338" s="1">
        <f ca="1">IFERROR(__xludf.DUMMYFUNCTION("""COMPUTED_VALUE"""),3)</f>
        <v>3</v>
      </c>
      <c r="BZ338" s="1">
        <f ca="1">IFERROR(__xludf.DUMMYFUNCTION("""COMPUTED_VALUE"""),0)</f>
        <v>0</v>
      </c>
      <c r="CA338" s="1"/>
      <c r="CB338" s="1"/>
      <c r="CC338" s="1" t="str">
        <f ca="1">IFERROR(__xludf.DUMMYFUNCTION("""COMPUTED_VALUE"""),"ધર્મતંત્ર દ્વારા લોક શિક્ષણ : G_JS_30")</f>
        <v>ધર્મતંત્ર દ્વારા લોક શિક્ષણ : G_JS_30</v>
      </c>
      <c r="CD338" s="3" t="str">
        <f ca="1">IFERROR(__xludf.DUMMYFUNCTION("""COMPUTED_VALUE"""),"https://vicharkrantibooks.org/productdetail?book_name=GUJP0242_DHRAMATANTR_DVARA_LOK_SHIKSHAN_XXYYYY&amp;product_id=3755")</f>
        <v>https://vicharkrantibooks.org/productdetail?book_name=GUJP0242_DHRAMATANTR_DVARA_LOK_SHIKSHAN_XXYYYY&amp;product_id=3755</v>
      </c>
      <c r="CE338" s="1" t="str">
        <f ca="1">IFERROR(__xludf.DUMMYFUNCTION("""COMPUTED_VALUE"""),"Audiobook : ધર્મતંત્ર દ્વારા લોક શિક્ષણ : G_JS_30 : tushar.pandit7686@gmail.com : Recorded")</f>
        <v>Audiobook : ધર્મતંત્ર દ્વારા લોક શિક્ષણ : G_JS_30 : tushar.pandit7686@gmail.com : Recorded</v>
      </c>
      <c r="CF338" s="1" t="str">
        <f ca="1">IFERROR(__xludf.DUMMYFUNCTION("""COMPUTED_VALUE"""),"Audiobook : ધર્મતંત્ર દ્વારા લોક શિક્ષણ : G_JS_30 : tushar.pandit7686@gmail.com : Recorded")</f>
        <v>Audiobook : ધર્મતંત્ર દ્વારા લોક શિક્ષણ : G_JS_30 : tushar.pandit7686@gmail.com : Recorded</v>
      </c>
      <c r="CG338" s="1" t="str">
        <f ca="1">IFERROR(__xludf.DUMMYFUNCTION("""COMPUTED_VALUE"""),"Adarniya Hetal  ji ધર્મતંત્ર દ્વારા લોક શિક્ષણ : G_JS_30 : Allocated on 10-Apr-24 Contact Number  7874048920")</f>
        <v>Adarniya Hetal  ji ધર્મતંત્ર દ્વારા લોક શિક્ષણ : G_JS_30 : Allocated on 10-Apr-24 Contact Number  7874048920</v>
      </c>
      <c r="CH338" s="1" t="str">
        <f ca="1">IFERROR(__xludf.DUMMYFUNCTION("""COMPUTED_VALUE"""),"tushar.pandit7686@gmail.com : ધર્મતંત્ર દ્વારા લોક શિક્ષણ : G_JS_30")</f>
        <v>tushar.pandit7686@gmail.com : ધર્મતંત્ર દ્વારા લોક શિક્ષણ : G_JS_30</v>
      </c>
      <c r="CI338" s="5">
        <f ca="1">IFERROR(__xludf.DUMMYFUNCTION("""COMPUTED_VALUE"""),45392.9393762615)</f>
        <v>45392.9393762615</v>
      </c>
    </row>
    <row r="339" spans="1:87" x14ac:dyDescent="0.25">
      <c r="A339" s="5">
        <f ca="1">IFERROR(__xludf.DUMMYFUNCTION("""COMPUTED_VALUE"""),45392.712125)</f>
        <v>45392.712124999998</v>
      </c>
      <c r="B339" s="1" t="str">
        <f ca="1">IFERROR(__xludf.DUMMYFUNCTION("""COMPUTED_VALUE"""),"hinap775@gmail.com")</f>
        <v>hinap775@gmail.com</v>
      </c>
      <c r="C339" s="1" t="str">
        <f ca="1">IFERROR(__xludf.DUMMYFUNCTION("""COMPUTED_VALUE"""),"Hina Patel ")</f>
        <v xml:space="preserve">Hina Patel </v>
      </c>
      <c r="D339" s="1">
        <f ca="1">IFERROR(__xludf.DUMMYFUNCTION("""COMPUTED_VALUE"""),9922771176)</f>
        <v>9922771176</v>
      </c>
      <c r="E339" s="1" t="str">
        <f ca="1">IFERROR(__xludf.DUMMYFUNCTION("""COMPUTED_VALUE"""),"Yes")</f>
        <v>Yes</v>
      </c>
      <c r="F339" s="1" t="str">
        <f ca="1">IFERROR(__xludf.DUMMYFUNCTION("""COMPUTED_VALUE"""),"गुजराती")</f>
        <v>गुजराती</v>
      </c>
      <c r="G339" s="1" t="str">
        <f ca="1">IFERROR(__xludf.DUMMYFUNCTION("""COMPUTED_VALUE"""),"युग द्रष्टा पं. श्रीराम शर्मा आचार्यजी")</f>
        <v>युग द्रष्टा पं. श्रीराम शर्मा आचार्यजी</v>
      </c>
      <c r="H339" s="1"/>
      <c r="I339" s="1"/>
      <c r="J339" s="1"/>
      <c r="K339" s="1"/>
      <c r="L339" s="1"/>
      <c r="M339" s="1"/>
      <c r="N339" s="1"/>
      <c r="O339" s="1"/>
      <c r="P339" s="1" t="str">
        <f ca="1">IFERROR(__xludf.DUMMYFUNCTION("""COMPUTED_VALUE"""),"युगॠषी का जीवनदर्शन")</f>
        <v>युगॠषी का जीवनदर्शन</v>
      </c>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f ca="1">IFERROR(__xludf.DUMMYFUNCTION("""COMPUTED_VALUE"""),6)</f>
        <v>6</v>
      </c>
      <c r="BX339" s="1">
        <f ca="1">IFERROR(__xludf.DUMMYFUNCTION("""COMPUTED_VALUE"""),6)</f>
        <v>6</v>
      </c>
      <c r="BY339" s="1">
        <f ca="1">IFERROR(__xludf.DUMMYFUNCTION("""COMPUTED_VALUE"""),2)</f>
        <v>2</v>
      </c>
      <c r="BZ339" s="1">
        <f ca="1">IFERROR(__xludf.DUMMYFUNCTION("""COMPUTED_VALUE"""),0)</f>
        <v>0</v>
      </c>
      <c r="CA339" s="1"/>
      <c r="CB339" s="1"/>
      <c r="CC339" s="1" t="str">
        <f ca="1">IFERROR(__xludf.DUMMYFUNCTION("""COMPUTED_VALUE"""),"મેળવવું હોય તો આપતા શીખો : G_JS_27")</f>
        <v>મેળવવું હોય તો આપતા શીખો : G_JS_27</v>
      </c>
      <c r="CD339" s="3" t="str">
        <f ca="1">IFERROR(__xludf.DUMMYFUNCTION("""COMPUTED_VALUE"""),"https://vicharkrantibooks.org/productdetail?book_name=GUJP0611_MELAVAVU_HOY_TO_APATA_SHIKHO_XXYYYY&amp;product_id=3752")</f>
        <v>https://vicharkrantibooks.org/productdetail?book_name=GUJP0611_MELAVAVU_HOY_TO_APATA_SHIKHO_XXYYYY&amp;product_id=3752</v>
      </c>
      <c r="CE339" s="1" t="str">
        <f ca="1">IFERROR(__xludf.DUMMYFUNCTION("""COMPUTED_VALUE"""),"Audiobook : મેળવવું હોય તો આપતા શીખો : G_JS_27 : hinap775@gmail.com : Recorded")</f>
        <v>Audiobook : મેળવવું હોય તો આપતા શીખો : G_JS_27 : hinap775@gmail.com : Recorded</v>
      </c>
      <c r="CF339" s="1" t="str">
        <f ca="1">IFERROR(__xludf.DUMMYFUNCTION("""COMPUTED_VALUE"""),"Audiobook : મેળવવું હોય તો આપતા શીખો : G_JS_27 : hinap775@gmail.com : Recorded")</f>
        <v>Audiobook : મેળવવું હોય તો આપતા શીખો : G_JS_27 : hinap775@gmail.com : Recorded</v>
      </c>
      <c r="CG339" s="1" t="str">
        <f ca="1">IFERROR(__xludf.DUMMYFUNCTION("""COMPUTED_VALUE"""),"Adarniya Hina Patel  ji મેળવવું હોય તો આપતા શીખો : G_JS_27 : Allocated on 10-Apr-24 Contact Number  9922771176")</f>
        <v>Adarniya Hina Patel  ji મેળવવું હોય તો આપતા શીખો : G_JS_27 : Allocated on 10-Apr-24 Contact Number  9922771176</v>
      </c>
      <c r="CH339" s="1" t="str">
        <f ca="1">IFERROR(__xludf.DUMMYFUNCTION("""COMPUTED_VALUE"""),"hinap775@gmail.com : મેળવવું હોય તો આપતા શીખો : G_JS_27")</f>
        <v>hinap775@gmail.com : મેળવવું હોય તો આપતા શીખો : G_JS_27</v>
      </c>
      <c r="CI339" s="5">
        <f ca="1">IFERROR(__xludf.DUMMYFUNCTION("""COMPUTED_VALUE"""),45392.712125)</f>
        <v>45392.712124999998</v>
      </c>
    </row>
    <row r="340" spans="1:87" x14ac:dyDescent="0.25">
      <c r="A340" s="5">
        <f ca="1">IFERROR(__xludf.DUMMYFUNCTION("""COMPUTED_VALUE"""),45392.6412053935)</f>
        <v>45392.641205393498</v>
      </c>
      <c r="B340" s="1" t="str">
        <f ca="1">IFERROR(__xludf.DUMMYFUNCTION("""COMPUTED_VALUE"""),"dave.chhaya@gmail.com")</f>
        <v>dave.chhaya@gmail.com</v>
      </c>
      <c r="C340" s="1" t="str">
        <f ca="1">IFERROR(__xludf.DUMMYFUNCTION("""COMPUTED_VALUE"""),"Chhaya Deepak Dave ")</f>
        <v xml:space="preserve">Chhaya Deepak Dave </v>
      </c>
      <c r="D340" s="1">
        <f ca="1">IFERROR(__xludf.DUMMYFUNCTION("""COMPUTED_VALUE"""),9879596556)</f>
        <v>9879596556</v>
      </c>
      <c r="E340" s="1" t="str">
        <f ca="1">IFERROR(__xludf.DUMMYFUNCTION("""COMPUTED_VALUE"""),"Not Relevant")</f>
        <v>Not Relevant</v>
      </c>
      <c r="F340" s="1" t="str">
        <f ca="1">IFERROR(__xludf.DUMMYFUNCTION("""COMPUTED_VALUE"""),"गुजराती")</f>
        <v>गुजराती</v>
      </c>
      <c r="G340" s="1" t="str">
        <f ca="1">IFERROR(__xludf.DUMMYFUNCTION("""COMPUTED_VALUE"""),"युग द्रष्टा पं. श्रीराम शर्मा आचार्यजी")</f>
        <v>युग द्रष्टा पं. श्रीराम शर्मा आचार्यजी</v>
      </c>
      <c r="H340" s="1"/>
      <c r="I340" s="1"/>
      <c r="J340" s="1"/>
      <c r="K340" s="1"/>
      <c r="L340" s="1"/>
      <c r="M340" s="1"/>
      <c r="N340" s="1"/>
      <c r="O340" s="1"/>
      <c r="P340" s="1" t="str">
        <f ca="1">IFERROR(__xludf.DUMMYFUNCTION("""COMPUTED_VALUE"""),"युगॠषी का जीवनदर्शन")</f>
        <v>युगॠषी का जीवनदर्शन</v>
      </c>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f ca="1">IFERROR(__xludf.DUMMYFUNCTION("""COMPUTED_VALUE"""),46)</f>
        <v>46</v>
      </c>
      <c r="BX340" s="1">
        <f ca="1">IFERROR(__xludf.DUMMYFUNCTION("""COMPUTED_VALUE"""),39)</f>
        <v>39</v>
      </c>
      <c r="BY340" s="1">
        <f ca="1">IFERROR(__xludf.DUMMYFUNCTION("""COMPUTED_VALUE"""),6)</f>
        <v>6</v>
      </c>
      <c r="BZ340" s="1">
        <f ca="1">IFERROR(__xludf.DUMMYFUNCTION("""COMPUTED_VALUE"""),16)</f>
        <v>16</v>
      </c>
      <c r="CA340" s="1"/>
      <c r="CB340" s="1"/>
      <c r="CC340" s="1" t="str">
        <f ca="1">IFERROR(__xludf.DUMMYFUNCTION("""COMPUTED_VALUE"""),"ગાયત્રી ઉપાસનાની સફળતાની ત્રણ શરતો : G_JS_28")</f>
        <v>ગાયત્રી ઉપાસનાની સફળતાની ત્રણ શરતો : G_JS_28</v>
      </c>
      <c r="CD340" s="3" t="str">
        <f ca="1">IFERROR(__xludf.DUMMYFUNCTION("""COMPUTED_VALUE"""),"https://vicharkrantibooks.org/productdetail?book_name=GUJP0297_GAYATRI_UPASANANI_SAPHALATANI_TRAN_SHARATO_XXYYYY&amp;product_id=3753")</f>
        <v>https://vicharkrantibooks.org/productdetail?book_name=GUJP0297_GAYATRI_UPASANANI_SAPHALATANI_TRAN_SHARATO_XXYYYY&amp;product_id=3753</v>
      </c>
      <c r="CE340" s="1" t="str">
        <f ca="1">IFERROR(__xludf.DUMMYFUNCTION("""COMPUTED_VALUE"""),"Audiobook : ગાયત્રી ઉપાસનાની સફળતાની ત્રણ શરતો : G_JS_28 : dave.chhaya@gmail.com : Recorded")</f>
        <v>Audiobook : ગાયત્રી ઉપાસનાની સફળતાની ત્રણ શરતો : G_JS_28 : dave.chhaya@gmail.com : Recorded</v>
      </c>
      <c r="CF340" s="1" t="str">
        <f ca="1">IFERROR(__xludf.DUMMYFUNCTION("""COMPUTED_VALUE"""),"Audiobook : ગાયત્રી ઉપાસનાની સફળતાની ત્રણ શરતો : G_JS_28 : dave.chhaya@gmail.com : Recorded")</f>
        <v>Audiobook : ગાયત્રી ઉપાસનાની સફળતાની ત્રણ શરતો : G_JS_28 : dave.chhaya@gmail.com : Recorded</v>
      </c>
      <c r="CG340" s="1" t="str">
        <f ca="1">IFERROR(__xludf.DUMMYFUNCTION("""COMPUTED_VALUE"""),"Adarniya Chhaya Deepak Dave  ji ગાયત્રી ઉપાસનાની સફળતાની ત્રણ શરતો : G_JS_28 : Allocated on 10-Apr-24 Contact Number  9879596556")</f>
        <v>Adarniya Chhaya Deepak Dave  ji ગાયત્રી ઉપાસનાની સફળતાની ત્રણ શરતો : G_JS_28 : Allocated on 10-Apr-24 Contact Number  9879596556</v>
      </c>
      <c r="CH340" s="1" t="str">
        <f ca="1">IFERROR(__xludf.DUMMYFUNCTION("""COMPUTED_VALUE"""),"dave.chhaya@gmail.com : ગાયત્રી ઉપાસનાની સફળતાની ત્રણ શરતો : G_JS_28")</f>
        <v>dave.chhaya@gmail.com : ગાયત્રી ઉપાસનાની સફળતાની ત્રણ શરતો : G_JS_28</v>
      </c>
      <c r="CI340" s="5">
        <f ca="1">IFERROR(__xludf.DUMMYFUNCTION("""COMPUTED_VALUE"""),45392.6412053935)</f>
        <v>45392.641205393498</v>
      </c>
    </row>
    <row r="341" spans="1:87" x14ac:dyDescent="0.25">
      <c r="A341" s="5">
        <f ca="1">IFERROR(__xludf.DUMMYFUNCTION("""COMPUTED_VALUE"""),45392.5924732986)</f>
        <v>45392.592473298602</v>
      </c>
      <c r="B341" s="1" t="str">
        <f ca="1">IFERROR(__xludf.DUMMYFUNCTION("""COMPUTED_VALUE"""),"jamunashukla17@gmail.com")</f>
        <v>jamunashukla17@gmail.com</v>
      </c>
      <c r="C341" s="1" t="str">
        <f ca="1">IFERROR(__xludf.DUMMYFUNCTION("""COMPUTED_VALUE"""),"Jamuna Shukla")</f>
        <v>Jamuna Shukla</v>
      </c>
      <c r="D341" s="1">
        <f ca="1">IFERROR(__xludf.DUMMYFUNCTION("""COMPUTED_VALUE"""),8390353167)</f>
        <v>8390353167</v>
      </c>
      <c r="E341" s="1" t="str">
        <f ca="1">IFERROR(__xludf.DUMMYFUNCTION("""COMPUTED_VALUE"""),"Yes")</f>
        <v>Yes</v>
      </c>
      <c r="F341" s="1" t="str">
        <f ca="1">IFERROR(__xludf.DUMMYFUNCTION("""COMPUTED_VALUE"""),"हिन्दी")</f>
        <v>हिन्दी</v>
      </c>
      <c r="G341" s="1" t="str">
        <f ca="1">IFERROR(__xludf.DUMMYFUNCTION("""COMPUTED_VALUE"""),"अध्यात्म, धर्म एवं दर्शन")</f>
        <v>अध्यात्म, धर्म एवं दर्शन</v>
      </c>
      <c r="H341" s="1" t="str">
        <f ca="1">IFERROR(__xludf.DUMMYFUNCTION("""COMPUTED_VALUE"""),"अध्यात्म, धर्म एवं आस्तिकता")</f>
        <v>अध्यात्म, धर्म एवं आस्तिकता</v>
      </c>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f ca="1">IFERROR(__xludf.DUMMYFUNCTION("""COMPUTED_VALUE"""),53)</f>
        <v>53</v>
      </c>
      <c r="BX341" s="1">
        <f ca="1">IFERROR(__xludf.DUMMYFUNCTION("""COMPUTED_VALUE"""),53)</f>
        <v>53</v>
      </c>
      <c r="BY341" s="1">
        <f ca="1">IFERROR(__xludf.DUMMYFUNCTION("""COMPUTED_VALUE"""),9)</f>
        <v>9</v>
      </c>
      <c r="BZ341" s="1">
        <f ca="1">IFERROR(__xludf.DUMMYFUNCTION("""COMPUTED_VALUE"""),25)</f>
        <v>25</v>
      </c>
      <c r="CA341" s="1"/>
      <c r="CB341" s="1"/>
      <c r="CC341" s="1" t="str">
        <f ca="1">IFERROR(__xludf.DUMMYFUNCTION("""COMPUTED_VALUE"""),"तीर्थ यात्रा इस तरह की जाय : Rare Book")</f>
        <v>तीर्थ यात्रा इस तरह की जाय : Rare Book</v>
      </c>
      <c r="CD341" s="3" t="str">
        <f ca="1">IFERROR(__xludf.DUMMYFUNCTION("""COMPUTED_VALUE"""),"https://vicharkrantibooks.org/productdetail?book_name=HINP0908_TIRTH_YATRA_IS_TARAH_KI_JAY_xx1978&amp;product_id=1473")</f>
        <v>https://vicharkrantibooks.org/productdetail?book_name=HINP0908_TIRTH_YATRA_IS_TARAH_KI_JAY_xx1978&amp;product_id=1473</v>
      </c>
      <c r="CE341" s="1" t="str">
        <f ca="1">IFERROR(__xludf.DUMMYFUNCTION("""COMPUTED_VALUE"""),"Audiobook : तीर्थ यात्रा इस तरह की जाय : Rare Book : jamunashukla17@gmail.com : Recorded")</f>
        <v>Audiobook : तीर्थ यात्रा इस तरह की जाय : Rare Book : jamunashukla17@gmail.com : Recorded</v>
      </c>
      <c r="CF341" s="1" t="str">
        <f ca="1">IFERROR(__xludf.DUMMYFUNCTION("""COMPUTED_VALUE"""),"Audiobook : तीर्थ यात्रा इस तरह की जाय : Rare Book : jamunashukla17@gmail.com : Recorded")</f>
        <v>Audiobook : तीर्थ यात्रा इस तरह की जाय : Rare Book : jamunashukla17@gmail.com : Recorded</v>
      </c>
      <c r="CG341" s="1" t="str">
        <f ca="1">IFERROR(__xludf.DUMMYFUNCTION("""COMPUTED_VALUE"""),"Adarniya Jamuna Shukla ji तीर्थ यात्रा इस तरह की जाय : Rare Book : Allocated on 10-Apr-24 Contact Number  8390353167")</f>
        <v>Adarniya Jamuna Shukla ji तीर्थ यात्रा इस तरह की जाय : Rare Book : Allocated on 10-Apr-24 Contact Number  8390353167</v>
      </c>
      <c r="CH341" s="1" t="str">
        <f ca="1">IFERROR(__xludf.DUMMYFUNCTION("""COMPUTED_VALUE"""),"jamunashukla17@gmail.com : तीर्थ यात्रा इस तरह की जाय : Rare Book")</f>
        <v>jamunashukla17@gmail.com : तीर्थ यात्रा इस तरह की जाय : Rare Book</v>
      </c>
      <c r="CI341" s="5">
        <f ca="1">IFERROR(__xludf.DUMMYFUNCTION("""COMPUTED_VALUE"""),45392.5924732986)</f>
        <v>45392.592473298602</v>
      </c>
    </row>
    <row r="342" spans="1:87" x14ac:dyDescent="0.25">
      <c r="A342" s="5">
        <f ca="1">IFERROR(__xludf.DUMMYFUNCTION("""COMPUTED_VALUE"""),45392.4172505439)</f>
        <v>45392.417250543898</v>
      </c>
      <c r="B342" s="1" t="str">
        <f ca="1">IFERROR(__xludf.DUMMYFUNCTION("""COMPUTED_VALUE"""),"kalagpatel1959@gmail.com")</f>
        <v>kalagpatel1959@gmail.com</v>
      </c>
      <c r="C342" s="1" t="str">
        <f ca="1">IFERROR(__xludf.DUMMYFUNCTION("""COMPUTED_VALUE"""),"Kala Patel ")</f>
        <v xml:space="preserve">Kala Patel </v>
      </c>
      <c r="D342" s="1">
        <f ca="1">IFERROR(__xludf.DUMMYFUNCTION("""COMPUTED_VALUE"""),9016250929)</f>
        <v>9016250929</v>
      </c>
      <c r="E342" s="1" t="str">
        <f ca="1">IFERROR(__xludf.DUMMYFUNCTION("""COMPUTED_VALUE"""),"Yes")</f>
        <v>Yes</v>
      </c>
      <c r="F342" s="1" t="str">
        <f ca="1">IFERROR(__xludf.DUMMYFUNCTION("""COMPUTED_VALUE"""),"गुजराती")</f>
        <v>गुजराती</v>
      </c>
      <c r="G342" s="1" t="str">
        <f ca="1">IFERROR(__xludf.DUMMYFUNCTION("""COMPUTED_VALUE"""),"गायत्री परिवार")</f>
        <v>गायत्री परिवार</v>
      </c>
      <c r="H342" s="1"/>
      <c r="I342" s="1"/>
      <c r="J342" s="1" t="str">
        <f ca="1">IFERROR(__xludf.DUMMYFUNCTION("""COMPUTED_VALUE"""),"प्रमुख संस्थान, प्रकाशन एवं आंदोलन")</f>
        <v>प्रमुख संस्थान, प्रकाशन एवं आंदोलन</v>
      </c>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f ca="1">IFERROR(__xludf.DUMMYFUNCTION("""COMPUTED_VALUE"""),34)</f>
        <v>34</v>
      </c>
      <c r="BX342" s="1">
        <f ca="1">IFERROR(__xludf.DUMMYFUNCTION("""COMPUTED_VALUE"""),34)</f>
        <v>34</v>
      </c>
      <c r="BY342" s="1">
        <f ca="1">IFERROR(__xludf.DUMMYFUNCTION("""COMPUTED_VALUE"""),4)</f>
        <v>4</v>
      </c>
      <c r="BZ342" s="1">
        <f ca="1">IFERROR(__xludf.DUMMYFUNCTION("""COMPUTED_VALUE"""),11)</f>
        <v>11</v>
      </c>
      <c r="CA342" s="1"/>
      <c r="CB342" s="1"/>
      <c r="CC342" s="1" t="str">
        <f ca="1">IFERROR(__xludf.DUMMYFUNCTION("""COMPUTED_VALUE"""),"સાધનામાં વાતાવરણ અને શ્રદ્ધાનું મહત્વ : G_JS_18")</f>
        <v>સાધનામાં વાતાવરણ અને શ્રદ્ધાનું મહત્વ : G_JS_18</v>
      </c>
      <c r="CD342" s="3" t="str">
        <f ca="1">IFERROR(__xludf.DUMMYFUNCTION("""COMPUTED_VALUE"""),"https://vicharkrantibooks.org/productdetail?book_name=GUJP0740_SADHANAMA_VATAVARAN_ANE_SHRADDHANU_MAHATVA_XXYYYY&amp;product_id=3743")</f>
        <v>https://vicharkrantibooks.org/productdetail?book_name=GUJP0740_SADHANAMA_VATAVARAN_ANE_SHRADDHANU_MAHATVA_XXYYYY&amp;product_id=3743</v>
      </c>
      <c r="CE342" s="1" t="str">
        <f ca="1">IFERROR(__xludf.DUMMYFUNCTION("""COMPUTED_VALUE"""),"Audiobook : સાધનામાં વાતાવરણ અને શ્રદ્ધાનું મહત્વ : G_JS_18 : kalagpatel1959@gmail.com : Recorded")</f>
        <v>Audiobook : સાધનામાં વાતાવરણ અને શ્રદ્ધાનું મહત્વ : G_JS_18 : kalagpatel1959@gmail.com : Recorded</v>
      </c>
      <c r="CF342" s="1" t="str">
        <f ca="1">IFERROR(__xludf.DUMMYFUNCTION("""COMPUTED_VALUE"""),"Audiobook : સાધનામાં વાતાવરણ અને શ્રદ્ધાનું મહત્વ : G_JS_18 : kalagpatel1959@gmail.com : Recorded")</f>
        <v>Audiobook : સાધનામાં વાતાવરણ અને શ્રદ્ધાનું મહત્વ : G_JS_18 : kalagpatel1959@gmail.com : Recorded</v>
      </c>
      <c r="CG342" s="1" t="str">
        <f ca="1">IFERROR(__xludf.DUMMYFUNCTION("""COMPUTED_VALUE"""),"Adarniya Kala Patel  ji સાધનામાં વાતાવરણ અને શ્રદ્ધાનું મહત્વ : G_JS_18 : Allocated on 10-Apr-24 Contact Number  9016250929")</f>
        <v>Adarniya Kala Patel  ji સાધનામાં વાતાવરણ અને શ્રદ્ધાનું મહત્વ : G_JS_18 : Allocated on 10-Apr-24 Contact Number  9016250929</v>
      </c>
      <c r="CH342" s="1" t="str">
        <f ca="1">IFERROR(__xludf.DUMMYFUNCTION("""COMPUTED_VALUE"""),"kalagpatel1959@gmail.com : સાધનામાં વાતાવરણ અને શ્રદ્ધાનું મહત્વ : G_JS_18")</f>
        <v>kalagpatel1959@gmail.com : સાધનામાં વાતાવરણ અને શ્રદ્ધાનું મહત્વ : G_JS_18</v>
      </c>
      <c r="CI342" s="5">
        <f ca="1">IFERROR(__xludf.DUMMYFUNCTION("""COMPUTED_VALUE"""),45392.4172505439)</f>
        <v>45392.417250543898</v>
      </c>
    </row>
    <row r="343" spans="1:87" x14ac:dyDescent="0.25">
      <c r="A343" s="5">
        <f ca="1">IFERROR(__xludf.DUMMYFUNCTION("""COMPUTED_VALUE"""),45391.988720949)</f>
        <v>45391.988720948997</v>
      </c>
      <c r="B343" s="1" t="str">
        <f ca="1">IFERROR(__xludf.DUMMYFUNCTION("""COMPUTED_VALUE"""),"druma4107@gmail.com")</f>
        <v>druma4107@gmail.com</v>
      </c>
      <c r="C343" s="1" t="str">
        <f ca="1">IFERROR(__xludf.DUMMYFUNCTION("""COMPUTED_VALUE"""),"Dr Uma Agrawal")</f>
        <v>Dr Uma Agrawal</v>
      </c>
      <c r="D343" s="1">
        <f ca="1">IFERROR(__xludf.DUMMYFUNCTION("""COMPUTED_VALUE"""),9410861182)</f>
        <v>9410861182</v>
      </c>
      <c r="E343" s="1" t="str">
        <f ca="1">IFERROR(__xludf.DUMMYFUNCTION("""COMPUTED_VALUE"""),"Yes")</f>
        <v>Yes</v>
      </c>
      <c r="F343" s="1" t="str">
        <f ca="1">IFERROR(__xludf.DUMMYFUNCTION("""COMPUTED_VALUE"""),"हिन्दी")</f>
        <v>हिन्दी</v>
      </c>
      <c r="G343" s="1" t="str">
        <f ca="1">IFERROR(__xludf.DUMMYFUNCTION("""COMPUTED_VALUE"""),"युग द्रष्टा पं. श्रीराम शर्मा आचार्यजी")</f>
        <v>युग द्रष्टा पं. श्रीराम शर्मा आचार्यजी</v>
      </c>
      <c r="H343" s="1"/>
      <c r="I343" s="1"/>
      <c r="J343" s="1"/>
      <c r="K343" s="1"/>
      <c r="L343" s="1"/>
      <c r="M343" s="1"/>
      <c r="N343" s="1"/>
      <c r="O343" s="1"/>
      <c r="P343" s="1" t="str">
        <f ca="1">IFERROR(__xludf.DUMMYFUNCTION("""COMPUTED_VALUE"""),"युगॠषी का जीवनदर्शन")</f>
        <v>युगॠषी का जीवनदर्शन</v>
      </c>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f ca="1">IFERROR(__xludf.DUMMYFUNCTION("""COMPUTED_VALUE"""),104)</f>
        <v>104</v>
      </c>
      <c r="BX343" s="1">
        <f ca="1">IFERROR(__xludf.DUMMYFUNCTION("""COMPUTED_VALUE"""),106)</f>
        <v>106</v>
      </c>
      <c r="BY343" s="1">
        <f ca="1">IFERROR(__xludf.DUMMYFUNCTION("""COMPUTED_VALUE"""),9)</f>
        <v>9</v>
      </c>
      <c r="BZ343" s="1">
        <f ca="1">IFERROR(__xludf.DUMMYFUNCTION("""COMPUTED_VALUE"""),43)</f>
        <v>43</v>
      </c>
      <c r="CA343" s="1"/>
      <c r="CB343" s="1"/>
      <c r="CC343" s="1" t="str">
        <f ca="1">IFERROR(__xludf.DUMMYFUNCTION("""COMPUTED_VALUE"""),"भगवान बुद्ध का उत्तरार्ध प्राज्ञाअवतार (पॉकेट) : H_SJ_77")</f>
        <v>भगवान बुद्ध का उत्तरार्ध प्राज्ञाअवतार (पॉकेट) : H_SJ_77</v>
      </c>
      <c r="CD343" s="3" t="str">
        <f ca="1">IFERROR(__xludf.DUMMYFUNCTION("""COMPUTED_VALUE"""),"https://vicharkrantibooks.org/productdetail?book_name=HINP0136_BHAGAVAN_BUDDH_KA_UTTARARDDH_PRAGYAVATAR_(POCKET)_xxyyyy&amp;product_id=701")</f>
        <v>https://vicharkrantibooks.org/productdetail?book_name=HINP0136_BHAGAVAN_BUDDH_KA_UTTARARDDH_PRAGYAVATAR_(POCKET)_xxyyyy&amp;product_id=701</v>
      </c>
      <c r="CE343" s="1" t="str">
        <f ca="1">IFERROR(__xludf.DUMMYFUNCTION("""COMPUTED_VALUE"""),"Audiobook : भगवान बुद्ध का उत्तरार्ध प्राज्ञाअवतार (पॉकेट) : H_SJ_77 : druma4107@gmail.com : Recorded")</f>
        <v>Audiobook : भगवान बुद्ध का उत्तरार्ध प्राज्ञाअवतार (पॉकेट) : H_SJ_77 : druma4107@gmail.com : Recorded</v>
      </c>
      <c r="CF343" s="1" t="str">
        <f ca="1">IFERROR(__xludf.DUMMYFUNCTION("""COMPUTED_VALUE"""),"Audiobook : भगवान बुद्ध का उत्तरार्ध प्राज्ञाअवतार (पॉकेट) : H_SJ_77 : druma4107@gmail.com : Recorded")</f>
        <v>Audiobook : भगवान बुद्ध का उत्तरार्ध प्राज्ञाअवतार (पॉकेट) : H_SJ_77 : druma4107@gmail.com : Recorded</v>
      </c>
      <c r="CG343" s="1" t="str">
        <f ca="1">IFERROR(__xludf.DUMMYFUNCTION("""COMPUTED_VALUE"""),"Adarniya Dr Uma Agrawal ji भगवान बुद्ध का उत्तरार्ध प्राज्ञाअवतार (पॉकेट) : H_SJ_77 : Allocated on 09-Apr-24 Contact Number  9410861182")</f>
        <v>Adarniya Dr Uma Agrawal ji भगवान बुद्ध का उत्तरार्ध प्राज्ञाअवतार (पॉकेट) : H_SJ_77 : Allocated on 09-Apr-24 Contact Number  9410861182</v>
      </c>
      <c r="CH343" s="1" t="str">
        <f ca="1">IFERROR(__xludf.DUMMYFUNCTION("""COMPUTED_VALUE"""),"druma4107@gmail.com : भगवान बुद्ध का उत्तरार्ध प्राज्ञाअवतार (पॉकेट) : H_SJ_77")</f>
        <v>druma4107@gmail.com : भगवान बुद्ध का उत्तरार्ध प्राज्ञाअवतार (पॉकेट) : H_SJ_77</v>
      </c>
      <c r="CI343" s="5">
        <f ca="1">IFERROR(__xludf.DUMMYFUNCTION("""COMPUTED_VALUE"""),45391.988720949)</f>
        <v>45391.988720948997</v>
      </c>
    </row>
    <row r="344" spans="1:87" x14ac:dyDescent="0.25">
      <c r="A344" s="5">
        <f ca="1">IFERROR(__xludf.DUMMYFUNCTION("""COMPUTED_VALUE"""),45391.9236612731)</f>
        <v>45391.923661273097</v>
      </c>
      <c r="B344" s="1" t="str">
        <f ca="1">IFERROR(__xludf.DUMMYFUNCTION("""COMPUTED_VALUE"""),"tushar.pandit7686@gmail.com")</f>
        <v>tushar.pandit7686@gmail.com</v>
      </c>
      <c r="C344" s="1" t="str">
        <f ca="1">IFERROR(__xludf.DUMMYFUNCTION("""COMPUTED_VALUE"""),"Hetal ")</f>
        <v xml:space="preserve">Hetal </v>
      </c>
      <c r="D344" s="1">
        <f ca="1">IFERROR(__xludf.DUMMYFUNCTION("""COMPUTED_VALUE"""),7874048920)</f>
        <v>7874048920</v>
      </c>
      <c r="E344" s="1" t="str">
        <f ca="1">IFERROR(__xludf.DUMMYFUNCTION("""COMPUTED_VALUE"""),"Yes")</f>
        <v>Yes</v>
      </c>
      <c r="F344" s="1" t="str">
        <f ca="1">IFERROR(__xludf.DUMMYFUNCTION("""COMPUTED_VALUE"""),"गुजराती")</f>
        <v>गुजराती</v>
      </c>
      <c r="G344" s="1" t="str">
        <f ca="1">IFERROR(__xludf.DUMMYFUNCTION("""COMPUTED_VALUE"""),"अध्यात्म, धर्म एवं दर्शन")</f>
        <v>अध्यात्म, धर्म एवं दर्शन</v>
      </c>
      <c r="H344" s="1" t="str">
        <f ca="1">IFERROR(__xludf.DUMMYFUNCTION("""COMPUTED_VALUE"""),"अध्यात्म, धर्म एवं आस्तिकता")</f>
        <v>अध्यात्म, धर्म एवं आस्तिकता</v>
      </c>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f ca="1">IFERROR(__xludf.DUMMYFUNCTION("""COMPUTED_VALUE"""),13)</f>
        <v>13</v>
      </c>
      <c r="BX344" s="1">
        <f ca="1">IFERROR(__xludf.DUMMYFUNCTION("""COMPUTED_VALUE"""),13)</f>
        <v>13</v>
      </c>
      <c r="BY344" s="1">
        <f ca="1">IFERROR(__xludf.DUMMYFUNCTION("""COMPUTED_VALUE"""),3)</f>
        <v>3</v>
      </c>
      <c r="BZ344" s="1">
        <f ca="1">IFERROR(__xludf.DUMMYFUNCTION("""COMPUTED_VALUE"""),0)</f>
        <v>0</v>
      </c>
      <c r="CA344" s="1"/>
      <c r="CB344" s="1"/>
      <c r="CC344" s="1" t="str">
        <f ca="1">IFERROR(__xludf.DUMMYFUNCTION("""COMPUTED_VALUE"""),"ભગવાન શંકર કોણ છે ? : G_JS_17")</f>
        <v>ભગવાન શંકર કોણ છે ? : G_JS_17</v>
      </c>
      <c r="CD344" s="3" t="str">
        <f ca="1">IFERROR(__xludf.DUMMYFUNCTION("""COMPUTED_VALUE"""),"https://vicharkrantibooks.org/productdetail?book_name=GUJP0142_BHAGAVAN_SHANKAR_KON_CHHE_XXYYYY&amp;product_id=3742")</f>
        <v>https://vicharkrantibooks.org/productdetail?book_name=GUJP0142_BHAGAVAN_SHANKAR_KON_CHHE_XXYYYY&amp;product_id=3742</v>
      </c>
      <c r="CE344" s="1" t="str">
        <f ca="1">IFERROR(__xludf.DUMMYFUNCTION("""COMPUTED_VALUE"""),"Audiobook : ભગવાન શંકર કોણ છે ? : G_JS_17 : tushar.pandit7686@gmail.com : Recorded")</f>
        <v>Audiobook : ભગવાન શંકર કોણ છે ? : G_JS_17 : tushar.pandit7686@gmail.com : Recorded</v>
      </c>
      <c r="CF344" s="1" t="str">
        <f ca="1">IFERROR(__xludf.DUMMYFUNCTION("""COMPUTED_VALUE"""),"Audiobook : ભગવાન શંકર કોણ છે ? : G_JS_17 : tushar.pandit7686@gmail.com : Recorded")</f>
        <v>Audiobook : ભગવાન શંકર કોણ છે ? : G_JS_17 : tushar.pandit7686@gmail.com : Recorded</v>
      </c>
      <c r="CG344" s="1" t="str">
        <f ca="1">IFERROR(__xludf.DUMMYFUNCTION("""COMPUTED_VALUE"""),"Adarniya Hetal  ji ભગવાન શંકર કોણ છે ? : G_JS_17 : Allocated on 09-Apr-24 Contact Number  7874048920")</f>
        <v>Adarniya Hetal  ji ભગવાન શંકર કોણ છે ? : G_JS_17 : Allocated on 09-Apr-24 Contact Number  7874048920</v>
      </c>
      <c r="CH344" s="1" t="str">
        <f ca="1">IFERROR(__xludf.DUMMYFUNCTION("""COMPUTED_VALUE"""),"tushar.pandit7686@gmail.com : ભગવાન શંકર કોણ છે ? : G_JS_17")</f>
        <v>tushar.pandit7686@gmail.com : ભગવાન શંકર કોણ છે ? : G_JS_17</v>
      </c>
      <c r="CI344" s="5">
        <f ca="1">IFERROR(__xludf.DUMMYFUNCTION("""COMPUTED_VALUE"""),45391.9236612731)</f>
        <v>45391.923661273097</v>
      </c>
    </row>
    <row r="345" spans="1:87" x14ac:dyDescent="0.25">
      <c r="A345" s="5">
        <f ca="1">IFERROR(__xludf.DUMMYFUNCTION("""COMPUTED_VALUE"""),45391.6536849884)</f>
        <v>45391.6536849884</v>
      </c>
      <c r="B345" s="1" t="str">
        <f ca="1">IFERROR(__xludf.DUMMYFUNCTION("""COMPUTED_VALUE"""),"kusumlatarai24@gmail.com")</f>
        <v>kusumlatarai24@gmail.com</v>
      </c>
      <c r="C345" s="1" t="str">
        <f ca="1">IFERROR(__xludf.DUMMYFUNCTION("""COMPUTED_VALUE"""),"Kusum Lata Rai ")</f>
        <v xml:space="preserve">Kusum Lata Rai </v>
      </c>
      <c r="D345" s="1">
        <f ca="1">IFERROR(__xludf.DUMMYFUNCTION("""COMPUTED_VALUE"""),9336508442)</f>
        <v>9336508442</v>
      </c>
      <c r="E345" s="1" t="str">
        <f ca="1">IFERROR(__xludf.DUMMYFUNCTION("""COMPUTED_VALUE"""),"Yes")</f>
        <v>Yes</v>
      </c>
      <c r="F345" s="1" t="str">
        <f ca="1">IFERROR(__xludf.DUMMYFUNCTION("""COMPUTED_VALUE"""),"हिन्दी")</f>
        <v>हिन्दी</v>
      </c>
      <c r="G345" s="1" t="str">
        <f ca="1">IFERROR(__xludf.DUMMYFUNCTION("""COMPUTED_VALUE"""),"समाज निर्माण")</f>
        <v>समाज निर्माण</v>
      </c>
      <c r="H345" s="1"/>
      <c r="I345" s="1"/>
      <c r="J345" s="1"/>
      <c r="K345" s="1"/>
      <c r="L345" s="1"/>
      <c r="M345" s="1"/>
      <c r="N345" s="1"/>
      <c r="O345" s="1"/>
      <c r="P345" s="1"/>
      <c r="Q345" s="1"/>
      <c r="R345" s="1"/>
      <c r="S345" s="1"/>
      <c r="T345" s="1"/>
      <c r="U345" s="1"/>
      <c r="V345" s="1" t="str">
        <f ca="1">IFERROR(__xludf.DUMMYFUNCTION("""COMPUTED_VALUE"""),"नारी सशक्तिकरण")</f>
        <v>नारी सशक्तिकरण</v>
      </c>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f ca="1">IFERROR(__xludf.DUMMYFUNCTION("""COMPUTED_VALUE"""),5)</f>
        <v>5</v>
      </c>
      <c r="BX345" s="1">
        <f ca="1">IFERROR(__xludf.DUMMYFUNCTION("""COMPUTED_VALUE"""),1)</f>
        <v>1</v>
      </c>
      <c r="BY345" s="1">
        <f ca="1">IFERROR(__xludf.DUMMYFUNCTION("""COMPUTED_VALUE"""),4)</f>
        <v>4</v>
      </c>
      <c r="BZ345" s="1">
        <f ca="1">IFERROR(__xludf.DUMMYFUNCTION("""COMPUTED_VALUE"""),1)</f>
        <v>1</v>
      </c>
      <c r="CA345" s="1"/>
      <c r="CB345" s="1"/>
      <c r="CC345" s="1" t="str">
        <f ca="1">IFERROR(__xludf.DUMMYFUNCTION("""COMPUTED_VALUE"""),"आधुनिक भौंडे़ फैशन का परित्याग कीजिए : Rare Book")</f>
        <v>आधुनिक भौंडे़ फैशन का परित्याग कीजिए : Rare Book</v>
      </c>
      <c r="CD345" s="3" t="str">
        <f ca="1">IFERROR(__xludf.DUMMYFUNCTION("""COMPUTED_VALUE"""),"https://vicharkrantibooks.org/productdetail?book_name=HINP0007_ADHUNIK_DAUD_ME_FAISHION_KA_PARITYAG_KIJIE_xxyyyy&amp;product_id=572")</f>
        <v>https://vicharkrantibooks.org/productdetail?book_name=HINP0007_ADHUNIK_DAUD_ME_FAISHION_KA_PARITYAG_KIJIE_xxyyyy&amp;product_id=572</v>
      </c>
      <c r="CE345" s="1" t="str">
        <f ca="1">IFERROR(__xludf.DUMMYFUNCTION("""COMPUTED_VALUE"""),"Audiobook : आधुनिक भौंडे़ फैशन का परित्याग कीजिए : Rare Book : kusumlatarai24@gmail.com : Recorded")</f>
        <v>Audiobook : आधुनिक भौंडे़ फैशन का परित्याग कीजिए : Rare Book : kusumlatarai24@gmail.com : Recorded</v>
      </c>
      <c r="CF345" s="1" t="str">
        <f ca="1">IFERROR(__xludf.DUMMYFUNCTION("""COMPUTED_VALUE"""),"Audiobook : आधुनिक भौंडे़ फैशन का परित्याग कीजिए : Rare Book : kusumlatarai24@gmail.com : Recorded")</f>
        <v>Audiobook : आधुनिक भौंडे़ फैशन का परित्याग कीजिए : Rare Book : kusumlatarai24@gmail.com : Recorded</v>
      </c>
      <c r="CG345" s="1" t="str">
        <f ca="1">IFERROR(__xludf.DUMMYFUNCTION("""COMPUTED_VALUE"""),"Adarniya Kusum Lata Rai  ji आधुनिक भौंडे़ फैशन का परित्याग कीजिए : Rare Book : Allocated on 09-Apr-24 Contact Number  9336508442")</f>
        <v>Adarniya Kusum Lata Rai  ji आधुनिक भौंडे़ फैशन का परित्याग कीजिए : Rare Book : Allocated on 09-Apr-24 Contact Number  9336508442</v>
      </c>
      <c r="CH345" s="1" t="str">
        <f ca="1">IFERROR(__xludf.DUMMYFUNCTION("""COMPUTED_VALUE"""),"kusumlatarai24@gmail.com : आधुनिक भौंडे़ फैशन का परित्याग कीजिए : Rare Book")</f>
        <v>kusumlatarai24@gmail.com : आधुनिक भौंडे़ फैशन का परित्याग कीजिए : Rare Book</v>
      </c>
      <c r="CI345" s="5">
        <f ca="1">IFERROR(__xludf.DUMMYFUNCTION("""COMPUTED_VALUE"""),45391.6536849884)</f>
        <v>45391.6536849884</v>
      </c>
    </row>
    <row r="346" spans="1:87" x14ac:dyDescent="0.25">
      <c r="A346" s="5">
        <f ca="1">IFERROR(__xludf.DUMMYFUNCTION("""COMPUTED_VALUE"""),45391.6164799652)</f>
        <v>45391.616479965203</v>
      </c>
      <c r="B346" s="1" t="str">
        <f ca="1">IFERROR(__xludf.DUMMYFUNCTION("""COMPUTED_VALUE"""),"vibhasinghal52@gmail.com")</f>
        <v>vibhasinghal52@gmail.com</v>
      </c>
      <c r="C346" s="1" t="str">
        <f ca="1">IFERROR(__xludf.DUMMYFUNCTION("""COMPUTED_VALUE"""),"Vibha Singhal ")</f>
        <v xml:space="preserve">Vibha Singhal </v>
      </c>
      <c r="D346" s="1">
        <f ca="1">IFERROR(__xludf.DUMMYFUNCTION("""COMPUTED_VALUE"""),8979025122)</f>
        <v>8979025122</v>
      </c>
      <c r="E346" s="1" t="str">
        <f ca="1">IFERROR(__xludf.DUMMYFUNCTION("""COMPUTED_VALUE"""),"Yes")</f>
        <v>Yes</v>
      </c>
      <c r="F346" s="1" t="str">
        <f ca="1">IFERROR(__xludf.DUMMYFUNCTION("""COMPUTED_VALUE"""),"हिन्दी")</f>
        <v>हिन्दी</v>
      </c>
      <c r="G346" s="1" t="str">
        <f ca="1">IFERROR(__xludf.DUMMYFUNCTION("""COMPUTED_VALUE"""),"गायत्री परिवार")</f>
        <v>गायत्री परिवार</v>
      </c>
      <c r="H346" s="1"/>
      <c r="I346" s="1"/>
      <c r="J346" s="1" t="str">
        <f ca="1">IFERROR(__xludf.DUMMYFUNCTION("""COMPUTED_VALUE"""),"प्रमुख संस्थान, प्रकाशन एवं आंदोलन")</f>
        <v>प्रमुख संस्थान, प्रकाशन एवं आंदोलन</v>
      </c>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f ca="1">IFERROR(__xludf.DUMMYFUNCTION("""COMPUTED_VALUE"""),1)</f>
        <v>1</v>
      </c>
      <c r="BX346" s="1">
        <f ca="1">IFERROR(__xludf.DUMMYFUNCTION("""COMPUTED_VALUE"""),0)</f>
        <v>0</v>
      </c>
      <c r="BY346" s="1">
        <f ca="1">IFERROR(__xludf.DUMMYFUNCTION("""COMPUTED_VALUE"""),1)</f>
        <v>1</v>
      </c>
      <c r="BZ346" s="1">
        <f ca="1">IFERROR(__xludf.DUMMYFUNCTION("""COMPUTED_VALUE"""),0)</f>
        <v>0</v>
      </c>
      <c r="CA346" s="1"/>
      <c r="CB346" s="1"/>
      <c r="CC346" s="1" t="str">
        <f ca="1">IFERROR(__xludf.DUMMYFUNCTION("""COMPUTED_VALUE"""),"तीर्थ चेतना : Rare Book")</f>
        <v>तीर्थ चेतना : Rare Book</v>
      </c>
      <c r="CD346" s="3" t="str">
        <f ca="1">IFERROR(__xludf.DUMMYFUNCTION("""COMPUTED_VALUE"""),"https://vicharkrantibooks.org/productdetail?book_name=HINP0907_TIRTH_CHETANA_xxyyyy&amp;product_id=1472")</f>
        <v>https://vicharkrantibooks.org/productdetail?book_name=HINP0907_TIRTH_CHETANA_xxyyyy&amp;product_id=1472</v>
      </c>
      <c r="CE346" s="1" t="str">
        <f ca="1">IFERROR(__xludf.DUMMYFUNCTION("""COMPUTED_VALUE"""),"Audiobook : तीर्थ चेतना : Rare Book : vibhasinghal52@gmail.com : Recorded")</f>
        <v>Audiobook : तीर्थ चेतना : Rare Book : vibhasinghal52@gmail.com : Recorded</v>
      </c>
      <c r="CF346" s="1" t="str">
        <f ca="1">IFERROR(__xludf.DUMMYFUNCTION("""COMPUTED_VALUE"""),"#N/A")</f>
        <v>#N/A</v>
      </c>
      <c r="CG346" s="1" t="str">
        <f ca="1">IFERROR(__xludf.DUMMYFUNCTION("""COMPUTED_VALUE"""),"Adarniya Vibha Singhal  ji तीर्थ चेतना : Rare Book : Allocated on 09-Apr-24 Contact Number  8979025122")</f>
        <v>Adarniya Vibha Singhal  ji तीर्थ चेतना : Rare Book : Allocated on 09-Apr-24 Contact Number  8979025122</v>
      </c>
      <c r="CH346" s="1" t="str">
        <f ca="1">IFERROR(__xludf.DUMMYFUNCTION("""COMPUTED_VALUE"""),"vibhasinghal52@gmail.com : तीर्थ चेतना : Rare Book")</f>
        <v>vibhasinghal52@gmail.com : तीर्थ चेतना : Rare Book</v>
      </c>
      <c r="CI346" s="5">
        <f ca="1">IFERROR(__xludf.DUMMYFUNCTION("""COMPUTED_VALUE"""),45391.6164799652)</f>
        <v>45391.616479965203</v>
      </c>
    </row>
    <row r="347" spans="1:87" x14ac:dyDescent="0.25">
      <c r="A347" s="5">
        <f ca="1">IFERROR(__xludf.DUMMYFUNCTION("""COMPUTED_VALUE"""),45391.476052824)</f>
        <v>45391.476052824</v>
      </c>
      <c r="B347" s="1" t="str">
        <f ca="1">IFERROR(__xludf.DUMMYFUNCTION("""COMPUTED_VALUE"""),"premlatadevi4669@gmail.com")</f>
        <v>premlatadevi4669@gmail.com</v>
      </c>
      <c r="C347" s="1" t="str">
        <f ca="1">IFERROR(__xludf.DUMMYFUNCTION("""COMPUTED_VALUE"""),"Premlata barnwal")</f>
        <v>Premlata barnwal</v>
      </c>
      <c r="D347" s="1">
        <f ca="1">IFERROR(__xludf.DUMMYFUNCTION("""COMPUTED_VALUE"""),9372282030)</f>
        <v>9372282030</v>
      </c>
      <c r="E347" s="1" t="str">
        <f ca="1">IFERROR(__xludf.DUMMYFUNCTION("""COMPUTED_VALUE"""),"Yes")</f>
        <v>Yes</v>
      </c>
      <c r="F347" s="1" t="str">
        <f ca="1">IFERROR(__xludf.DUMMYFUNCTION("""COMPUTED_VALUE"""),"हिन्दी")</f>
        <v>हिन्दी</v>
      </c>
      <c r="G347" s="1" t="str">
        <f ca="1">IFERROR(__xludf.DUMMYFUNCTION("""COMPUTED_VALUE"""),"परिवार निर्माण")</f>
        <v>परिवार निर्माण</v>
      </c>
      <c r="H347" s="1"/>
      <c r="I347" s="1"/>
      <c r="J347" s="1"/>
      <c r="K347" s="1"/>
      <c r="L347" s="1"/>
      <c r="M347" s="1" t="str">
        <f ca="1">IFERROR(__xludf.DUMMYFUNCTION("""COMPUTED_VALUE"""),"गर्भ संस्कार")</f>
        <v>गर्भ संस्कार</v>
      </c>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f ca="1">IFERROR(__xludf.DUMMYFUNCTION("""COMPUTED_VALUE"""),13)</f>
        <v>13</v>
      </c>
      <c r="BX347" s="1">
        <f ca="1">IFERROR(__xludf.DUMMYFUNCTION("""COMPUTED_VALUE"""),10)</f>
        <v>10</v>
      </c>
      <c r="BY347" s="1">
        <f ca="1">IFERROR(__xludf.DUMMYFUNCTION("""COMPUTED_VALUE"""),7)</f>
        <v>7</v>
      </c>
      <c r="BZ347" s="1">
        <f ca="1">IFERROR(__xludf.DUMMYFUNCTION("""COMPUTED_VALUE"""),2)</f>
        <v>2</v>
      </c>
      <c r="CA347" s="1"/>
      <c r="CB347" s="1"/>
      <c r="CC347" s="1" t="str">
        <f ca="1">IFERROR(__xludf.DUMMYFUNCTION("""COMPUTED_VALUE"""),"बच्चे सुसंस्कारी कैसे बनें ? : Rare Book")</f>
        <v>बच्चे सुसंस्कारी कैसे बनें ? : Rare Book</v>
      </c>
      <c r="CD347" s="3" t="str">
        <f ca="1">IFERROR(__xludf.DUMMYFUNCTION("""COMPUTED_VALUE"""),"https://vicharkrantibooks.org/productdetail?book_name=HINP0119_BACHCHE_SUSANSKARI_KAISE_BANEN_xx1982&amp;product_id=684")</f>
        <v>https://vicharkrantibooks.org/productdetail?book_name=HINP0119_BACHCHE_SUSANSKARI_KAISE_BANEN_xx1982&amp;product_id=684</v>
      </c>
      <c r="CE347" s="1" t="str">
        <f ca="1">IFERROR(__xludf.DUMMYFUNCTION("""COMPUTED_VALUE"""),"Audiobook : बच्चे सुसंस्कारी कैसे बनें ? : Rare Book : premlatadevi4669@gmail.com : Recorded")</f>
        <v>Audiobook : बच्चे सुसंस्कारी कैसे बनें ? : Rare Book : premlatadevi4669@gmail.com : Recorded</v>
      </c>
      <c r="CF347" s="1" t="str">
        <f ca="1">IFERROR(__xludf.DUMMYFUNCTION("""COMPUTED_VALUE"""),"Audiobook : बच्चे सुसंस्कारी कैसे बनें ? : Rare Book : premlatadevi4669@gmail.com : Recorded")</f>
        <v>Audiobook : बच्चे सुसंस्कारी कैसे बनें ? : Rare Book : premlatadevi4669@gmail.com : Recorded</v>
      </c>
      <c r="CG347" s="1" t="str">
        <f ca="1">IFERROR(__xludf.DUMMYFUNCTION("""COMPUTED_VALUE"""),"Adarniya Premlata barnwal ji बच्चे सुसंस्कारी कैसे बनें ? : Rare Book : Allocated on 09-Apr-24 Contact Number  9372282030")</f>
        <v>Adarniya Premlata barnwal ji बच्चे सुसंस्कारी कैसे बनें ? : Rare Book : Allocated on 09-Apr-24 Contact Number  9372282030</v>
      </c>
      <c r="CH347" s="1" t="str">
        <f ca="1">IFERROR(__xludf.DUMMYFUNCTION("""COMPUTED_VALUE"""),"premlatadevi4669@gmail.com : बच्चे सुसंस्कारी कैसे बनें ? : Rare Book")</f>
        <v>premlatadevi4669@gmail.com : बच्चे सुसंस्कारी कैसे बनें ? : Rare Book</v>
      </c>
      <c r="CI347" s="5">
        <f ca="1">IFERROR(__xludf.DUMMYFUNCTION("""COMPUTED_VALUE"""),45391.476052824)</f>
        <v>45391.476052824</v>
      </c>
    </row>
    <row r="348" spans="1:87" x14ac:dyDescent="0.25">
      <c r="A348" s="5">
        <f ca="1">IFERROR(__xludf.DUMMYFUNCTION("""COMPUTED_VALUE"""),45391.3337662037)</f>
        <v>45391.333766203701</v>
      </c>
      <c r="B348" s="1" t="str">
        <f ca="1">IFERROR(__xludf.DUMMYFUNCTION("""COMPUTED_VALUE"""),"dmalviya23@gmail.com")</f>
        <v>dmalviya23@gmail.com</v>
      </c>
      <c r="C348" s="1" t="str">
        <f ca="1">IFERROR(__xludf.DUMMYFUNCTION("""COMPUTED_VALUE"""),"Dinesh Malviya ")</f>
        <v xml:space="preserve">Dinesh Malviya </v>
      </c>
      <c r="D348" s="1">
        <f ca="1">IFERROR(__xludf.DUMMYFUNCTION("""COMPUTED_VALUE"""),9321024445)</f>
        <v>9321024445</v>
      </c>
      <c r="E348" s="1" t="str">
        <f ca="1">IFERROR(__xludf.DUMMYFUNCTION("""COMPUTED_VALUE"""),"Yes")</f>
        <v>Yes</v>
      </c>
      <c r="F348" s="1" t="str">
        <f ca="1">IFERROR(__xludf.DUMMYFUNCTION("""COMPUTED_VALUE"""),"English")</f>
        <v>English</v>
      </c>
      <c r="G348" s="1" t="str">
        <f ca="1">IFERROR(__xludf.DUMMYFUNCTION("""COMPUTED_VALUE"""),"युग द्रष्टा पं. श्रीराम शर्मा आचार्यजी")</f>
        <v>युग द्रष्टा पं. श्रीराम शर्मा आचार्यजी</v>
      </c>
      <c r="H348" s="1"/>
      <c r="I348" s="1"/>
      <c r="J348" s="1"/>
      <c r="K348" s="1"/>
      <c r="L348" s="1"/>
      <c r="M348" s="1"/>
      <c r="N348" s="1"/>
      <c r="O348" s="1"/>
      <c r="P348" s="1" t="str">
        <f ca="1">IFERROR(__xludf.DUMMYFUNCTION("""COMPUTED_VALUE"""),"युगॠषी का जीवनदर्शन")</f>
        <v>युगॠषी का जीवनदर्शन</v>
      </c>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f ca="1">IFERROR(__xludf.DUMMYFUNCTION("""COMPUTED_VALUE"""),1)</f>
        <v>1</v>
      </c>
      <c r="BX348" s="1">
        <f ca="1">IFERROR(__xludf.DUMMYFUNCTION("""COMPUTED_VALUE"""),1)</f>
        <v>1</v>
      </c>
      <c r="BY348" s="1">
        <f ca="1">IFERROR(__xludf.DUMMYFUNCTION("""COMPUTED_VALUE"""),0)</f>
        <v>0</v>
      </c>
      <c r="BZ348" s="1">
        <f ca="1">IFERROR(__xludf.DUMMYFUNCTION("""COMPUTED_VALUE"""),0)</f>
        <v>0</v>
      </c>
      <c r="CA348" s="1"/>
      <c r="CB348" s="1"/>
      <c r="CC348" s="1" t="str">
        <f ca="1">IFERROR(__xludf.DUMMYFUNCTION("""COMPUTED_VALUE"""),"In The Angelic Light Of Rishi Thoughts 5 : EP_70_5")</f>
        <v>In The Angelic Light Of Rishi Thoughts 5 : EP_70_5</v>
      </c>
      <c r="CD348" s="3" t="str">
        <f ca="1">IFERROR(__xludf.DUMMYFUNCTION("""COMPUTED_VALUE"""),"https://vicharkrantibooks.org/productdetail?book_name=ENGP0716_IN_THE_ANGELIC_LIGHT_OF_RISHI_THOUGHTS_5_xxyyyy&amp;product_id=3464")</f>
        <v>https://vicharkrantibooks.org/productdetail?book_name=ENGP0716_IN_THE_ANGELIC_LIGHT_OF_RISHI_THOUGHTS_5_xxyyyy&amp;product_id=3464</v>
      </c>
      <c r="CE348" s="1" t="str">
        <f ca="1">IFERROR(__xludf.DUMMYFUNCTION("""COMPUTED_VALUE"""),"Audiobook : In The Angelic Light Of Rishi Thoughts 5 : EP_70_5 : dmalviya23@gmail.com : Recorded")</f>
        <v>Audiobook : In The Angelic Light Of Rishi Thoughts 5 : EP_70_5 : dmalviya23@gmail.com : Recorded</v>
      </c>
      <c r="CF348" s="1" t="str">
        <f ca="1">IFERROR(__xludf.DUMMYFUNCTION("""COMPUTED_VALUE"""),"Audiobook : In The Angelic Light Of Rishi Thoughts 5 : EP_70_5 : dmalviya23@gmail.com : Recorded")</f>
        <v>Audiobook : In The Angelic Light Of Rishi Thoughts 5 : EP_70_5 : dmalviya23@gmail.com : Recorded</v>
      </c>
      <c r="CG348" s="1" t="str">
        <f ca="1">IFERROR(__xludf.DUMMYFUNCTION("""COMPUTED_VALUE"""),"Adarniya Dinesh Malviya  ji In The Angelic Light Of Rishi Thoughts 5 : EP_70_5 : Allocated on 09-Apr-24 Contact Number  9321024445")</f>
        <v>Adarniya Dinesh Malviya  ji In The Angelic Light Of Rishi Thoughts 5 : EP_70_5 : Allocated on 09-Apr-24 Contact Number  9321024445</v>
      </c>
      <c r="CH348" s="1" t="str">
        <f ca="1">IFERROR(__xludf.DUMMYFUNCTION("""COMPUTED_VALUE"""),"dmalviya23@gmail.com : In The Angelic Light Of Rishi Thoughts 5 : EP_70_5")</f>
        <v>dmalviya23@gmail.com : In The Angelic Light Of Rishi Thoughts 5 : EP_70_5</v>
      </c>
      <c r="CI348" s="5">
        <f ca="1">IFERROR(__xludf.DUMMYFUNCTION("""COMPUTED_VALUE"""),45391.3337662037)</f>
        <v>45391.333766203701</v>
      </c>
    </row>
    <row r="349" spans="1:87" x14ac:dyDescent="0.25">
      <c r="A349" s="5">
        <f ca="1">IFERROR(__xludf.DUMMYFUNCTION("""COMPUTED_VALUE"""),45390.7935342476)</f>
        <v>45390.793534247598</v>
      </c>
      <c r="B349" s="1" t="str">
        <f ca="1">IFERROR(__xludf.DUMMYFUNCTION("""COMPUTED_VALUE"""),"kalagpatel1959@gmail.com")</f>
        <v>kalagpatel1959@gmail.com</v>
      </c>
      <c r="C349" s="1" t="str">
        <f ca="1">IFERROR(__xludf.DUMMYFUNCTION("""COMPUTED_VALUE"""),"Kala Patel ")</f>
        <v xml:space="preserve">Kala Patel </v>
      </c>
      <c r="D349" s="1">
        <f ca="1">IFERROR(__xludf.DUMMYFUNCTION("""COMPUTED_VALUE"""),9016250929)</f>
        <v>9016250929</v>
      </c>
      <c r="E349" s="1" t="str">
        <f ca="1">IFERROR(__xludf.DUMMYFUNCTION("""COMPUTED_VALUE"""),"Yes")</f>
        <v>Yes</v>
      </c>
      <c r="F349" s="1" t="str">
        <f ca="1">IFERROR(__xludf.DUMMYFUNCTION("""COMPUTED_VALUE"""),"गुजराती")</f>
        <v>गुजराती</v>
      </c>
      <c r="G349" s="1" t="str">
        <f ca="1">IFERROR(__xludf.DUMMYFUNCTION("""COMPUTED_VALUE"""),"व्यक्ति निर्माण, युवा/विद्यार्थी एवं शिक्षक")</f>
        <v>व्यक्ति निर्माण, युवा/विद्यार्थी एवं शिक्षक</v>
      </c>
      <c r="H349" s="1"/>
      <c r="I349" s="1"/>
      <c r="J349" s="1"/>
      <c r="K349" s="1"/>
      <c r="L349" s="1"/>
      <c r="M349" s="1"/>
      <c r="N349" s="1"/>
      <c r="O349" s="1"/>
      <c r="P349" s="1"/>
      <c r="Q349" s="1"/>
      <c r="R349" s="1"/>
      <c r="S349" s="1"/>
      <c r="T349" s="1" t="str">
        <f ca="1">IFERROR(__xludf.DUMMYFUNCTION("""COMPUTED_VALUE"""),"व्यक्तित्व परिष्कार")</f>
        <v>व्यक्तित्व परिष्कार</v>
      </c>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f ca="1">IFERROR(__xludf.DUMMYFUNCTION("""COMPUTED_VALUE"""),34)</f>
        <v>34</v>
      </c>
      <c r="BX349" s="1">
        <f ca="1">IFERROR(__xludf.DUMMYFUNCTION("""COMPUTED_VALUE"""),34)</f>
        <v>34</v>
      </c>
      <c r="BY349" s="1">
        <f ca="1">IFERROR(__xludf.DUMMYFUNCTION("""COMPUTED_VALUE"""),4)</f>
        <v>4</v>
      </c>
      <c r="BZ349" s="1">
        <f ca="1">IFERROR(__xludf.DUMMYFUNCTION("""COMPUTED_VALUE"""),11)</f>
        <v>11</v>
      </c>
      <c r="CA349" s="1"/>
      <c r="CB349" s="1"/>
      <c r="CC349" s="1" t="str">
        <f ca="1">IFERROR(__xludf.DUMMYFUNCTION("""COMPUTED_VALUE"""),"વ્યક્તિત્વવાન બનો, પોતાને ઊંચે ઉઠાવો : G_JS_12")</f>
        <v>વ્યક્તિત્વવાન બનો, પોતાને ઊંચે ઉઠાવો : G_JS_12</v>
      </c>
      <c r="CD349" s="3" t="str">
        <f ca="1">IFERROR(__xludf.DUMMYFUNCTION("""COMPUTED_VALUE"""),"https://vicharkrantibooks.org/productdetail?book_name=GUJP0885_VYAKTITVAVAN_BANO_POTANE_UNCHE_UTHAVO_XXYYYY&amp;product_id=3737")</f>
        <v>https://vicharkrantibooks.org/productdetail?book_name=GUJP0885_VYAKTITVAVAN_BANO_POTANE_UNCHE_UTHAVO_XXYYYY&amp;product_id=3737</v>
      </c>
      <c r="CE349" s="1" t="str">
        <f ca="1">IFERROR(__xludf.DUMMYFUNCTION("""COMPUTED_VALUE"""),"Audiobook : વ્યક્તિત્વવાન બનો, પોતાને ઊંચે ઉઠાવો : G_JS_12 : kalagpatel1959@gmail.com : Recorded")</f>
        <v>Audiobook : વ્યક્તિત્વવાન બનો, પોતાને ઊંચે ઉઠાવો : G_JS_12 : kalagpatel1959@gmail.com : Recorded</v>
      </c>
      <c r="CF349" s="1" t="str">
        <f ca="1">IFERROR(__xludf.DUMMYFUNCTION("""COMPUTED_VALUE"""),"Audiobook : વ્યક્તિત્વવાન બનો, પોતાને ઊંચે ઉઠાવો : G_JS_12 : kalagpatel1959@gmail.com : Recorded")</f>
        <v>Audiobook : વ્યક્તિત્વવાન બનો, પોતાને ઊંચે ઉઠાવો : G_JS_12 : kalagpatel1959@gmail.com : Recorded</v>
      </c>
      <c r="CG349" s="1" t="str">
        <f ca="1">IFERROR(__xludf.DUMMYFUNCTION("""COMPUTED_VALUE"""),"Adarniya Kala Patel  ji વ્યક્તિત્વવાન બનો, પોતાને ઊંચે ઉઠાવો : G_JS_12 : Allocated on 08-Apr-24 Contact Number  9016250929")</f>
        <v>Adarniya Kala Patel  ji વ્યક્તિત્વવાન બનો, પોતાને ઊંચે ઉઠાવો : G_JS_12 : Allocated on 08-Apr-24 Contact Number  9016250929</v>
      </c>
      <c r="CH349" s="1" t="str">
        <f ca="1">IFERROR(__xludf.DUMMYFUNCTION("""COMPUTED_VALUE"""),"kalagpatel1959@gmail.com : વ્યક્તિત્વવાન બનો, પોતાને ઊંચે ઉઠાવો : G_JS_12")</f>
        <v>kalagpatel1959@gmail.com : વ્યક્તિત્વવાન બનો, પોતાને ઊંચે ઉઠાવો : G_JS_12</v>
      </c>
      <c r="CI349" s="5">
        <f ca="1">IFERROR(__xludf.DUMMYFUNCTION("""COMPUTED_VALUE"""),45390.7935342476)</f>
        <v>45390.793534247598</v>
      </c>
    </row>
    <row r="350" spans="1:87" x14ac:dyDescent="0.25">
      <c r="A350" s="5">
        <f ca="1">IFERROR(__xludf.DUMMYFUNCTION("""COMPUTED_VALUE"""),45390.787198912)</f>
        <v>45390.787198912003</v>
      </c>
      <c r="B350" s="1" t="str">
        <f ca="1">IFERROR(__xludf.DUMMYFUNCTION("""COMPUTED_VALUE"""),"tushar.pandit7686@gmail.com")</f>
        <v>tushar.pandit7686@gmail.com</v>
      </c>
      <c r="C350" s="1" t="str">
        <f ca="1">IFERROR(__xludf.DUMMYFUNCTION("""COMPUTED_VALUE"""),"Hetal")</f>
        <v>Hetal</v>
      </c>
      <c r="D350" s="1">
        <f ca="1">IFERROR(__xludf.DUMMYFUNCTION("""COMPUTED_VALUE"""),7874048920)</f>
        <v>7874048920</v>
      </c>
      <c r="E350" s="1" t="str">
        <f ca="1">IFERROR(__xludf.DUMMYFUNCTION("""COMPUTED_VALUE"""),"Yes")</f>
        <v>Yes</v>
      </c>
      <c r="F350" s="1" t="str">
        <f ca="1">IFERROR(__xludf.DUMMYFUNCTION("""COMPUTED_VALUE"""),"गुजराती")</f>
        <v>गुजराती</v>
      </c>
      <c r="G350" s="1" t="str">
        <f ca="1">IFERROR(__xludf.DUMMYFUNCTION("""COMPUTED_VALUE"""),"अध्यात्म, धर्म एवं दर्शन")</f>
        <v>अध्यात्म, धर्म एवं दर्शन</v>
      </c>
      <c r="H350" s="1" t="str">
        <f ca="1">IFERROR(__xludf.DUMMYFUNCTION("""COMPUTED_VALUE"""),"अध्यात्म, धर्म एवं आस्तिकता")</f>
        <v>अध्यात्म, धर्म एवं आस्तिकता</v>
      </c>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f ca="1">IFERROR(__xludf.DUMMYFUNCTION("""COMPUTED_VALUE"""),13)</f>
        <v>13</v>
      </c>
      <c r="BX350" s="1">
        <f ca="1">IFERROR(__xludf.DUMMYFUNCTION("""COMPUTED_VALUE"""),13)</f>
        <v>13</v>
      </c>
      <c r="BY350" s="1">
        <f ca="1">IFERROR(__xludf.DUMMYFUNCTION("""COMPUTED_VALUE"""),3)</f>
        <v>3</v>
      </c>
      <c r="BZ350" s="1">
        <f ca="1">IFERROR(__xludf.DUMMYFUNCTION("""COMPUTED_VALUE"""),0)</f>
        <v>0</v>
      </c>
      <c r="CA350" s="1"/>
      <c r="CB350" s="1"/>
      <c r="CC350" s="1" t="str">
        <f ca="1">IFERROR(__xludf.DUMMYFUNCTION("""COMPUTED_VALUE"""),"યુગ દેવતાની અપીલ અસાંભળી ન કરશો : G_JS_14")</f>
        <v>યુગ દેવતાની અપીલ અસાંભળી ન કરશો : G_JS_14</v>
      </c>
      <c r="CD350" s="3" t="str">
        <f ca="1">IFERROR(__xludf.DUMMYFUNCTION("""COMPUTED_VALUE"""),"https://vicharkrantibooks.org/productdetail?book_name=GUJP1034_YUG_DEVATANI_APIL_ASAMBHALI_NA_KARASHO_XXYYYY&amp;product_id=3739")</f>
        <v>https://vicharkrantibooks.org/productdetail?book_name=GUJP1034_YUG_DEVATANI_APIL_ASAMBHALI_NA_KARASHO_XXYYYY&amp;product_id=3739</v>
      </c>
      <c r="CE350" s="1" t="str">
        <f ca="1">IFERROR(__xludf.DUMMYFUNCTION("""COMPUTED_VALUE"""),"Audiobook : યુગ દેવતાની અપીલ અસાંભળી ન કરશો : G_JS_14 : tushar.pandit7686@gmail.com : Recorded")</f>
        <v>Audiobook : યુગ દેવતાની અપીલ અસાંભળી ન કરશો : G_JS_14 : tushar.pandit7686@gmail.com : Recorded</v>
      </c>
      <c r="CF350" s="1" t="str">
        <f ca="1">IFERROR(__xludf.DUMMYFUNCTION("""COMPUTED_VALUE"""),"Audiobook : યુગ દેવતાની અપીલ અસાંભળી ન કરશો : G_JS_14 : tushar.pandit7686@gmail.com : Recorded")</f>
        <v>Audiobook : યુગ દેવતાની અપીલ અસાંભળી ન કરશો : G_JS_14 : tushar.pandit7686@gmail.com : Recorded</v>
      </c>
      <c r="CG350" s="1" t="str">
        <f ca="1">IFERROR(__xludf.DUMMYFUNCTION("""COMPUTED_VALUE"""),"Adarniya Hetal ji યુગ દેવતાની અપીલ અસાંભળી ન કરશો : G_JS_14 : Allocated on 08-Apr-24 Contact Number  7874048920")</f>
        <v>Adarniya Hetal ji યુગ દેવતાની અપીલ અસાંભળી ન કરશો : G_JS_14 : Allocated on 08-Apr-24 Contact Number  7874048920</v>
      </c>
      <c r="CH350" s="1" t="str">
        <f ca="1">IFERROR(__xludf.DUMMYFUNCTION("""COMPUTED_VALUE"""),"tushar.pandit7686@gmail.com : યુગ દેવતાની અપીલ અસાંભળી ન કરશો : G_JS_14")</f>
        <v>tushar.pandit7686@gmail.com : યુગ દેવતાની અપીલ અસાંભળી ન કરશો : G_JS_14</v>
      </c>
      <c r="CI350" s="5">
        <f ca="1">IFERROR(__xludf.DUMMYFUNCTION("""COMPUTED_VALUE"""),45390.787198912)</f>
        <v>45390.787198912003</v>
      </c>
    </row>
    <row r="351" spans="1:87" x14ac:dyDescent="0.25">
      <c r="A351" s="5">
        <f ca="1">IFERROR(__xludf.DUMMYFUNCTION("""COMPUTED_VALUE"""),45390.703764618)</f>
        <v>45390.703764618003</v>
      </c>
      <c r="B351" s="1" t="str">
        <f ca="1">IFERROR(__xludf.DUMMYFUNCTION("""COMPUTED_VALUE"""),"kulshrestha.vado@gmail.com")</f>
        <v>kulshrestha.vado@gmail.com</v>
      </c>
      <c r="C351" s="1" t="str">
        <f ca="1">IFERROR(__xludf.DUMMYFUNCTION("""COMPUTED_VALUE"""),"Ashok Kulshrestha ")</f>
        <v xml:space="preserve">Ashok Kulshrestha </v>
      </c>
      <c r="D351" s="1">
        <f ca="1">IFERROR(__xludf.DUMMYFUNCTION("""COMPUTED_VALUE"""),9974096757)</f>
        <v>9974096757</v>
      </c>
      <c r="E351" s="1" t="str">
        <f ca="1">IFERROR(__xludf.DUMMYFUNCTION("""COMPUTED_VALUE"""),"No")</f>
        <v>No</v>
      </c>
      <c r="F351" s="1" t="str">
        <f ca="1">IFERROR(__xludf.DUMMYFUNCTION("""COMPUTED_VALUE"""),"हिन्दी")</f>
        <v>हिन्दी</v>
      </c>
      <c r="G351" s="1" t="str">
        <f ca="1">IFERROR(__xludf.DUMMYFUNCTION("""COMPUTED_VALUE"""),"परिवार निर्माण")</f>
        <v>परिवार निर्माण</v>
      </c>
      <c r="H351" s="1"/>
      <c r="I351" s="1"/>
      <c r="J351" s="1"/>
      <c r="K351" s="1"/>
      <c r="L351" s="1"/>
      <c r="M351" s="1" t="str">
        <f ca="1">IFERROR(__xludf.DUMMYFUNCTION("""COMPUTED_VALUE"""),"परिवार")</f>
        <v>परिवार</v>
      </c>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f ca="1">IFERROR(__xludf.DUMMYFUNCTION("""COMPUTED_VALUE"""),1)</f>
        <v>1</v>
      </c>
      <c r="BX351" s="1">
        <f ca="1">IFERROR(__xludf.DUMMYFUNCTION("""COMPUTED_VALUE"""),0)</f>
        <v>0</v>
      </c>
      <c r="BY351" s="1">
        <f ca="1">IFERROR(__xludf.DUMMYFUNCTION("""COMPUTED_VALUE"""),1)</f>
        <v>1</v>
      </c>
      <c r="BZ351" s="1">
        <f ca="1">IFERROR(__xludf.DUMMYFUNCTION("""COMPUTED_VALUE"""),0)</f>
        <v>0</v>
      </c>
      <c r="CA351" s="1"/>
      <c r="CB351" s="1"/>
      <c r="CC351" s="1" t="str">
        <f ca="1">IFERROR(__xludf.DUMMYFUNCTION("""COMPUTED_VALUE"""),"पिता पुत्र के सम्बन्ध सौहार्दपूर्ण हों : Rare Book")</f>
        <v>पिता पुत्र के सम्बन्ध सौहार्दपूर्ण हों : Rare Book</v>
      </c>
      <c r="CD351" s="3" t="str">
        <f ca="1">IFERROR(__xludf.DUMMYFUNCTION("""COMPUTED_VALUE"""),"https://vicharkrantibooks.org/productdetail?book_name=HINP0647_PITA_PUTR_KE_SAMBANDH_SAUHARDPURN_HON_xx1981&amp;product_id=1212")</f>
        <v>https://vicharkrantibooks.org/productdetail?book_name=HINP0647_PITA_PUTR_KE_SAMBANDH_SAUHARDPURN_HON_xx1981&amp;product_id=1212</v>
      </c>
      <c r="CE351" s="1" t="str">
        <f ca="1">IFERROR(__xludf.DUMMYFUNCTION("""COMPUTED_VALUE"""),"Audiobook : पिता पुत्र के सम्बन्ध सौहार्दपूर्ण हों : Rare Book : kulshrestha.vado@gmail.com : Recorded")</f>
        <v>Audiobook : पिता पुत्र के सम्बन्ध सौहार्दपूर्ण हों : Rare Book : kulshrestha.vado@gmail.com : Recorded</v>
      </c>
      <c r="CF351" s="1" t="str">
        <f ca="1">IFERROR(__xludf.DUMMYFUNCTION("""COMPUTED_VALUE"""),"#N/A")</f>
        <v>#N/A</v>
      </c>
      <c r="CG351" s="1" t="str">
        <f ca="1">IFERROR(__xludf.DUMMYFUNCTION("""COMPUTED_VALUE"""),"Adarniya Ashok Kulshrestha  ji पिता पुत्र के सम्बन्ध सौहार्दपूर्ण हों : Rare Book : Allocated on 08-Apr-24 Contact Number  9974096757")</f>
        <v>Adarniya Ashok Kulshrestha  ji पिता पुत्र के सम्बन्ध सौहार्दपूर्ण हों : Rare Book : Allocated on 08-Apr-24 Contact Number  9974096757</v>
      </c>
      <c r="CH351" s="1" t="str">
        <f ca="1">IFERROR(__xludf.DUMMYFUNCTION("""COMPUTED_VALUE"""),"kulshrestha.vado@gmail.com : पिता पुत्र के सम्बन्ध सौहार्दपूर्ण हों : Rare Book")</f>
        <v>kulshrestha.vado@gmail.com : पिता पुत्र के सम्बन्ध सौहार्दपूर्ण हों : Rare Book</v>
      </c>
      <c r="CI351" s="5">
        <f ca="1">IFERROR(__xludf.DUMMYFUNCTION("""COMPUTED_VALUE"""),45390.703764618)</f>
        <v>45390.703764618003</v>
      </c>
    </row>
    <row r="352" spans="1:87" x14ac:dyDescent="0.25">
      <c r="A352" s="5">
        <f ca="1">IFERROR(__xludf.DUMMYFUNCTION("""COMPUTED_VALUE"""),45390.689071412)</f>
        <v>45390.689071412002</v>
      </c>
      <c r="B352" s="1" t="str">
        <f ca="1">IFERROR(__xludf.DUMMYFUNCTION("""COMPUTED_VALUE"""),"keyukapadia@gmail.com")</f>
        <v>keyukapadia@gmail.com</v>
      </c>
      <c r="C352" s="1" t="str">
        <f ca="1">IFERROR(__xludf.DUMMYFUNCTION("""COMPUTED_VALUE"""),"Keyuri Bhagat ")</f>
        <v xml:space="preserve">Keyuri Bhagat </v>
      </c>
      <c r="D352" s="1">
        <f ca="1">IFERROR(__xludf.DUMMYFUNCTION("""COMPUTED_VALUE"""),9665212432)</f>
        <v>9665212432</v>
      </c>
      <c r="E352" s="1" t="str">
        <f ca="1">IFERROR(__xludf.DUMMYFUNCTION("""COMPUTED_VALUE"""),"No")</f>
        <v>No</v>
      </c>
      <c r="F352" s="1" t="str">
        <f ca="1">IFERROR(__xludf.DUMMYFUNCTION("""COMPUTED_VALUE"""),"हिन्दी or English")</f>
        <v>हिन्दी or English</v>
      </c>
      <c r="G352" s="1" t="str">
        <f ca="1">IFERROR(__xludf.DUMMYFUNCTION("""COMPUTED_VALUE"""),"English")</f>
        <v>English</v>
      </c>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f ca="1">IFERROR(__xludf.DUMMYFUNCTION("""COMPUTED_VALUE"""),2)</f>
        <v>2</v>
      </c>
      <c r="BX352" s="1">
        <f ca="1">IFERROR(__xludf.DUMMYFUNCTION("""COMPUTED_VALUE"""),1)</f>
        <v>1</v>
      </c>
      <c r="BY352" s="1">
        <f ca="1">IFERROR(__xludf.DUMMYFUNCTION("""COMPUTED_VALUE"""),1)</f>
        <v>1</v>
      </c>
      <c r="BZ352" s="1">
        <f ca="1">IFERROR(__xludf.DUMMYFUNCTION("""COMPUTED_VALUE"""),0)</f>
        <v>0</v>
      </c>
      <c r="CA352" s="1"/>
      <c r="CB352" s="1"/>
      <c r="CC352" s="1" t="str">
        <f ca="1">IFERROR(__xludf.DUMMYFUNCTION("""COMPUTED_VALUE"""),"Steer The Life For Definite Rewards : EP_128")</f>
        <v>Steer The Life For Definite Rewards : EP_128</v>
      </c>
      <c r="CD352" s="3" t="str">
        <f ca="1">IFERROR(__xludf.DUMMYFUNCTION("""COMPUTED_VALUE"""),"https://vicharkrantibooks.org/productdetail?book_name=ENGP0605_STEER_THE_LIFE_FOR_DEFINITE_REWARDS_xxyyyy&amp;product_id=3513")</f>
        <v>https://vicharkrantibooks.org/productdetail?book_name=ENGP0605_STEER_THE_LIFE_FOR_DEFINITE_REWARDS_xxyyyy&amp;product_id=3513</v>
      </c>
      <c r="CE352" s="1" t="str">
        <f ca="1">IFERROR(__xludf.DUMMYFUNCTION("""COMPUTED_VALUE"""),"Audiobook : Steer The Life For Definite Rewards : EP_128 : keyukapadia@gmail.com : Recorded")</f>
        <v>Audiobook : Steer The Life For Definite Rewards : EP_128 : keyukapadia@gmail.com : Recorded</v>
      </c>
      <c r="CF352" s="1" t="str">
        <f ca="1">IFERROR(__xludf.DUMMYFUNCTION("""COMPUTED_VALUE"""),"Audiobook : Steer The Life For Definite Rewards : EP_128 : keyukapadia@gmail.com : Recorded")</f>
        <v>Audiobook : Steer The Life For Definite Rewards : EP_128 : keyukapadia@gmail.com : Recorded</v>
      </c>
      <c r="CG352" s="1" t="str">
        <f ca="1">IFERROR(__xludf.DUMMYFUNCTION("""COMPUTED_VALUE"""),"Adarniya Keyuri Bhagat  ji Steer The Life For Definite Rewards : EP_128 : Allocated on 08-Apr-24 Contact Number  9665212432")</f>
        <v>Adarniya Keyuri Bhagat  ji Steer The Life For Definite Rewards : EP_128 : Allocated on 08-Apr-24 Contact Number  9665212432</v>
      </c>
      <c r="CH352" s="1" t="str">
        <f ca="1">IFERROR(__xludf.DUMMYFUNCTION("""COMPUTED_VALUE"""),"keyukapadia@gmail.com : Steer The Life For Definite Rewards : EP_128")</f>
        <v>keyukapadia@gmail.com : Steer The Life For Definite Rewards : EP_128</v>
      </c>
      <c r="CI352" s="5">
        <f ca="1">IFERROR(__xludf.DUMMYFUNCTION("""COMPUTED_VALUE"""),45390.689071412)</f>
        <v>45390.689071412002</v>
      </c>
    </row>
    <row r="353" spans="1:87" x14ac:dyDescent="0.25">
      <c r="A353" s="5">
        <f ca="1">IFERROR(__xludf.DUMMYFUNCTION("""COMPUTED_VALUE"""),45390.5649810185)</f>
        <v>45390.564981018499</v>
      </c>
      <c r="B353" s="1" t="str">
        <f ca="1">IFERROR(__xludf.DUMMYFUNCTION("""COMPUTED_VALUE"""),"sharma91261@gmail.com")</f>
        <v>sharma91261@gmail.com</v>
      </c>
      <c r="C353" s="1" t="str">
        <f ca="1">IFERROR(__xludf.DUMMYFUNCTION("""COMPUTED_VALUE"""),"Sunita satish sharma ")</f>
        <v xml:space="preserve">Sunita satish sharma </v>
      </c>
      <c r="D353" s="1">
        <f ca="1">IFERROR(__xludf.DUMMYFUNCTION("""COMPUTED_VALUE"""),9324252890)</f>
        <v>9324252890</v>
      </c>
      <c r="E353" s="1" t="str">
        <f ca="1">IFERROR(__xludf.DUMMYFUNCTION("""COMPUTED_VALUE"""),"Yes")</f>
        <v>Yes</v>
      </c>
      <c r="F353" s="1" t="str">
        <f ca="1">IFERROR(__xludf.DUMMYFUNCTION("""COMPUTED_VALUE"""),"हिन्दी")</f>
        <v>हिन्दी</v>
      </c>
      <c r="G353" s="1" t="str">
        <f ca="1">IFERROR(__xludf.DUMMYFUNCTION("""COMPUTED_VALUE"""),"परिवार निर्माण")</f>
        <v>परिवार निर्माण</v>
      </c>
      <c r="H353" s="1"/>
      <c r="I353" s="1"/>
      <c r="J353" s="1"/>
      <c r="K353" s="1"/>
      <c r="L353" s="1"/>
      <c r="M353" s="1" t="str">
        <f ca="1">IFERROR(__xludf.DUMMYFUNCTION("""COMPUTED_VALUE"""),"बाल मनोविज्ञान")</f>
        <v>बाल मनोविज्ञान</v>
      </c>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f ca="1">IFERROR(__xludf.DUMMYFUNCTION("""COMPUTED_VALUE"""),2)</f>
        <v>2</v>
      </c>
      <c r="BX353" s="1">
        <f ca="1">IFERROR(__xludf.DUMMYFUNCTION("""COMPUTED_VALUE"""),0)</f>
        <v>0</v>
      </c>
      <c r="BY353" s="1">
        <f ca="1">IFERROR(__xludf.DUMMYFUNCTION("""COMPUTED_VALUE"""),2)</f>
        <v>2</v>
      </c>
      <c r="BZ353" s="1">
        <f ca="1">IFERROR(__xludf.DUMMYFUNCTION("""COMPUTED_VALUE"""),0)</f>
        <v>0</v>
      </c>
      <c r="CA353" s="1"/>
      <c r="CB353" s="1"/>
      <c r="CC353" s="1" t="str">
        <f ca="1">IFERROR(__xludf.DUMMYFUNCTION("""COMPUTED_VALUE"""),"पारिवारिक प्रगति में हर सदस्य का योगदान : Rare Book")</f>
        <v>पारिवारिक प्रगति में हर सदस्य का योगदान : Rare Book</v>
      </c>
      <c r="CD353" s="3" t="str">
        <f ca="1">IFERROR(__xludf.DUMMYFUNCTION("""COMPUTED_VALUE"""),"https://vicharkrantibooks.org/productdetail?book_name=HINP0638_PARIWARIK_PRAGATI_MEIN_HAR_SADASY_KA_YOGADAN_xx1982&amp;product_id=1203")</f>
        <v>https://vicharkrantibooks.org/productdetail?book_name=HINP0638_PARIWARIK_PRAGATI_MEIN_HAR_SADASY_KA_YOGADAN_xx1982&amp;product_id=1203</v>
      </c>
      <c r="CE353" s="1" t="str">
        <f ca="1">IFERROR(__xludf.DUMMYFUNCTION("""COMPUTED_VALUE"""),"Audiobook : पारिवारिक प्रगति में हर सदस्य का योगदान : Rare Book : sharma91261@gmail.com : Recorded")</f>
        <v>Audiobook : पारिवारिक प्रगति में हर सदस्य का योगदान : Rare Book : sharma91261@gmail.com : Recorded</v>
      </c>
      <c r="CF353" s="1" t="str">
        <f ca="1">IFERROR(__xludf.DUMMYFUNCTION("""COMPUTED_VALUE"""),"#N/A")</f>
        <v>#N/A</v>
      </c>
      <c r="CG353" s="1" t="str">
        <f ca="1">IFERROR(__xludf.DUMMYFUNCTION("""COMPUTED_VALUE"""),"Adarniya Sunita satish sharma  ji पारिवारिक प्रगति में हर सदस्य का योगदान : Rare Book : Allocated on 08-Apr-24 Contact Number  9324252890")</f>
        <v>Adarniya Sunita satish sharma  ji पारिवारिक प्रगति में हर सदस्य का योगदान : Rare Book : Allocated on 08-Apr-24 Contact Number  9324252890</v>
      </c>
      <c r="CH353" s="1" t="str">
        <f ca="1">IFERROR(__xludf.DUMMYFUNCTION("""COMPUTED_VALUE"""),"sharma91261@gmail.com : पारिवारिक प्रगति में हर सदस्य का योगदान : Rare Book")</f>
        <v>sharma91261@gmail.com : पारिवारिक प्रगति में हर सदस्य का योगदान : Rare Book</v>
      </c>
      <c r="CI353" s="5">
        <f ca="1">IFERROR(__xludf.DUMMYFUNCTION("""COMPUTED_VALUE"""),45390.5649810185)</f>
        <v>45390.564981018499</v>
      </c>
    </row>
    <row r="354" spans="1:87" x14ac:dyDescent="0.25">
      <c r="A354" s="5">
        <f ca="1">IFERROR(__xludf.DUMMYFUNCTION("""COMPUTED_VALUE"""),45390.5162249074)</f>
        <v>45390.516224907398</v>
      </c>
      <c r="B354" s="1" t="str">
        <f ca="1">IFERROR(__xludf.DUMMYFUNCTION("""COMPUTED_VALUE"""),"spsingh3108@gmail.com")</f>
        <v>spsingh3108@gmail.com</v>
      </c>
      <c r="C354" s="1" t="str">
        <f ca="1">IFERROR(__xludf.DUMMYFUNCTION("""COMPUTED_VALUE"""),"Shashi Singh ")</f>
        <v xml:space="preserve">Shashi Singh </v>
      </c>
      <c r="D354" s="1">
        <f ca="1">IFERROR(__xludf.DUMMYFUNCTION("""COMPUTED_VALUE"""),8630931912)</f>
        <v>8630931912</v>
      </c>
      <c r="E354" s="1" t="str">
        <f ca="1">IFERROR(__xludf.DUMMYFUNCTION("""COMPUTED_VALUE"""),"Yes")</f>
        <v>Yes</v>
      </c>
      <c r="F354" s="1" t="str">
        <f ca="1">IFERROR(__xludf.DUMMYFUNCTION("""COMPUTED_VALUE"""),"हिन्दी")</f>
        <v>हिन्दी</v>
      </c>
      <c r="G354" s="1" t="str">
        <f ca="1">IFERROR(__xludf.DUMMYFUNCTION("""COMPUTED_VALUE"""),"अध्यात्म, धर्म एवं दर्शन")</f>
        <v>अध्यात्म, धर्म एवं दर्शन</v>
      </c>
      <c r="H354" s="1" t="str">
        <f ca="1">IFERROR(__xludf.DUMMYFUNCTION("""COMPUTED_VALUE"""),"आत्मज्ञान एवं आत्मनिर्माण")</f>
        <v>आत्मज्ञान एवं आत्मनिर्माण</v>
      </c>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f ca="1">IFERROR(__xludf.DUMMYFUNCTION("""COMPUTED_VALUE"""),1)</f>
        <v>1</v>
      </c>
      <c r="BX354" s="1">
        <f ca="1">IFERROR(__xludf.DUMMYFUNCTION("""COMPUTED_VALUE"""),0)</f>
        <v>0</v>
      </c>
      <c r="BY354" s="1">
        <f ca="1">IFERROR(__xludf.DUMMYFUNCTION("""COMPUTED_VALUE"""),1)</f>
        <v>1</v>
      </c>
      <c r="BZ354" s="1">
        <f ca="1">IFERROR(__xludf.DUMMYFUNCTION("""COMPUTED_VALUE"""),0)</f>
        <v>0</v>
      </c>
      <c r="CA354" s="1"/>
      <c r="CB354" s="1"/>
      <c r="CC354" s="1" t="str">
        <f ca="1">IFERROR(__xludf.DUMMYFUNCTION("""COMPUTED_VALUE"""),"आत्मिक प्रगति की कुंजी अचेतन की परिष्कृति : Rare Book")</f>
        <v>आत्मिक प्रगति की कुंजी अचेतन की परिष्कृति : Rare Book</v>
      </c>
      <c r="CD354" s="3" t="str">
        <f ca="1">IFERROR(__xludf.DUMMYFUNCTION("""COMPUTED_VALUE"""),"https://vicharkrantibooks.org/productdetail?book_name=HINF0053_ATMIK_PRAGATI_KI_KUNJI_ACHETAN_KI_PARISHKRUTI_xxyyyy&amp;product_id=273")</f>
        <v>https://vicharkrantibooks.org/productdetail?book_name=HINF0053_ATMIK_PRAGATI_KI_KUNJI_ACHETAN_KI_PARISHKRUTI_xxyyyy&amp;product_id=273</v>
      </c>
      <c r="CE354" s="1" t="str">
        <f ca="1">IFERROR(__xludf.DUMMYFUNCTION("""COMPUTED_VALUE"""),"Audiobook : आत्मिक प्रगति की कुंजी अचेतन की परिष्कृति : Rare Book : spsingh3108@gmail.com : Recorded")</f>
        <v>Audiobook : आत्मिक प्रगति की कुंजी अचेतन की परिष्कृति : Rare Book : spsingh3108@gmail.com : Recorded</v>
      </c>
      <c r="CF354" s="1" t="str">
        <f ca="1">IFERROR(__xludf.DUMMYFUNCTION("""COMPUTED_VALUE"""),"#N/A")</f>
        <v>#N/A</v>
      </c>
      <c r="CG354" s="1" t="str">
        <f ca="1">IFERROR(__xludf.DUMMYFUNCTION("""COMPUTED_VALUE"""),"Adarniya Shashi Singh  ji आत्मिक प्रगति की कुंजी अचेतन की परिष्कृति : Rare Book : Allocated on 08-Apr-24 Contact Number  8630931912")</f>
        <v>Adarniya Shashi Singh  ji आत्मिक प्रगति की कुंजी अचेतन की परिष्कृति : Rare Book : Allocated on 08-Apr-24 Contact Number  8630931912</v>
      </c>
      <c r="CH354" s="1" t="str">
        <f ca="1">IFERROR(__xludf.DUMMYFUNCTION("""COMPUTED_VALUE"""),"spsingh3108@gmail.com : आत्मिक प्रगति की कुंजी अचेतन की परिष्कृति : Rare Book")</f>
        <v>spsingh3108@gmail.com : आत्मिक प्रगति की कुंजी अचेतन की परिष्कृति : Rare Book</v>
      </c>
      <c r="CI354" s="5">
        <f ca="1">IFERROR(__xludf.DUMMYFUNCTION("""COMPUTED_VALUE"""),45390.5162249074)</f>
        <v>45390.516224907398</v>
      </c>
    </row>
    <row r="355" spans="1:87" x14ac:dyDescent="0.25">
      <c r="A355" s="5">
        <f ca="1">IFERROR(__xludf.DUMMYFUNCTION("""COMPUTED_VALUE"""),45389.8076194444)</f>
        <v>45389.8076194444</v>
      </c>
      <c r="B355" s="1" t="str">
        <f ca="1">IFERROR(__xludf.DUMMYFUNCTION("""COMPUTED_VALUE"""),"manjusrivastava349@gmail.com")</f>
        <v>manjusrivastava349@gmail.com</v>
      </c>
      <c r="C355" s="1" t="str">
        <f ca="1">IFERROR(__xludf.DUMMYFUNCTION("""COMPUTED_VALUE"""),"Manju Srivastava")</f>
        <v>Manju Srivastava</v>
      </c>
      <c r="D355" s="1">
        <f ca="1">IFERROR(__xludf.DUMMYFUNCTION("""COMPUTED_VALUE"""),9450345667)</f>
        <v>9450345667</v>
      </c>
      <c r="E355" s="1" t="str">
        <f ca="1">IFERROR(__xludf.DUMMYFUNCTION("""COMPUTED_VALUE"""),"Yes")</f>
        <v>Yes</v>
      </c>
      <c r="F355" s="1" t="str">
        <f ca="1">IFERROR(__xludf.DUMMYFUNCTION("""COMPUTED_VALUE"""),"हिन्दी")</f>
        <v>हिन्दी</v>
      </c>
      <c r="G355" s="1" t="str">
        <f ca="1">IFERROR(__xludf.DUMMYFUNCTION("""COMPUTED_VALUE"""),"युग द्रष्टा पं. श्रीराम शर्मा आचार्यजी")</f>
        <v>युग द्रष्टा पं. श्रीराम शर्मा आचार्यजी</v>
      </c>
      <c r="H355" s="1"/>
      <c r="I355" s="1"/>
      <c r="J355" s="1"/>
      <c r="K355" s="1"/>
      <c r="L355" s="1"/>
      <c r="M355" s="1"/>
      <c r="N355" s="1"/>
      <c r="O355" s="1"/>
      <c r="P355" s="1" t="str">
        <f ca="1">IFERROR(__xludf.DUMMYFUNCTION("""COMPUTED_VALUE"""),"युगॠषी की अमृतवाणी")</f>
        <v>युगॠषी की अमृतवाणी</v>
      </c>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f ca="1">IFERROR(__xludf.DUMMYFUNCTION("""COMPUTED_VALUE"""),10)</f>
        <v>10</v>
      </c>
      <c r="BX355" s="1">
        <f ca="1">IFERROR(__xludf.DUMMYFUNCTION("""COMPUTED_VALUE"""),12)</f>
        <v>12</v>
      </c>
      <c r="BY355" s="1">
        <f ca="1">IFERROR(__xludf.DUMMYFUNCTION("""COMPUTED_VALUE"""),0)</f>
        <v>0</v>
      </c>
      <c r="BZ355" s="1">
        <f ca="1">IFERROR(__xludf.DUMMYFUNCTION("""COMPUTED_VALUE"""),2)</f>
        <v>2</v>
      </c>
      <c r="CA355" s="1"/>
      <c r="CB355" s="1"/>
      <c r="CC355" s="1" t="str">
        <f ca="1">IFERROR(__xludf.DUMMYFUNCTION("""COMPUTED_VALUE"""),"इस समय का सबसे बड़ा पुण्य ब्रह्मभोज (ज्ञान यज्ञ) : Rare Book")</f>
        <v>इस समय का सबसे बड़ा पुण्य ब्रह्मभोज (ज्ञान यज्ञ) : Rare Book</v>
      </c>
      <c r="CD355" s="3" t="str">
        <f ca="1">IFERROR(__xludf.DUMMYFUNCTION("""COMPUTED_VALUE"""),"https://vicharkrantibooks.org/productdetail?book_name=HINF0339_IS_SAMAY_KA_SABASE_BADA_PUNY_BRAHMABHOJ_GYAN_YAGY_xxyyyy&amp;product_id=559")</f>
        <v>https://vicharkrantibooks.org/productdetail?book_name=HINF0339_IS_SAMAY_KA_SABASE_BADA_PUNY_BRAHMABHOJ_GYAN_YAGY_xxyyyy&amp;product_id=559</v>
      </c>
      <c r="CE355" s="1" t="str">
        <f ca="1">IFERROR(__xludf.DUMMYFUNCTION("""COMPUTED_VALUE"""),"Audiobook : इस समय का सबसे बड़ा पुण्य ब्रह्मभोज (ज्ञान यज्ञ) : Rare Book : manjusrivastava349@gmail.com : Recorded")</f>
        <v>Audiobook : इस समय का सबसे बड़ा पुण्य ब्रह्मभोज (ज्ञान यज्ञ) : Rare Book : manjusrivastava349@gmail.com : Recorded</v>
      </c>
      <c r="CF355" s="1" t="str">
        <f ca="1">IFERROR(__xludf.DUMMYFUNCTION("""COMPUTED_VALUE"""),"Audiobook : इस समय का सबसे बड़ा पुण्य ब्रह्मभोज (ज्ञान यज्ञ) : Rare Book : manjusrivastava349@gmail.com : Recorded")</f>
        <v>Audiobook : इस समय का सबसे बड़ा पुण्य ब्रह्मभोज (ज्ञान यज्ञ) : Rare Book : manjusrivastava349@gmail.com : Recorded</v>
      </c>
      <c r="CG355" s="1" t="str">
        <f ca="1">IFERROR(__xludf.DUMMYFUNCTION("""COMPUTED_VALUE"""),"Adarniya Manju Srivastava ji इस समय का सबसे बड़ा पुण्य ब्रह्मभोज (ज्ञान यज्ञ) : Rare Book : Allocated on 07-Apr-24 Contact Number  9450345667")</f>
        <v>Adarniya Manju Srivastava ji इस समय का सबसे बड़ा पुण्य ब्रह्मभोज (ज्ञान यज्ञ) : Rare Book : Allocated on 07-Apr-24 Contact Number  9450345667</v>
      </c>
      <c r="CH355" s="1" t="str">
        <f ca="1">IFERROR(__xludf.DUMMYFUNCTION("""COMPUTED_VALUE"""),"manjusrivastava349@gmail.com : इस समय का सबसे बड़ा पुण्य ब्रह्मभोज (ज्ञान यज्ञ) : Rare Book")</f>
        <v>manjusrivastava349@gmail.com : इस समय का सबसे बड़ा पुण्य ब्रह्मभोज (ज्ञान यज्ञ) : Rare Book</v>
      </c>
      <c r="CI355" s="5">
        <f ca="1">IFERROR(__xludf.DUMMYFUNCTION("""COMPUTED_VALUE"""),45389.8076194444)</f>
        <v>45389.8076194444</v>
      </c>
    </row>
    <row r="356" spans="1:87" x14ac:dyDescent="0.25">
      <c r="A356" s="5">
        <f ca="1">IFERROR(__xludf.DUMMYFUNCTION("""COMPUTED_VALUE"""),45389.5563203935)</f>
        <v>45389.556320393502</v>
      </c>
      <c r="B356" s="1" t="str">
        <f ca="1">IFERROR(__xludf.DUMMYFUNCTION("""COMPUTED_VALUE"""),"gnpatel8438@gmail.com")</f>
        <v>gnpatel8438@gmail.com</v>
      </c>
      <c r="C356" s="1" t="str">
        <f ca="1">IFERROR(__xludf.DUMMYFUNCTION("""COMPUTED_VALUE"""),"Girishbhai Patel ")</f>
        <v xml:space="preserve">Girishbhai Patel </v>
      </c>
      <c r="D356" s="1">
        <f ca="1">IFERROR(__xludf.DUMMYFUNCTION("""COMPUTED_VALUE"""),9426354539)</f>
        <v>9426354539</v>
      </c>
      <c r="E356" s="1" t="str">
        <f ca="1">IFERROR(__xludf.DUMMYFUNCTION("""COMPUTED_VALUE"""),"Yes")</f>
        <v>Yes</v>
      </c>
      <c r="F356" s="1" t="str">
        <f ca="1">IFERROR(__xludf.DUMMYFUNCTION("""COMPUTED_VALUE"""),"गुजराती")</f>
        <v>गुजराती</v>
      </c>
      <c r="G356" s="1" t="str">
        <f ca="1">IFERROR(__xludf.DUMMYFUNCTION("""COMPUTED_VALUE"""),"जीवन प्रबंध")</f>
        <v>जीवन प्रबंध</v>
      </c>
      <c r="H356" s="1"/>
      <c r="I356" s="1"/>
      <c r="J356" s="1"/>
      <c r="K356" s="1"/>
      <c r="L356" s="1" t="str">
        <f ca="1">IFERROR(__xludf.DUMMYFUNCTION("""COMPUTED_VALUE"""),"जीवन साधना")</f>
        <v>जीवन साधना</v>
      </c>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f ca="1">IFERROR(__xludf.DUMMYFUNCTION("""COMPUTED_VALUE"""),6)</f>
        <v>6</v>
      </c>
      <c r="BX356" s="1">
        <f ca="1">IFERROR(__xludf.DUMMYFUNCTION("""COMPUTED_VALUE"""),6)</f>
        <v>6</v>
      </c>
      <c r="BY356" s="1">
        <f ca="1">IFERROR(__xludf.DUMMYFUNCTION("""COMPUTED_VALUE"""),0)</f>
        <v>0</v>
      </c>
      <c r="BZ356" s="1">
        <f ca="1">IFERROR(__xludf.DUMMYFUNCTION("""COMPUTED_VALUE"""),1)</f>
        <v>1</v>
      </c>
      <c r="CA356" s="1"/>
      <c r="CB356" s="1"/>
      <c r="CC356" s="1" t="str">
        <f ca="1">IFERROR(__xludf.DUMMYFUNCTION("""COMPUTED_VALUE"""),"ભાવિ મહાભારત આ રીતે લદાશે : G_JS_63")</f>
        <v>ભાવિ મહાભારત આ રીતે લદાશે : G_JS_63</v>
      </c>
      <c r="CD356" s="3" t="str">
        <f ca="1">IFERROR(__xludf.DUMMYFUNCTION("""COMPUTED_VALUE"""),"https://vicharkrantibooks.org/productdetail?book_name=GUJP0161_BHAVI_MAHABHARAT_AA_RITE_LADASHE_XXYYYY&amp;product_id=3788")</f>
        <v>https://vicharkrantibooks.org/productdetail?book_name=GUJP0161_BHAVI_MAHABHARAT_AA_RITE_LADASHE_XXYYYY&amp;product_id=3788</v>
      </c>
      <c r="CE356" s="1" t="str">
        <f ca="1">IFERROR(__xludf.DUMMYFUNCTION("""COMPUTED_VALUE"""),"Audiobook : ભાવિ મહાભારત આ રીતે લદાશે : G_JS_63 : gnpatel8438@gmail.com : Recorded")</f>
        <v>Audiobook : ભાવિ મહાભારત આ રીતે લદાશે : G_JS_63 : gnpatel8438@gmail.com : Recorded</v>
      </c>
      <c r="CF356" s="1" t="str">
        <f ca="1">IFERROR(__xludf.DUMMYFUNCTION("""COMPUTED_VALUE"""),"Audiobook : ભાવિ મહાભારત આ રીતે લદાશે : G_JS_63 : gnpatel8438@gmail.com : Recorded")</f>
        <v>Audiobook : ભાવિ મહાભારત આ રીતે લદાશે : G_JS_63 : gnpatel8438@gmail.com : Recorded</v>
      </c>
      <c r="CG356" s="1" t="str">
        <f ca="1">IFERROR(__xludf.DUMMYFUNCTION("""COMPUTED_VALUE"""),"Adarniya Girishbhai Patel  ji ભાવિ મહાભારત આ રીતે લદાશે : G_JS_63 : Allocated on 07-Apr-24 Contact Number  9426354539")</f>
        <v>Adarniya Girishbhai Patel  ji ભાવિ મહાભારત આ રીતે લદાશે : G_JS_63 : Allocated on 07-Apr-24 Contact Number  9426354539</v>
      </c>
      <c r="CH356" s="1" t="str">
        <f ca="1">IFERROR(__xludf.DUMMYFUNCTION("""COMPUTED_VALUE"""),"gnpatel8438@gmail.com : ભાવિ મહાભારત આ રીતે લદાશે : G_JS_63")</f>
        <v>gnpatel8438@gmail.com : ભાવિ મહાભારત આ રીતે લદાશે : G_JS_63</v>
      </c>
      <c r="CI356" s="5">
        <f ca="1">IFERROR(__xludf.DUMMYFUNCTION("""COMPUTED_VALUE"""),45389.5563203935)</f>
        <v>45389.556320393502</v>
      </c>
    </row>
    <row r="357" spans="1:87" x14ac:dyDescent="0.25">
      <c r="A357" s="5">
        <f ca="1">IFERROR(__xludf.DUMMYFUNCTION("""COMPUTED_VALUE"""),45389.4850822222)</f>
        <v>45389.4850822222</v>
      </c>
      <c r="B357" s="1" t="str">
        <f ca="1">IFERROR(__xludf.DUMMYFUNCTION("""COMPUTED_VALUE"""),"khatriashok58@gmail.com")</f>
        <v>khatriashok58@gmail.com</v>
      </c>
      <c r="C357" s="1" t="str">
        <f ca="1">IFERROR(__xludf.DUMMYFUNCTION("""COMPUTED_VALUE"""),"Shama Ashok Khatri")</f>
        <v>Shama Ashok Khatri</v>
      </c>
      <c r="D357" s="1">
        <f ca="1">IFERROR(__xludf.DUMMYFUNCTION("""COMPUTED_VALUE"""),8888588169)</f>
        <v>8888588169</v>
      </c>
      <c r="E357" s="1" t="str">
        <f ca="1">IFERROR(__xludf.DUMMYFUNCTION("""COMPUTED_VALUE"""),"No")</f>
        <v>No</v>
      </c>
      <c r="F357" s="1" t="str">
        <f ca="1">IFERROR(__xludf.DUMMYFUNCTION("""COMPUTED_VALUE"""),"मराठी")</f>
        <v>मराठी</v>
      </c>
      <c r="G357" s="1" t="str">
        <f ca="1">IFERROR(__xludf.DUMMYFUNCTION("""COMPUTED_VALUE"""),"अध्यात्म, धर्म एवं दर्शन")</f>
        <v>अध्यात्म, धर्म एवं दर्शन</v>
      </c>
      <c r="H357" s="1" t="str">
        <f ca="1">IFERROR(__xludf.DUMMYFUNCTION("""COMPUTED_VALUE"""),"आत्मज्ञान एवं आत्मनिर्माण")</f>
        <v>आत्मज्ञान एवं आत्मनिर्माण</v>
      </c>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f ca="1">IFERROR(__xludf.DUMMYFUNCTION("""COMPUTED_VALUE"""),1)</f>
        <v>1</v>
      </c>
      <c r="BX357" s="1">
        <f ca="1">IFERROR(__xludf.DUMMYFUNCTION("""COMPUTED_VALUE"""),0)</f>
        <v>0</v>
      </c>
      <c r="BY357" s="1">
        <f ca="1">IFERROR(__xludf.DUMMYFUNCTION("""COMPUTED_VALUE"""),1)</f>
        <v>1</v>
      </c>
      <c r="BZ357" s="1">
        <f ca="1">IFERROR(__xludf.DUMMYFUNCTION("""COMPUTED_VALUE"""),0)</f>
        <v>0</v>
      </c>
      <c r="CA357" s="1"/>
      <c r="CB357" s="1"/>
      <c r="CC357" s="1" t="str">
        <f ca="1">IFERROR(__xludf.DUMMYFUNCTION("""COMPUTED_VALUE"""),"उपासना आणि साधना यांचा समन्वय : MR_121")</f>
        <v>उपासना आणि साधना यांचा समन्वय : MR_121</v>
      </c>
      <c r="CD357" s="3" t="str">
        <f ca="1">IFERROR(__xludf.DUMMYFUNCTION("""COMPUTED_VALUE"""),"https://vicharkrantibooks.org/productdetail?book_name=MRTR1432_UPASANA_ANI_SADHANA_YANCHA_SAMANVAY%20_XXYYYY&amp;product_id=4325")</f>
        <v>https://vicharkrantibooks.org/productdetail?book_name=MRTR1432_UPASANA_ANI_SADHANA_YANCHA_SAMANVAY%20_XXYYYY&amp;product_id=4325</v>
      </c>
      <c r="CE357" s="1" t="str">
        <f ca="1">IFERROR(__xludf.DUMMYFUNCTION("""COMPUTED_VALUE"""),"Audiobook : उपासना आणि साधना यांचा समन्वय : MR_121 : khatriashok58@gmail.com : Recorded")</f>
        <v>Audiobook : उपासना आणि साधना यांचा समन्वय : MR_121 : khatriashok58@gmail.com : Recorded</v>
      </c>
      <c r="CF357" s="1" t="str">
        <f ca="1">IFERROR(__xludf.DUMMYFUNCTION("""COMPUTED_VALUE"""),"#N/A")</f>
        <v>#N/A</v>
      </c>
      <c r="CG357" s="1" t="str">
        <f ca="1">IFERROR(__xludf.DUMMYFUNCTION("""COMPUTED_VALUE"""),"Adarniya Shama Ashok Khatri ji उपासना आणि साधना यांचा समन्वय : MR_121 : Allocated on 07-Apr-24 Contact Number  8888588169")</f>
        <v>Adarniya Shama Ashok Khatri ji उपासना आणि साधना यांचा समन्वय : MR_121 : Allocated on 07-Apr-24 Contact Number  8888588169</v>
      </c>
      <c r="CH357" s="1" t="str">
        <f ca="1">IFERROR(__xludf.DUMMYFUNCTION("""COMPUTED_VALUE"""),"khatriashok58@gmail.com : उपासना आणि साधना यांचा समन्वय : MR_121")</f>
        <v>khatriashok58@gmail.com : उपासना आणि साधना यांचा समन्वय : MR_121</v>
      </c>
      <c r="CI357" s="5">
        <f ca="1">IFERROR(__xludf.DUMMYFUNCTION("""COMPUTED_VALUE"""),45389.4850822222)</f>
        <v>45389.4850822222</v>
      </c>
    </row>
    <row r="358" spans="1:87" x14ac:dyDescent="0.25">
      <c r="A358" s="5">
        <f ca="1">IFERROR(__xludf.DUMMYFUNCTION("""COMPUTED_VALUE"""),45389.3272749189)</f>
        <v>45389.327274918898</v>
      </c>
      <c r="B358" s="1" t="str">
        <f ca="1">IFERROR(__xludf.DUMMYFUNCTION("""COMPUTED_VALUE"""),"druma4107@gmail.com")</f>
        <v>druma4107@gmail.com</v>
      </c>
      <c r="C358" s="1" t="str">
        <f ca="1">IFERROR(__xludf.DUMMYFUNCTION("""COMPUTED_VALUE"""),"Dr Uma Agrawal")</f>
        <v>Dr Uma Agrawal</v>
      </c>
      <c r="D358" s="1">
        <f ca="1">IFERROR(__xludf.DUMMYFUNCTION("""COMPUTED_VALUE"""),9410861182)</f>
        <v>9410861182</v>
      </c>
      <c r="E358" s="1" t="str">
        <f ca="1">IFERROR(__xludf.DUMMYFUNCTION("""COMPUTED_VALUE"""),"Yes")</f>
        <v>Yes</v>
      </c>
      <c r="F358" s="1" t="str">
        <f ca="1">IFERROR(__xludf.DUMMYFUNCTION("""COMPUTED_VALUE"""),"हिन्दी")</f>
        <v>हिन्दी</v>
      </c>
      <c r="G358" s="1" t="str">
        <f ca="1">IFERROR(__xludf.DUMMYFUNCTION("""COMPUTED_VALUE"""),"युग परिवर्तन-विचार क्रांति")</f>
        <v>युग परिवर्तन-विचार क्रांति</v>
      </c>
      <c r="H358" s="1"/>
      <c r="I358" s="1"/>
      <c r="J358" s="1"/>
      <c r="K358" s="1"/>
      <c r="L358" s="1"/>
      <c r="M358" s="1"/>
      <c r="N358" s="1"/>
      <c r="O358" s="1"/>
      <c r="P358" s="1"/>
      <c r="Q358" s="1" t="str">
        <f ca="1">IFERROR(__xludf.DUMMYFUNCTION("""COMPUTED_VALUE"""),"युग निर्माण योजना एवं युग परिवर्तन")</f>
        <v>युग निर्माण योजना एवं युग परिवर्तन</v>
      </c>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f ca="1">IFERROR(__xludf.DUMMYFUNCTION("""COMPUTED_VALUE"""),104)</f>
        <v>104</v>
      </c>
      <c r="BX358" s="1">
        <f ca="1">IFERROR(__xludf.DUMMYFUNCTION("""COMPUTED_VALUE"""),106)</f>
        <v>106</v>
      </c>
      <c r="BY358" s="1">
        <f ca="1">IFERROR(__xludf.DUMMYFUNCTION("""COMPUTED_VALUE"""),9)</f>
        <v>9</v>
      </c>
      <c r="BZ358" s="1">
        <f ca="1">IFERROR(__xludf.DUMMYFUNCTION("""COMPUTED_VALUE"""),43)</f>
        <v>43</v>
      </c>
      <c r="CA358" s="1"/>
      <c r="CB358" s="1"/>
      <c r="CC358" s="1" t="str">
        <f ca="1">IFERROR(__xludf.DUMMYFUNCTION("""COMPUTED_VALUE"""),"युग निर्माण योजना एक परिचय : Rare Book")</f>
        <v>युग निर्माण योजना एक परिचय : Rare Book</v>
      </c>
      <c r="CD358" s="3" t="str">
        <f ca="1">IFERROR(__xludf.DUMMYFUNCTION("""COMPUTED_VALUE"""),"https://vicharkrantibooks.org/productdetail?book_name=HINP1047_YUG_NIRMAN_YOJANA_EK_PARICHAY_xxyyyy&amp;product_id=1612")</f>
        <v>https://vicharkrantibooks.org/productdetail?book_name=HINP1047_YUG_NIRMAN_YOJANA_EK_PARICHAY_xxyyyy&amp;product_id=1612</v>
      </c>
      <c r="CE358" s="1" t="str">
        <f ca="1">IFERROR(__xludf.DUMMYFUNCTION("""COMPUTED_VALUE"""),"Audiobook : युग निर्माण योजना एक परिचय : Rare Book : druma4107@gmail.com : Recorded")</f>
        <v>Audiobook : युग निर्माण योजना एक परिचय : Rare Book : druma4107@gmail.com : Recorded</v>
      </c>
      <c r="CF358" s="1" t="str">
        <f ca="1">IFERROR(__xludf.DUMMYFUNCTION("""COMPUTED_VALUE"""),"Audiobook : युग निर्माण योजना एक परिचय : Rare Book : druma4107@gmail.com : Recorded")</f>
        <v>Audiobook : युग निर्माण योजना एक परिचय : Rare Book : druma4107@gmail.com : Recorded</v>
      </c>
      <c r="CG358" s="1" t="str">
        <f ca="1">IFERROR(__xludf.DUMMYFUNCTION("""COMPUTED_VALUE"""),"Adarniya Dr Uma Agrawal ji युग निर्माण योजना एक परिचय : Rare Book : Allocated on 07-Apr-24 Contact Number  9410861182")</f>
        <v>Adarniya Dr Uma Agrawal ji युग निर्माण योजना एक परिचय : Rare Book : Allocated on 07-Apr-24 Contact Number  9410861182</v>
      </c>
      <c r="CH358" s="1" t="str">
        <f ca="1">IFERROR(__xludf.DUMMYFUNCTION("""COMPUTED_VALUE"""),"druma4107@gmail.com : युग निर्माण योजना एक परिचय : Rare Book")</f>
        <v>druma4107@gmail.com : युग निर्माण योजना एक परिचय : Rare Book</v>
      </c>
      <c r="CI358" s="5">
        <f ca="1">IFERROR(__xludf.DUMMYFUNCTION("""COMPUTED_VALUE"""),45389.3272749189)</f>
        <v>45389.327274918898</v>
      </c>
    </row>
    <row r="359" spans="1:87" x14ac:dyDescent="0.25">
      <c r="A359" s="5">
        <f ca="1">IFERROR(__xludf.DUMMYFUNCTION("""COMPUTED_VALUE"""),45389.0417481712)</f>
        <v>45389.041748171199</v>
      </c>
      <c r="B359" s="1" t="str">
        <f ca="1">IFERROR(__xludf.DUMMYFUNCTION("""COMPUTED_VALUE"""),"rajnivarma24.vns@gmail.com")</f>
        <v>rajnivarma24.vns@gmail.com</v>
      </c>
      <c r="C359" s="1" t="str">
        <f ca="1">IFERROR(__xludf.DUMMYFUNCTION("""COMPUTED_VALUE"""),"Rajni varma")</f>
        <v>Rajni varma</v>
      </c>
      <c r="D359" s="1">
        <f ca="1">IFERROR(__xludf.DUMMYFUNCTION("""COMPUTED_VALUE"""),9335661433)</f>
        <v>9335661433</v>
      </c>
      <c r="E359" s="1" t="str">
        <f ca="1">IFERROR(__xludf.DUMMYFUNCTION("""COMPUTED_VALUE"""),"No")</f>
        <v>No</v>
      </c>
      <c r="F359" s="1" t="str">
        <f ca="1">IFERROR(__xludf.DUMMYFUNCTION("""COMPUTED_VALUE"""),"हिन्दी")</f>
        <v>हिन्दी</v>
      </c>
      <c r="G359" s="1" t="str">
        <f ca="1">IFERROR(__xludf.DUMMYFUNCTION("""COMPUTED_VALUE"""),"युग द्रष्टा पं. श्रीराम शर्मा आचार्यजी")</f>
        <v>युग द्रष्टा पं. श्रीराम शर्मा आचार्यजी</v>
      </c>
      <c r="H359" s="1"/>
      <c r="I359" s="1"/>
      <c r="J359" s="1"/>
      <c r="K359" s="1"/>
      <c r="L359" s="1"/>
      <c r="M359" s="1"/>
      <c r="N359" s="1"/>
      <c r="O359" s="1"/>
      <c r="P359" s="1" t="str">
        <f ca="1">IFERROR(__xludf.DUMMYFUNCTION("""COMPUTED_VALUE"""),"युगॠषी का जीवनदर्शन")</f>
        <v>युगॠषी का जीवनदर्शन</v>
      </c>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f ca="1">IFERROR(__xludf.DUMMYFUNCTION("""COMPUTED_VALUE"""),30)</f>
        <v>30</v>
      </c>
      <c r="BX359" s="1">
        <f ca="1">IFERROR(__xludf.DUMMYFUNCTION("""COMPUTED_VALUE"""),25)</f>
        <v>25</v>
      </c>
      <c r="BY359" s="1">
        <f ca="1">IFERROR(__xludf.DUMMYFUNCTION("""COMPUTED_VALUE"""),7)</f>
        <v>7</v>
      </c>
      <c r="BZ359" s="1">
        <f ca="1">IFERROR(__xludf.DUMMYFUNCTION("""COMPUTED_VALUE"""),7)</f>
        <v>7</v>
      </c>
      <c r="CA359" s="1"/>
      <c r="CB359" s="1"/>
      <c r="CC359" s="1" t="str">
        <f ca="1">IFERROR(__xludf.DUMMYFUNCTION("""COMPUTED_VALUE"""),"युग ऋषि एवं उनकी योजना : H_SJ_71")</f>
        <v>युग ऋषि एवं उनकी योजना : H_SJ_71</v>
      </c>
      <c r="CD359" s="3" t="str">
        <f ca="1">IFERROR(__xludf.DUMMYFUNCTION("""COMPUTED_VALUE"""),"https://vicharkrantibooks.org/productdetail?book_name=HINP1067_YUGRUSHI_EVAM_UNAKI_YOJANA_xxyyyy&amp;product_id=1632")</f>
        <v>https://vicharkrantibooks.org/productdetail?book_name=HINP1067_YUGRUSHI_EVAM_UNAKI_YOJANA_xxyyyy&amp;product_id=1632</v>
      </c>
      <c r="CE359" s="1" t="str">
        <f ca="1">IFERROR(__xludf.DUMMYFUNCTION("""COMPUTED_VALUE"""),"Audiobook : युग ऋषि एवं उनकी योजना : H_SJ_71 : rajnivarma24.vns@gmail.com : Recorded")</f>
        <v>Audiobook : युग ऋषि एवं उनकी योजना : H_SJ_71 : rajnivarma24.vns@gmail.com : Recorded</v>
      </c>
      <c r="CF359" s="1" t="str">
        <f ca="1">IFERROR(__xludf.DUMMYFUNCTION("""COMPUTED_VALUE"""),"Audiobook : युग ऋषि एवं उनकी योजना : H_SJ_71 : rajnivarma24.vns@gmail.com : Recorded")</f>
        <v>Audiobook : युग ऋषि एवं उनकी योजना : H_SJ_71 : rajnivarma24.vns@gmail.com : Recorded</v>
      </c>
      <c r="CG359" s="1" t="str">
        <f ca="1">IFERROR(__xludf.DUMMYFUNCTION("""COMPUTED_VALUE"""),"Adarniya Rajni varma ji युग ऋषि एवं उनकी योजना : H_SJ_71 : Allocated on 07-Apr-24 Contact Number  9335661433")</f>
        <v>Adarniya Rajni varma ji युग ऋषि एवं उनकी योजना : H_SJ_71 : Allocated on 07-Apr-24 Contact Number  9335661433</v>
      </c>
      <c r="CH359" s="1" t="str">
        <f ca="1">IFERROR(__xludf.DUMMYFUNCTION("""COMPUTED_VALUE"""),"rajnivarma24.vns@gmail.com : युग ऋषि एवं उनकी योजना : H_SJ_71")</f>
        <v>rajnivarma24.vns@gmail.com : युग ऋषि एवं उनकी योजना : H_SJ_71</v>
      </c>
      <c r="CI359" s="5">
        <f ca="1">IFERROR(__xludf.DUMMYFUNCTION("""COMPUTED_VALUE"""),45389.0417481712)</f>
        <v>45389.041748171199</v>
      </c>
    </row>
    <row r="360" spans="1:87" x14ac:dyDescent="0.25">
      <c r="A360" s="5">
        <f ca="1">IFERROR(__xludf.DUMMYFUNCTION("""COMPUTED_VALUE"""),45388.8084769328)</f>
        <v>45388.808476932798</v>
      </c>
      <c r="B360" s="1" t="str">
        <f ca="1">IFERROR(__xludf.DUMMYFUNCTION("""COMPUTED_VALUE"""),"nksaxena.yoga@gmail.com")</f>
        <v>nksaxena.yoga@gmail.com</v>
      </c>
      <c r="C360" s="1" t="str">
        <f ca="1">IFERROR(__xludf.DUMMYFUNCTION("""COMPUTED_VALUE"""),"Narendra Kumar Saxena ")</f>
        <v xml:space="preserve">Narendra Kumar Saxena </v>
      </c>
      <c r="D360" s="1" t="str">
        <f ca="1">IFERROR(__xludf.DUMMYFUNCTION("""COMPUTED_VALUE"""),"08826499188")</f>
        <v>08826499188</v>
      </c>
      <c r="E360" s="1" t="str">
        <f ca="1">IFERROR(__xludf.DUMMYFUNCTION("""COMPUTED_VALUE"""),"Yes")</f>
        <v>Yes</v>
      </c>
      <c r="F360" s="1" t="str">
        <f ca="1">IFERROR(__xludf.DUMMYFUNCTION("""COMPUTED_VALUE"""),"हिन्दी")</f>
        <v>हिन्दी</v>
      </c>
      <c r="G360" s="1" t="str">
        <f ca="1">IFERROR(__xludf.DUMMYFUNCTION("""COMPUTED_VALUE"""),"समग्र स्वास्थ्य")</f>
        <v>समग्र स्वास्थ्य</v>
      </c>
      <c r="H360" s="1"/>
      <c r="I360" s="1"/>
      <c r="J360" s="1"/>
      <c r="K360" s="1"/>
      <c r="L360" s="1"/>
      <c r="M360" s="1"/>
      <c r="N360" s="1"/>
      <c r="O360" s="1"/>
      <c r="P360" s="1"/>
      <c r="Q360" s="1"/>
      <c r="R360" s="1"/>
      <c r="S360" s="1"/>
      <c r="T360" s="1"/>
      <c r="U360" s="1" t="str">
        <f ca="1">IFERROR(__xludf.DUMMYFUNCTION("""COMPUTED_VALUE"""),"आहार-विहार एवं उपवास")</f>
        <v>आहार-विहार एवं उपवास</v>
      </c>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f ca="1">IFERROR(__xludf.DUMMYFUNCTION("""COMPUTED_VALUE"""),29)</f>
        <v>29</v>
      </c>
      <c r="BX360" s="1">
        <f ca="1">IFERROR(__xludf.DUMMYFUNCTION("""COMPUTED_VALUE"""),30)</f>
        <v>30</v>
      </c>
      <c r="BY360" s="1">
        <f ca="1">IFERROR(__xludf.DUMMYFUNCTION("""COMPUTED_VALUE"""),3)</f>
        <v>3</v>
      </c>
      <c r="BZ360" s="1">
        <f ca="1">IFERROR(__xludf.DUMMYFUNCTION("""COMPUTED_VALUE"""),25)</f>
        <v>25</v>
      </c>
      <c r="CA360" s="1"/>
      <c r="CB360" s="1"/>
      <c r="CC360" s="1" t="str">
        <f ca="1">IFERROR(__xludf.DUMMYFUNCTION("""COMPUTED_VALUE"""),"मनोविकारों का शरीर पर प्रभाव : Rare Book")</f>
        <v>मनोविकारों का शरीर पर प्रभाव : Rare Book</v>
      </c>
      <c r="CD360" s="3" t="str">
        <f ca="1">IFERROR(__xludf.DUMMYFUNCTION("""COMPUTED_VALUE"""),"https://vicharkrantibooks.org/productdetail?book_name=HINP0516_MANOVIKARON_KA_SHARIR_PAR_PRABHAV_xxyyyy&amp;product_id=1081")</f>
        <v>https://vicharkrantibooks.org/productdetail?book_name=HINP0516_MANOVIKARON_KA_SHARIR_PAR_PRABHAV_xxyyyy&amp;product_id=1081</v>
      </c>
      <c r="CE360" s="1" t="str">
        <f ca="1">IFERROR(__xludf.DUMMYFUNCTION("""COMPUTED_VALUE"""),"Audiobook : मनोविकारों का शरीर पर प्रभाव : Rare Book : nksaxena.yoga@gmail.com : Recorded")</f>
        <v>Audiobook : मनोविकारों का शरीर पर प्रभाव : Rare Book : nksaxena.yoga@gmail.com : Recorded</v>
      </c>
      <c r="CF360" s="1" t="str">
        <f ca="1">IFERROR(__xludf.DUMMYFUNCTION("""COMPUTED_VALUE"""),"Audiobook : मनोविकारों का शरीर पर प्रभाव : Rare Book : nksaxena.yoga@gmail.com : Recorded")</f>
        <v>Audiobook : मनोविकारों का शरीर पर प्रभाव : Rare Book : nksaxena.yoga@gmail.com : Recorded</v>
      </c>
      <c r="CG360" s="1" t="str">
        <f ca="1">IFERROR(__xludf.DUMMYFUNCTION("""COMPUTED_VALUE"""),"Adarniya Narendra Kumar Saxena  ji मनोविकारों का शरीर पर प्रभाव : Rare Book : Allocated on 06-Apr-24 Contact Number  08826499188")</f>
        <v>Adarniya Narendra Kumar Saxena  ji मनोविकारों का शरीर पर प्रभाव : Rare Book : Allocated on 06-Apr-24 Contact Number  08826499188</v>
      </c>
      <c r="CH360" s="1" t="str">
        <f ca="1">IFERROR(__xludf.DUMMYFUNCTION("""COMPUTED_VALUE"""),"nksaxena.yoga@gmail.com : मनोविकारों का शरीर पर प्रभाव : Rare Book")</f>
        <v>nksaxena.yoga@gmail.com : मनोविकारों का शरीर पर प्रभाव : Rare Book</v>
      </c>
      <c r="CI360" s="5">
        <f ca="1">IFERROR(__xludf.DUMMYFUNCTION("""COMPUTED_VALUE"""),45388.8084769328)</f>
        <v>45388.808476932798</v>
      </c>
    </row>
    <row r="361" spans="1:87" x14ac:dyDescent="0.25">
      <c r="A361" s="5">
        <f ca="1">IFERROR(__xludf.DUMMYFUNCTION("""COMPUTED_VALUE"""),45388.6723527546)</f>
        <v>45388.672352754598</v>
      </c>
      <c r="B361" s="1" t="str">
        <f ca="1">IFERROR(__xludf.DUMMYFUNCTION("""COMPUTED_VALUE"""),"ojhakrishna2310@gmail.com")</f>
        <v>ojhakrishna2310@gmail.com</v>
      </c>
      <c r="C361" s="1" t="str">
        <f ca="1">IFERROR(__xludf.DUMMYFUNCTION("""COMPUTED_VALUE"""),"Krishna arunkumar ojha")</f>
        <v>Krishna arunkumar ojha</v>
      </c>
      <c r="D361" s="1">
        <f ca="1">IFERROR(__xludf.DUMMYFUNCTION("""COMPUTED_VALUE"""),9637907058)</f>
        <v>9637907058</v>
      </c>
      <c r="E361" s="1" t="str">
        <f ca="1">IFERROR(__xludf.DUMMYFUNCTION("""COMPUTED_VALUE"""),"Yes")</f>
        <v>Yes</v>
      </c>
      <c r="F361" s="1" t="str">
        <f ca="1">IFERROR(__xludf.DUMMYFUNCTION("""COMPUTED_VALUE"""),"हिन्दी")</f>
        <v>हिन्दी</v>
      </c>
      <c r="G361" s="1" t="str">
        <f ca="1">IFERROR(__xludf.DUMMYFUNCTION("""COMPUTED_VALUE"""),"व्यक्ति निर्माण, युवा/विद्यार्थी एवं शिक्षक")</f>
        <v>व्यक्ति निर्माण, युवा/विद्यार्थी एवं शिक्षक</v>
      </c>
      <c r="H361" s="1"/>
      <c r="I361" s="1"/>
      <c r="J361" s="1"/>
      <c r="K361" s="1"/>
      <c r="L361" s="1"/>
      <c r="M361" s="1"/>
      <c r="N361" s="1"/>
      <c r="O361" s="1"/>
      <c r="P361" s="1"/>
      <c r="Q361" s="1"/>
      <c r="R361" s="1"/>
      <c r="S361" s="1"/>
      <c r="T361" s="1" t="str">
        <f ca="1">IFERROR(__xludf.DUMMYFUNCTION("""COMPUTED_VALUE"""),"विद्यार्थी एवं शिक्षक")</f>
        <v>विद्यार्थी एवं शिक्षक</v>
      </c>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f ca="1">IFERROR(__xludf.DUMMYFUNCTION("""COMPUTED_VALUE"""),13)</f>
        <v>13</v>
      </c>
      <c r="BX361" s="1">
        <f ca="1">IFERROR(__xludf.DUMMYFUNCTION("""COMPUTED_VALUE"""),6)</f>
        <v>6</v>
      </c>
      <c r="BY361" s="1">
        <f ca="1">IFERROR(__xludf.DUMMYFUNCTION("""COMPUTED_VALUE"""),8)</f>
        <v>8</v>
      </c>
      <c r="BZ361" s="1">
        <f ca="1">IFERROR(__xludf.DUMMYFUNCTION("""COMPUTED_VALUE"""),0)</f>
        <v>0</v>
      </c>
      <c r="CA361" s="1"/>
      <c r="CB361" s="1"/>
      <c r="CC361" s="1" t="str">
        <f ca="1">IFERROR(__xludf.DUMMYFUNCTION("""COMPUTED_VALUE"""),"कामवासना में शरीर की ऊर्जा नष्ट न करें : Rare Book")</f>
        <v>कामवासना में शरीर की ऊर्जा नष्ट न करें : Rare Book</v>
      </c>
      <c r="CD361" s="3" t="str">
        <f ca="1">IFERROR(__xludf.DUMMYFUNCTION("""COMPUTED_VALUE"""),"https://vicharkrantibooks.org/productdetail?book_name=HINP0420_KAMAVASANA_MEIN_SHARIR_KI_URJA_NASHT_NA_KAREN_xxyyyy&amp;product_id=985")</f>
        <v>https://vicharkrantibooks.org/productdetail?book_name=HINP0420_KAMAVASANA_MEIN_SHARIR_KI_URJA_NASHT_NA_KAREN_xxyyyy&amp;product_id=985</v>
      </c>
      <c r="CE361" s="1" t="str">
        <f ca="1">IFERROR(__xludf.DUMMYFUNCTION("""COMPUTED_VALUE"""),"Audiobook : कामवासना में शरीर की ऊर्जा नष्ट न करें : Rare Book : ojhakrishna2310@gmail.com : Recorded")</f>
        <v>Audiobook : कामवासना में शरीर की ऊर्जा नष्ट न करें : Rare Book : ojhakrishna2310@gmail.com : Recorded</v>
      </c>
      <c r="CF361" s="1" t="str">
        <f ca="1">IFERROR(__xludf.DUMMYFUNCTION("""COMPUTED_VALUE"""),"#N/A")</f>
        <v>#N/A</v>
      </c>
      <c r="CG361" s="1" t="str">
        <f ca="1">IFERROR(__xludf.DUMMYFUNCTION("""COMPUTED_VALUE"""),"Adarniya Krishna arunkumar ojha ji कामवासना में शरीर की ऊर्जा नष्ट न करें : Rare Book : Allocated on 06-Apr-24 Contact Number  9637907058")</f>
        <v>Adarniya Krishna arunkumar ojha ji कामवासना में शरीर की ऊर्जा नष्ट न करें : Rare Book : Allocated on 06-Apr-24 Contact Number  9637907058</v>
      </c>
      <c r="CH361" s="1" t="str">
        <f ca="1">IFERROR(__xludf.DUMMYFUNCTION("""COMPUTED_VALUE"""),"ojhakrishna2310@gmail.com : कामवासना में शरीर की ऊर्जा नष्ट न करें : Rare Book")</f>
        <v>ojhakrishna2310@gmail.com : कामवासना में शरीर की ऊर्जा नष्ट न करें : Rare Book</v>
      </c>
      <c r="CI361" s="5">
        <f ca="1">IFERROR(__xludf.DUMMYFUNCTION("""COMPUTED_VALUE"""),45388.6723527546)</f>
        <v>45388.672352754598</v>
      </c>
    </row>
    <row r="362" spans="1:87" x14ac:dyDescent="0.25">
      <c r="A362" s="5">
        <f ca="1">IFERROR(__xludf.DUMMYFUNCTION("""COMPUTED_VALUE"""),45388.4461131597)</f>
        <v>45388.446113159698</v>
      </c>
      <c r="B362" s="1" t="str">
        <f ca="1">IFERROR(__xludf.DUMMYFUNCTION("""COMPUTED_VALUE"""),"shivangijyoti@gmail.com")</f>
        <v>shivangijyoti@gmail.com</v>
      </c>
      <c r="C362" s="1" t="str">
        <f ca="1">IFERROR(__xludf.DUMMYFUNCTION("""COMPUTED_VALUE"""),"Jyoti Shrivastava ")</f>
        <v xml:space="preserve">Jyoti Shrivastava </v>
      </c>
      <c r="D362" s="1">
        <f ca="1">IFERROR(__xludf.DUMMYFUNCTION("""COMPUTED_VALUE"""),9406759903)</f>
        <v>9406759903</v>
      </c>
      <c r="E362" s="1" t="str">
        <f ca="1">IFERROR(__xludf.DUMMYFUNCTION("""COMPUTED_VALUE"""),"No")</f>
        <v>No</v>
      </c>
      <c r="F362" s="1" t="str">
        <f ca="1">IFERROR(__xludf.DUMMYFUNCTION("""COMPUTED_VALUE"""),"हिन्दी")</f>
        <v>हिन्दी</v>
      </c>
      <c r="G362" s="1" t="str">
        <f ca="1">IFERROR(__xludf.DUMMYFUNCTION("""COMPUTED_VALUE"""),"व्यक्ति निर्माण, युवा/विद्यार्थी एवं शिक्षक")</f>
        <v>व्यक्ति निर्माण, युवा/विद्यार्थी एवं शिक्षक</v>
      </c>
      <c r="H362" s="1"/>
      <c r="I362" s="1"/>
      <c r="J362" s="1"/>
      <c r="K362" s="1"/>
      <c r="L362" s="1"/>
      <c r="M362" s="1"/>
      <c r="N362" s="1"/>
      <c r="O362" s="1"/>
      <c r="P362" s="1"/>
      <c r="Q362" s="1"/>
      <c r="R362" s="1"/>
      <c r="S362" s="1"/>
      <c r="T362" s="1" t="str">
        <f ca="1">IFERROR(__xludf.DUMMYFUNCTION("""COMPUTED_VALUE"""),"व्यक्तित्व परिष्कार")</f>
        <v>व्यक्तित्व परिष्कार</v>
      </c>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f ca="1">IFERROR(__xludf.DUMMYFUNCTION("""COMPUTED_VALUE"""),6)</f>
        <v>6</v>
      </c>
      <c r="BX362" s="1">
        <f ca="1">IFERROR(__xludf.DUMMYFUNCTION("""COMPUTED_VALUE"""),1)</f>
        <v>1</v>
      </c>
      <c r="BY362" s="1">
        <f ca="1">IFERROR(__xludf.DUMMYFUNCTION("""COMPUTED_VALUE"""),5)</f>
        <v>5</v>
      </c>
      <c r="BZ362" s="1">
        <f ca="1">IFERROR(__xludf.DUMMYFUNCTION("""COMPUTED_VALUE"""),0)</f>
        <v>0</v>
      </c>
      <c r="CA362" s="1"/>
      <c r="CB362" s="1"/>
      <c r="CC362" s="1" t="str">
        <f ca="1">IFERROR(__xludf.DUMMYFUNCTION("""COMPUTED_VALUE"""),"छिद्रान्वेषी नहीं गुणग्राहक बनें : Rare Book")</f>
        <v>छिद्रान्वेषी नहीं गुणग्राहक बनें : Rare Book</v>
      </c>
      <c r="CD362" s="3" t="str">
        <f ca="1">IFERROR(__xludf.DUMMYFUNCTION("""COMPUTED_VALUE"""),"https://vicharkrantibooks.org/productdetail?book_name=HINP0192_CHHIDRANVESHI_NAHI_GUNAGRAHAK_BANEN_xx1982&amp;product_id=757")</f>
        <v>https://vicharkrantibooks.org/productdetail?book_name=HINP0192_CHHIDRANVESHI_NAHI_GUNAGRAHAK_BANEN_xx1982&amp;product_id=757</v>
      </c>
      <c r="CE362" s="1" t="str">
        <f ca="1">IFERROR(__xludf.DUMMYFUNCTION("""COMPUTED_VALUE"""),"Audiobook : छिद्रान्वेषी नहीं गुणग्राहक बनें : Rare Book : shivangijyoti@gmail.com : Recorded")</f>
        <v>Audiobook : छिद्रान्वेषी नहीं गुणग्राहक बनें : Rare Book : shivangijyoti@gmail.com : Recorded</v>
      </c>
      <c r="CF362" s="1" t="str">
        <f ca="1">IFERROR(__xludf.DUMMYFUNCTION("""COMPUTED_VALUE"""),"#N/A")</f>
        <v>#N/A</v>
      </c>
      <c r="CG362" s="1" t="str">
        <f ca="1">IFERROR(__xludf.DUMMYFUNCTION("""COMPUTED_VALUE"""),"Adarniya Jyoti Shrivastava  ji छिद्रान्वेषी नहीं गुणग्राहक बनें : Rare Book : Allocated on 06-Apr-24 Contact Number  9406759903")</f>
        <v>Adarniya Jyoti Shrivastava  ji छिद्रान्वेषी नहीं गुणग्राहक बनें : Rare Book : Allocated on 06-Apr-24 Contact Number  9406759903</v>
      </c>
      <c r="CH362" s="1" t="str">
        <f ca="1">IFERROR(__xludf.DUMMYFUNCTION("""COMPUTED_VALUE"""),"shivangijyoti@gmail.com : छिद्रान्वेषी नहीं गुणग्राहक बनें : Rare Book")</f>
        <v>shivangijyoti@gmail.com : छिद्रान्वेषी नहीं गुणग्राहक बनें : Rare Book</v>
      </c>
      <c r="CI362" s="5">
        <f ca="1">IFERROR(__xludf.DUMMYFUNCTION("""COMPUTED_VALUE"""),45388.4461131597)</f>
        <v>45388.446113159698</v>
      </c>
    </row>
    <row r="363" spans="1:87" x14ac:dyDescent="0.25">
      <c r="A363" s="5">
        <f ca="1">IFERROR(__xludf.DUMMYFUNCTION("""COMPUTED_VALUE"""),45388.3484592939)</f>
        <v>45388.348459293898</v>
      </c>
      <c r="B363" s="1" t="str">
        <f ca="1">IFERROR(__xludf.DUMMYFUNCTION("""COMPUTED_VALUE"""),"gnpatel8438@gmail.com")</f>
        <v>gnpatel8438@gmail.com</v>
      </c>
      <c r="C363" s="1" t="str">
        <f ca="1">IFERROR(__xludf.DUMMYFUNCTION("""COMPUTED_VALUE"""),"Girishbhai Patel ")</f>
        <v xml:space="preserve">Girishbhai Patel </v>
      </c>
      <c r="D363" s="1">
        <f ca="1">IFERROR(__xludf.DUMMYFUNCTION("""COMPUTED_VALUE"""),9426354539)</f>
        <v>9426354539</v>
      </c>
      <c r="E363" s="1" t="str">
        <f ca="1">IFERROR(__xludf.DUMMYFUNCTION("""COMPUTED_VALUE"""),"Yes")</f>
        <v>Yes</v>
      </c>
      <c r="F363" s="1" t="str">
        <f ca="1">IFERROR(__xludf.DUMMYFUNCTION("""COMPUTED_VALUE"""),"गुजराती")</f>
        <v>गुजराती</v>
      </c>
      <c r="G363" s="1" t="str">
        <f ca="1">IFERROR(__xludf.DUMMYFUNCTION("""COMPUTED_VALUE"""),"युग परिवर्तन-विचार क्रांति")</f>
        <v>युग परिवर्तन-विचार क्रांति</v>
      </c>
      <c r="H363" s="1"/>
      <c r="I363" s="1"/>
      <c r="J363" s="1"/>
      <c r="K363" s="1"/>
      <c r="L363" s="1"/>
      <c r="M363" s="1"/>
      <c r="N363" s="1"/>
      <c r="O363" s="1"/>
      <c r="P363" s="1"/>
      <c r="Q363" s="1" t="str">
        <f ca="1">IFERROR(__xludf.DUMMYFUNCTION("""COMPUTED_VALUE"""),"विचार क्रांति")</f>
        <v>विचार क्रांति</v>
      </c>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f ca="1">IFERROR(__xludf.DUMMYFUNCTION("""COMPUTED_VALUE"""),6)</f>
        <v>6</v>
      </c>
      <c r="BX363" s="1">
        <f ca="1">IFERROR(__xludf.DUMMYFUNCTION("""COMPUTED_VALUE"""),6)</f>
        <v>6</v>
      </c>
      <c r="BY363" s="1">
        <f ca="1">IFERROR(__xludf.DUMMYFUNCTION("""COMPUTED_VALUE"""),0)</f>
        <v>0</v>
      </c>
      <c r="BZ363" s="1">
        <f ca="1">IFERROR(__xludf.DUMMYFUNCTION("""COMPUTED_VALUE"""),1)</f>
        <v>1</v>
      </c>
      <c r="CA363" s="1"/>
      <c r="CB363" s="1"/>
      <c r="CC363" s="1" t="str">
        <f ca="1">IFERROR(__xludf.DUMMYFUNCTION("""COMPUTED_VALUE"""),"વિચારક્રાન્તિ જ એકમાત્ર ઉપચાર : G_JS_44")</f>
        <v>વિચારક્રાન્તિ જ એકમાત્ર ઉપચાર : G_JS_44</v>
      </c>
      <c r="CD363" s="3" t="str">
        <f ca="1">IFERROR(__xludf.DUMMYFUNCTION("""COMPUTED_VALUE"""),"https://vicharkrantibooks.org/productdetail?book_name=GUJP0960_VICHARKRANTI_JA_EKMATRA_UPCHAR_XXYYYY&amp;product_id=3769")</f>
        <v>https://vicharkrantibooks.org/productdetail?book_name=GUJP0960_VICHARKRANTI_JA_EKMATRA_UPCHAR_XXYYYY&amp;product_id=3769</v>
      </c>
      <c r="CE363" s="1" t="str">
        <f ca="1">IFERROR(__xludf.DUMMYFUNCTION("""COMPUTED_VALUE"""),"Audiobook : વિચારક્રાન્તિ જ એકમાત્ર ઉપચાર : G_JS_44 : gnpatel8438@gmail.com : Recorded")</f>
        <v>Audiobook : વિચારક્રાન્તિ જ એકમાત્ર ઉપચાર : G_JS_44 : gnpatel8438@gmail.com : Recorded</v>
      </c>
      <c r="CF363" s="1" t="str">
        <f ca="1">IFERROR(__xludf.DUMMYFUNCTION("""COMPUTED_VALUE"""),"Audiobook : વિચારક્રાન્તિ જ એકમાત્ર ઉપચાર : G_JS_44 : gnpatel8438@gmail.com : Recorded")</f>
        <v>Audiobook : વિચારક્રાન્તિ જ એકમાત્ર ઉપચાર : G_JS_44 : gnpatel8438@gmail.com : Recorded</v>
      </c>
      <c r="CG363" s="1" t="str">
        <f ca="1">IFERROR(__xludf.DUMMYFUNCTION("""COMPUTED_VALUE"""),"Adarniya Girishbhai Patel  ji વિચારક્રાન્તિ જ એકમાત્ર ઉપચાર : G_JS_44 : Allocated on 06-Apr-24 Contact Number  9426354539")</f>
        <v>Adarniya Girishbhai Patel  ji વિચારક્રાન્તિ જ એકમાત્ર ઉપચાર : G_JS_44 : Allocated on 06-Apr-24 Contact Number  9426354539</v>
      </c>
      <c r="CH363" s="1" t="str">
        <f ca="1">IFERROR(__xludf.DUMMYFUNCTION("""COMPUTED_VALUE"""),"gnpatel8438@gmail.com : વિચારક્રાન્તિ જ એકમાત્ર ઉપચાર : G_JS_44")</f>
        <v>gnpatel8438@gmail.com : વિચારક્રાન્તિ જ એકમાત્ર ઉપચાર : G_JS_44</v>
      </c>
      <c r="CI363" s="5">
        <f ca="1">IFERROR(__xludf.DUMMYFUNCTION("""COMPUTED_VALUE"""),45388.3484592939)</f>
        <v>45388.348459293898</v>
      </c>
    </row>
    <row r="364" spans="1:87" x14ac:dyDescent="0.25">
      <c r="A364" s="5">
        <f ca="1">IFERROR(__xludf.DUMMYFUNCTION("""COMPUTED_VALUE"""),45388.3394346759)</f>
        <v>45388.339434675901</v>
      </c>
      <c r="B364" s="1" t="str">
        <f ca="1">IFERROR(__xludf.DUMMYFUNCTION("""COMPUTED_VALUE"""),"kalagpatel1959@gmail.com")</f>
        <v>kalagpatel1959@gmail.com</v>
      </c>
      <c r="C364" s="1" t="str">
        <f ca="1">IFERROR(__xludf.DUMMYFUNCTION("""COMPUTED_VALUE"""),"Kala Patel ")</f>
        <v xml:space="preserve">Kala Patel </v>
      </c>
      <c r="D364" s="1">
        <f ca="1">IFERROR(__xludf.DUMMYFUNCTION("""COMPUTED_VALUE"""),9016250929)</f>
        <v>9016250929</v>
      </c>
      <c r="E364" s="1" t="str">
        <f ca="1">IFERROR(__xludf.DUMMYFUNCTION("""COMPUTED_VALUE"""),"Yes")</f>
        <v>Yes</v>
      </c>
      <c r="F364" s="1" t="str">
        <f ca="1">IFERROR(__xludf.DUMMYFUNCTION("""COMPUTED_VALUE"""),"गुजराती")</f>
        <v>गुजराती</v>
      </c>
      <c r="G364" s="1" t="str">
        <f ca="1">IFERROR(__xludf.DUMMYFUNCTION("""COMPUTED_VALUE"""),"जीवन प्रबंध")</f>
        <v>जीवन प्रबंध</v>
      </c>
      <c r="H364" s="1"/>
      <c r="I364" s="1"/>
      <c r="J364" s="1"/>
      <c r="K364" s="1"/>
      <c r="L364" s="1" t="str">
        <f ca="1">IFERROR(__xludf.DUMMYFUNCTION("""COMPUTED_VALUE"""),"जीवन साधना")</f>
        <v>जीवन साधना</v>
      </c>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f ca="1">IFERROR(__xludf.DUMMYFUNCTION("""COMPUTED_VALUE"""),34)</f>
        <v>34</v>
      </c>
      <c r="BX364" s="1">
        <f ca="1">IFERROR(__xludf.DUMMYFUNCTION("""COMPUTED_VALUE"""),34)</f>
        <v>34</v>
      </c>
      <c r="BY364" s="1">
        <f ca="1">IFERROR(__xludf.DUMMYFUNCTION("""COMPUTED_VALUE"""),4)</f>
        <v>4</v>
      </c>
      <c r="BZ364" s="1">
        <f ca="1">IFERROR(__xludf.DUMMYFUNCTION("""COMPUTED_VALUE"""),11)</f>
        <v>11</v>
      </c>
      <c r="CA364" s="1"/>
      <c r="CB364" s="1"/>
      <c r="CC364" s="1" t="str">
        <f ca="1">IFERROR(__xludf.DUMMYFUNCTION("""COMPUTED_VALUE"""),"મનુષ્ય માર્ગ ભૂલેલો દેવતા : G_JS_62")</f>
        <v>મનુષ્ય માર્ગ ભૂલેલો દેવતા : G_JS_62</v>
      </c>
      <c r="CD364" s="3" t="str">
        <f ca="1">IFERROR(__xludf.DUMMYFUNCTION("""COMPUTED_VALUE"""),"https://vicharkrantibooks.org/productdetail?book_name=GUJP0525_MANUSHY_MARG_BHULELO_DEVATA_XXYYYY&amp;product_id=3787")</f>
        <v>https://vicharkrantibooks.org/productdetail?book_name=GUJP0525_MANUSHY_MARG_BHULELO_DEVATA_XXYYYY&amp;product_id=3787</v>
      </c>
      <c r="CE364" s="1" t="str">
        <f ca="1">IFERROR(__xludf.DUMMYFUNCTION("""COMPUTED_VALUE"""),"Audiobook : મનુષ્ય માર્ગ ભૂલેલો દેવતા : G_JS_62 : kalagpatel1959@gmail.com : Recorded")</f>
        <v>Audiobook : મનુષ્ય માર્ગ ભૂલેલો દેવતા : G_JS_62 : kalagpatel1959@gmail.com : Recorded</v>
      </c>
      <c r="CF364" s="1" t="str">
        <f ca="1">IFERROR(__xludf.DUMMYFUNCTION("""COMPUTED_VALUE"""),"Audiobook : મનુષ્ય માર્ગ ભૂલેલો દેવતા : G_JS_62 : kalagpatel1959@gmail.com : Recorded")</f>
        <v>Audiobook : મનુષ્ય માર્ગ ભૂલેલો દેવતા : G_JS_62 : kalagpatel1959@gmail.com : Recorded</v>
      </c>
      <c r="CG364" s="1" t="str">
        <f ca="1">IFERROR(__xludf.DUMMYFUNCTION("""COMPUTED_VALUE"""),"Adarniya Kala Patel  ji મનુષ્ય માર્ગ ભૂલેલો દેવતા : G_JS_62 : Allocated on 06-Apr-24 Contact Number  9016250929")</f>
        <v>Adarniya Kala Patel  ji મનુષ્ય માર્ગ ભૂલેલો દેવતા : G_JS_62 : Allocated on 06-Apr-24 Contact Number  9016250929</v>
      </c>
      <c r="CH364" s="1" t="str">
        <f ca="1">IFERROR(__xludf.DUMMYFUNCTION("""COMPUTED_VALUE"""),"kalagpatel1959@gmail.com : મનુષ્ય માર્ગ ભૂલેલો દેવતા : G_JS_62")</f>
        <v>kalagpatel1959@gmail.com : મનુષ્ય માર્ગ ભૂલેલો દેવતા : G_JS_62</v>
      </c>
      <c r="CI364" s="5">
        <f ca="1">IFERROR(__xludf.DUMMYFUNCTION("""COMPUTED_VALUE"""),45388.3394346759)</f>
        <v>45388.339434675901</v>
      </c>
    </row>
    <row r="365" spans="1:87" x14ac:dyDescent="0.25">
      <c r="A365" s="5">
        <f ca="1">IFERROR(__xludf.DUMMYFUNCTION("""COMPUTED_VALUE"""),45387.9704775115)</f>
        <v>45387.970477511502</v>
      </c>
      <c r="B365" s="1" t="str">
        <f ca="1">IFERROR(__xludf.DUMMYFUNCTION("""COMPUTED_VALUE"""),"hinap775@gmail.com")</f>
        <v>hinap775@gmail.com</v>
      </c>
      <c r="C365" s="1" t="str">
        <f ca="1">IFERROR(__xludf.DUMMYFUNCTION("""COMPUTED_VALUE"""),"Hina Patel")</f>
        <v>Hina Patel</v>
      </c>
      <c r="D365" s="1">
        <f ca="1">IFERROR(__xludf.DUMMYFUNCTION("""COMPUTED_VALUE"""),9921772176)</f>
        <v>9921772176</v>
      </c>
      <c r="E365" s="1" t="str">
        <f ca="1">IFERROR(__xludf.DUMMYFUNCTION("""COMPUTED_VALUE"""),"Yes")</f>
        <v>Yes</v>
      </c>
      <c r="F365" s="1" t="str">
        <f ca="1">IFERROR(__xludf.DUMMYFUNCTION("""COMPUTED_VALUE"""),"गुजराती")</f>
        <v>गुजराती</v>
      </c>
      <c r="G365" s="1" t="str">
        <f ca="1">IFERROR(__xludf.DUMMYFUNCTION("""COMPUTED_VALUE"""),"समग्र स्वास्थ्य")</f>
        <v>समग्र स्वास्थ्य</v>
      </c>
      <c r="H365" s="1"/>
      <c r="I365" s="1"/>
      <c r="J365" s="1"/>
      <c r="K365" s="1"/>
      <c r="L365" s="1"/>
      <c r="M365" s="1"/>
      <c r="N365" s="1"/>
      <c r="O365" s="1"/>
      <c r="P365" s="1"/>
      <c r="Q365" s="1"/>
      <c r="R365" s="1"/>
      <c r="S365" s="1"/>
      <c r="T365" s="1"/>
      <c r="U365" s="1" t="str">
        <f ca="1">IFERROR(__xludf.DUMMYFUNCTION("""COMPUTED_VALUE"""),"मानसिक स्वास्थ्य")</f>
        <v>मानसिक स्वास्थ्य</v>
      </c>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f ca="1">IFERROR(__xludf.DUMMYFUNCTION("""COMPUTED_VALUE"""),6)</f>
        <v>6</v>
      </c>
      <c r="BX365" s="1">
        <f ca="1">IFERROR(__xludf.DUMMYFUNCTION("""COMPUTED_VALUE"""),6)</f>
        <v>6</v>
      </c>
      <c r="BY365" s="1">
        <f ca="1">IFERROR(__xludf.DUMMYFUNCTION("""COMPUTED_VALUE"""),2)</f>
        <v>2</v>
      </c>
      <c r="BZ365" s="1">
        <f ca="1">IFERROR(__xludf.DUMMYFUNCTION("""COMPUTED_VALUE"""),0)</f>
        <v>0</v>
      </c>
      <c r="CA365" s="1"/>
      <c r="CB365" s="1"/>
      <c r="CC365" s="1" t="str">
        <f ca="1">IFERROR(__xludf.DUMMYFUNCTION("""COMPUTED_VALUE"""),"આપણી અંતર્ચેતના જ સાચી ગાયત્રી : G_JS_71")</f>
        <v>આપણી અંતર્ચેતના જ સાચી ગાયત્રી : G_JS_71</v>
      </c>
      <c r="CD365" s="3" t="str">
        <f ca="1">IFERROR(__xludf.DUMMYFUNCTION("""COMPUTED_VALUE"""),"https://vicharkrantibooks.org/productdetail?book_name=GUJP0334_APANI_ANTARCHETANA_JA_SACHI_GAYATRI_XXYYYY&amp;product_id=3796")</f>
        <v>https://vicharkrantibooks.org/productdetail?book_name=GUJP0334_APANI_ANTARCHETANA_JA_SACHI_GAYATRI_XXYYYY&amp;product_id=3796</v>
      </c>
      <c r="CE365" s="1" t="str">
        <f ca="1">IFERROR(__xludf.DUMMYFUNCTION("""COMPUTED_VALUE"""),"Audiobook : માનસિક સમતુલા જાળવી રાખો : G_PP_24 : hinap775@gmail.com : Recorded")</f>
        <v>Audiobook : માનસિક સમતુલા જાળવી રાખો : G_PP_24 : hinap775@gmail.com : Recorded</v>
      </c>
      <c r="CF365" s="1" t="str">
        <f ca="1">IFERROR(__xludf.DUMMYFUNCTION("""COMPUTED_VALUE"""),"#N/A")</f>
        <v>#N/A</v>
      </c>
      <c r="CG365" s="1" t="str">
        <f ca="1">IFERROR(__xludf.DUMMYFUNCTION("""COMPUTED_VALUE"""),"Adarniya Hina Patel ji આપણી અંતર્ચેતના જ સાચી ગાયત્રી : G_JS_71 : Allocated on 05-Apr-24 Contact Number  9921772176")</f>
        <v>Adarniya Hina Patel ji આપણી અંતર્ચેતના જ સાચી ગાયત્રી : G_JS_71 : Allocated on 05-Apr-24 Contact Number  9921772176</v>
      </c>
      <c r="CH365" s="1" t="str">
        <f ca="1">IFERROR(__xludf.DUMMYFUNCTION("""COMPUTED_VALUE"""),"hinap775@gmail.com : આપણી અંતર્ચેતના જ સાચી ગાયત્રી : G_JS_71")</f>
        <v>hinap775@gmail.com : આપણી અંતર્ચેતના જ સાચી ગાયત્રી : G_JS_71</v>
      </c>
      <c r="CI365" s="5">
        <f ca="1">IFERROR(__xludf.DUMMYFUNCTION("""COMPUTED_VALUE"""),45387.9704775115)</f>
        <v>45387.970477511502</v>
      </c>
    </row>
    <row r="366" spans="1:87" x14ac:dyDescent="0.25">
      <c r="A366" s="5">
        <f ca="1">IFERROR(__xludf.DUMMYFUNCTION("""COMPUTED_VALUE"""),45387.8162562037)</f>
        <v>45387.816256203703</v>
      </c>
      <c r="B366" s="1" t="str">
        <f ca="1">IFERROR(__xludf.DUMMYFUNCTION("""COMPUTED_VALUE"""),"tushar.pandit7686@gmail.com")</f>
        <v>tushar.pandit7686@gmail.com</v>
      </c>
      <c r="C366" s="1" t="str">
        <f ca="1">IFERROR(__xludf.DUMMYFUNCTION("""COMPUTED_VALUE"""),"Hetal")</f>
        <v>Hetal</v>
      </c>
      <c r="D366" s="1">
        <f ca="1">IFERROR(__xludf.DUMMYFUNCTION("""COMPUTED_VALUE"""),7874048920)</f>
        <v>7874048920</v>
      </c>
      <c r="E366" s="1" t="str">
        <f ca="1">IFERROR(__xludf.DUMMYFUNCTION("""COMPUTED_VALUE"""),"Yes")</f>
        <v>Yes</v>
      </c>
      <c r="F366" s="1" t="str">
        <f ca="1">IFERROR(__xludf.DUMMYFUNCTION("""COMPUTED_VALUE"""),"गुजराती")</f>
        <v>गुजराती</v>
      </c>
      <c r="G366" s="1" t="str">
        <f ca="1">IFERROR(__xludf.DUMMYFUNCTION("""COMPUTED_VALUE"""),"अध्यात्म, धर्म एवं दर्शन")</f>
        <v>अध्यात्म, धर्म एवं दर्शन</v>
      </c>
      <c r="H366" s="1" t="str">
        <f ca="1">IFERROR(__xludf.DUMMYFUNCTION("""COMPUTED_VALUE"""),"अध्यात्म, धर्म एवं आस्तिकता")</f>
        <v>अध्यात्म, धर्म एवं आस्तिकता</v>
      </c>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f ca="1">IFERROR(__xludf.DUMMYFUNCTION("""COMPUTED_VALUE"""),13)</f>
        <v>13</v>
      </c>
      <c r="BX366" s="1">
        <f ca="1">IFERROR(__xludf.DUMMYFUNCTION("""COMPUTED_VALUE"""),13)</f>
        <v>13</v>
      </c>
      <c r="BY366" s="1">
        <f ca="1">IFERROR(__xludf.DUMMYFUNCTION("""COMPUTED_VALUE"""),3)</f>
        <v>3</v>
      </c>
      <c r="BZ366" s="1">
        <f ca="1">IFERROR(__xludf.DUMMYFUNCTION("""COMPUTED_VALUE"""),0)</f>
        <v>0</v>
      </c>
      <c r="CA366" s="1"/>
      <c r="CB366" s="1"/>
      <c r="CC366" s="1" t="str">
        <f ca="1">IFERROR(__xludf.DUMMYFUNCTION("""COMPUTED_VALUE"""),"માનસિક સમતુલા જાળવી રાખો : G_PP_24")</f>
        <v>માનસિક સમતુલા જાળવી રાખો : G_PP_24</v>
      </c>
      <c r="CD366" s="3" t="str">
        <f ca="1">IFERROR(__xludf.DUMMYFUNCTION("""COMPUTED_VALUE"""),"https://vicharkrantibooks.org/productdetail?book_name=GUJP0495_MANASIK_SAMATULA_JALAVI_RAKHO_XXYYYY&amp;product_id=3929")</f>
        <v>https://vicharkrantibooks.org/productdetail?book_name=GUJP0495_MANASIK_SAMATULA_JALAVI_RAKHO_XXYYYY&amp;product_id=3929</v>
      </c>
      <c r="CE366" s="1" t="str">
        <f ca="1">IFERROR(__xludf.DUMMYFUNCTION("""COMPUTED_VALUE"""),"Audiobook : આપણી અંતર્ચેતના જ સાચી ગાયત્રી : G_JS_71 : tushar.pandit7686@gmail.com : Recorded")</f>
        <v>Audiobook : આપણી અંતર્ચેતના જ સાચી ગાયત્રી : G_JS_71 : tushar.pandit7686@gmail.com : Recorded</v>
      </c>
      <c r="CF366" s="1" t="str">
        <f ca="1">IFERROR(__xludf.DUMMYFUNCTION("""COMPUTED_VALUE"""),"#N/A")</f>
        <v>#N/A</v>
      </c>
      <c r="CG366" s="1" t="str">
        <f ca="1">IFERROR(__xludf.DUMMYFUNCTION("""COMPUTED_VALUE"""),"Adarniya Hetal ji માનસિક સમતુલા જાળવી રાખો : G_PP_24 : Allocated on 05-Apr-24 Contact Number  7874048920")</f>
        <v>Adarniya Hetal ji માનસિક સમતુલા જાળવી રાખો : G_PP_24 : Allocated on 05-Apr-24 Contact Number  7874048920</v>
      </c>
      <c r="CH366" s="1" t="str">
        <f ca="1">IFERROR(__xludf.DUMMYFUNCTION("""COMPUTED_VALUE"""),"tushar.pandit7686@gmail.com : માનસિક સમતુલા જાળવી રાખો : G_PP_24")</f>
        <v>tushar.pandit7686@gmail.com : માનસિક સમતુલા જાળવી રાખો : G_PP_24</v>
      </c>
      <c r="CI366" s="5">
        <f ca="1">IFERROR(__xludf.DUMMYFUNCTION("""COMPUTED_VALUE"""),45387.8162562037)</f>
        <v>45387.816256203703</v>
      </c>
    </row>
    <row r="367" spans="1:87" x14ac:dyDescent="0.25">
      <c r="A367" s="5">
        <f ca="1">IFERROR(__xludf.DUMMYFUNCTION("""COMPUTED_VALUE"""),45387.7338631134)</f>
        <v>45387.733863113397</v>
      </c>
      <c r="B367" s="1" t="str">
        <f ca="1">IFERROR(__xludf.DUMMYFUNCTION("""COMPUTED_VALUE"""),"dave.chhaya@gmail.com")</f>
        <v>dave.chhaya@gmail.com</v>
      </c>
      <c r="C367" s="1" t="str">
        <f ca="1">IFERROR(__xludf.DUMMYFUNCTION("""COMPUTED_VALUE"""),"Chhaya Deepak Dave ")</f>
        <v xml:space="preserve">Chhaya Deepak Dave </v>
      </c>
      <c r="D367" s="1">
        <f ca="1">IFERROR(__xludf.DUMMYFUNCTION("""COMPUTED_VALUE"""),9879596556)</f>
        <v>9879596556</v>
      </c>
      <c r="E367" s="1" t="str">
        <f ca="1">IFERROR(__xludf.DUMMYFUNCTION("""COMPUTED_VALUE"""),"Not Relevant")</f>
        <v>Not Relevant</v>
      </c>
      <c r="F367" s="1" t="str">
        <f ca="1">IFERROR(__xludf.DUMMYFUNCTION("""COMPUTED_VALUE"""),"गुजराती")</f>
        <v>गुजराती</v>
      </c>
      <c r="G367" s="1" t="str">
        <f ca="1">IFERROR(__xludf.DUMMYFUNCTION("""COMPUTED_VALUE"""),"युग द्रष्टा पं. श्रीराम शर्मा आचार्यजी")</f>
        <v>युग द्रष्टा पं. श्रीराम शर्मा आचार्यजी</v>
      </c>
      <c r="H367" s="1"/>
      <c r="I367" s="1"/>
      <c r="J367" s="1"/>
      <c r="K367" s="1"/>
      <c r="L367" s="1"/>
      <c r="M367" s="1"/>
      <c r="N367" s="1"/>
      <c r="O367" s="1"/>
      <c r="P367" s="1" t="str">
        <f ca="1">IFERROR(__xludf.DUMMYFUNCTION("""COMPUTED_VALUE"""),"युगॠषी की अमृतवाणी")</f>
        <v>युगॠषी की अमृतवाणी</v>
      </c>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f ca="1">IFERROR(__xludf.DUMMYFUNCTION("""COMPUTED_VALUE"""),46)</f>
        <v>46</v>
      </c>
      <c r="BX367" s="1">
        <f ca="1">IFERROR(__xludf.DUMMYFUNCTION("""COMPUTED_VALUE"""),39)</f>
        <v>39</v>
      </c>
      <c r="BY367" s="1">
        <f ca="1">IFERROR(__xludf.DUMMYFUNCTION("""COMPUTED_VALUE"""),6)</f>
        <v>6</v>
      </c>
      <c r="BZ367" s="1">
        <f ca="1">IFERROR(__xludf.DUMMYFUNCTION("""COMPUTED_VALUE"""),16)</f>
        <v>16</v>
      </c>
      <c r="CA367" s="1"/>
      <c r="CB367" s="1"/>
      <c r="CC367" s="1" t="str">
        <f ca="1">IFERROR(__xludf.DUMMYFUNCTION("""COMPUTED_VALUE"""),"કર્મકાંડમાં છુપાયેલું વ્યક્તિત્વ નિર્માણનું શિક્ષણ : G_JS_38")</f>
        <v>કર્મકાંડમાં છુપાયેલું વ્યક્તિત્વ નિર્માણનું શિક્ષણ : G_JS_38</v>
      </c>
      <c r="CD367" s="3" t="str">
        <f ca="1">IFERROR(__xludf.DUMMYFUNCTION("""COMPUTED_VALUE"""),"https://vicharkrantibooks.org/productdetail?book_name=GUJP0424_KARMAKANDMA_CHHUPAYELU_VYAKTITV_NIRMANANU_SHIKSHAN_XXYYYY&amp;product_id=3763")</f>
        <v>https://vicharkrantibooks.org/productdetail?book_name=GUJP0424_KARMAKANDMA_CHHUPAYELU_VYAKTITV_NIRMANANU_SHIKSHAN_XXYYYY&amp;product_id=3763</v>
      </c>
      <c r="CE367" s="1" t="str">
        <f ca="1">IFERROR(__xludf.DUMMYFUNCTION("""COMPUTED_VALUE"""),"Audiobook : કર્મકાંડમાં છુપાયેલું વ્યક્તિત્વ નિર્માણનું શિક્ષણ : G_JS_38 : dave.chhaya@gmail.com : Recorded")</f>
        <v>Audiobook : કર્મકાંડમાં છુપાયેલું વ્યક્તિત્વ નિર્માણનું શિક્ષણ : G_JS_38 : dave.chhaya@gmail.com : Recorded</v>
      </c>
      <c r="CF367" s="1" t="str">
        <f ca="1">IFERROR(__xludf.DUMMYFUNCTION("""COMPUTED_VALUE"""),"Audiobook : કર્મકાંડમાં છુપાયેલું વ્યક્તિત્વ નિર્માણનું શિક્ષણ : G_JS_38 : dave.chhaya@gmail.com : Recorded")</f>
        <v>Audiobook : કર્મકાંડમાં છુપાયેલું વ્યક્તિત્વ નિર્માણનું શિક્ષણ : G_JS_38 : dave.chhaya@gmail.com : Recorded</v>
      </c>
      <c r="CG367" s="1" t="str">
        <f ca="1">IFERROR(__xludf.DUMMYFUNCTION("""COMPUTED_VALUE"""),"Adarniya Chhaya Deepak Dave  ji કર્મકાંડમાં છુપાયેલું વ્યક્તિત્વ નિર્માણનું શિક્ષણ : G_JS_38 : Allocated on 05-Apr-24 Contact Number  9879596556")</f>
        <v>Adarniya Chhaya Deepak Dave  ji કર્મકાંડમાં છુપાયેલું વ્યક્તિત્વ નિર્માણનું શિક્ષણ : G_JS_38 : Allocated on 05-Apr-24 Contact Number  9879596556</v>
      </c>
      <c r="CH367" s="1" t="str">
        <f ca="1">IFERROR(__xludf.DUMMYFUNCTION("""COMPUTED_VALUE"""),"dave.chhaya@gmail.com : કર્મકાંડમાં છુપાયેલું વ્યક્તિત્વ નિર્માણનું શિક્ષણ : G_JS_38")</f>
        <v>dave.chhaya@gmail.com : કર્મકાંડમાં છુપાયેલું વ્યક્તિત્વ નિર્માણનું શિક્ષણ : G_JS_38</v>
      </c>
      <c r="CI367" s="5">
        <f ca="1">IFERROR(__xludf.DUMMYFUNCTION("""COMPUTED_VALUE"""),45387.7338631134)</f>
        <v>45387.733863113397</v>
      </c>
    </row>
    <row r="368" spans="1:87" x14ac:dyDescent="0.25">
      <c r="A368" s="5">
        <f ca="1">IFERROR(__xludf.DUMMYFUNCTION("""COMPUTED_VALUE"""),45387.2928239351)</f>
        <v>45387.292823935102</v>
      </c>
      <c r="B368" s="1" t="str">
        <f ca="1">IFERROR(__xludf.DUMMYFUNCTION("""COMPUTED_VALUE"""),"sneha09.here@gmail.com")</f>
        <v>sneha09.here@gmail.com</v>
      </c>
      <c r="C368" s="1" t="str">
        <f ca="1">IFERROR(__xludf.DUMMYFUNCTION("""COMPUTED_VALUE"""),"Sneha Chaudhari")</f>
        <v>Sneha Chaudhari</v>
      </c>
      <c r="D368" s="1" t="str">
        <f ca="1">IFERROR(__xludf.DUMMYFUNCTION("""COMPUTED_VALUE"""),"+12243245848")</f>
        <v>+12243245848</v>
      </c>
      <c r="E368" s="1" t="str">
        <f ca="1">IFERROR(__xludf.DUMMYFUNCTION("""COMPUTED_VALUE"""),"Yes")</f>
        <v>Yes</v>
      </c>
      <c r="F368" s="1" t="str">
        <f ca="1">IFERROR(__xludf.DUMMYFUNCTION("""COMPUTED_VALUE"""),"गुजराती")</f>
        <v>गुजराती</v>
      </c>
      <c r="G368" s="1" t="str">
        <f ca="1">IFERROR(__xludf.DUMMYFUNCTION("""COMPUTED_VALUE"""),"युग द्रष्टा पं. श्रीराम शर्मा आचार्यजी")</f>
        <v>युग द्रष्टा पं. श्रीराम शर्मा आचार्यजी</v>
      </c>
      <c r="H368" s="1"/>
      <c r="I368" s="1"/>
      <c r="J368" s="1"/>
      <c r="K368" s="1"/>
      <c r="L368" s="1"/>
      <c r="M368" s="1"/>
      <c r="N368" s="1"/>
      <c r="O368" s="1"/>
      <c r="P368" s="1" t="str">
        <f ca="1">IFERROR(__xludf.DUMMYFUNCTION("""COMPUTED_VALUE"""),"युगॠषी का जीवनदर्शन")</f>
        <v>युगॠषी का जीवनदर्शन</v>
      </c>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f ca="1">IFERROR(__xludf.DUMMYFUNCTION("""COMPUTED_VALUE"""),3)</f>
        <v>3</v>
      </c>
      <c r="BX368" s="1">
        <f ca="1">IFERROR(__xludf.DUMMYFUNCTION("""COMPUTED_VALUE"""),3)</f>
        <v>3</v>
      </c>
      <c r="BY368" s="1">
        <f ca="1">IFERROR(__xludf.DUMMYFUNCTION("""COMPUTED_VALUE"""),1)</f>
        <v>1</v>
      </c>
      <c r="BZ368" s="1">
        <f ca="1">IFERROR(__xludf.DUMMYFUNCTION("""COMPUTED_VALUE"""),0)</f>
        <v>0</v>
      </c>
      <c r="CA368" s="1"/>
      <c r="CB368" s="1"/>
      <c r="CC368" s="1" t="str">
        <f ca="1">IFERROR(__xludf.DUMMYFUNCTION("""COMPUTED_VALUE"""),"દૈવી સભ્યતાનો ફેલાવો કરો : G_JS_75")</f>
        <v>દૈવી સભ્યતાનો ફેલાવો કરો : G_JS_75</v>
      </c>
      <c r="CD368" s="3" t="str">
        <f ca="1">IFERROR(__xludf.DUMMYFUNCTION("""COMPUTED_VALUE"""),"https://vicharkrantibooks.org/productdetail?product_id=3800")</f>
        <v>https://vicharkrantibooks.org/productdetail?product_id=3800</v>
      </c>
      <c r="CE368" s="1" t="str">
        <f ca="1">IFERROR(__xludf.DUMMYFUNCTION("""COMPUTED_VALUE"""),"Audiobook : દૈવી સભ્યતાનો ફેલાવો કરો : G_JS_75 : sneha09.here@gmail.com : Recorded")</f>
        <v>Audiobook : દૈવી સભ્યતાનો ફેલાવો કરો : G_JS_75 : sneha09.here@gmail.com : Recorded</v>
      </c>
      <c r="CF368" s="1" t="str">
        <f ca="1">IFERROR(__xludf.DUMMYFUNCTION("""COMPUTED_VALUE"""),"Audiobook : દૈવી સભ્યતાનો ફેલાવો કરો : G_JS_75 : sneha09.here@gmail.com : Recorded")</f>
        <v>Audiobook : દૈવી સભ્યતાનો ફેલાવો કરો : G_JS_75 : sneha09.here@gmail.com : Recorded</v>
      </c>
      <c r="CG368" s="1" t="str">
        <f ca="1">IFERROR(__xludf.DUMMYFUNCTION("""COMPUTED_VALUE"""),"Adarniya Sneha Chaudhari ji દૈવી સભ્યતાનો ફેલાવો કરો : G_JS_75 : Allocated on 05-Apr-24 Contact Number  +12243245848")</f>
        <v>Adarniya Sneha Chaudhari ji દૈવી સભ્યતાનો ફેલાવો કરો : G_JS_75 : Allocated on 05-Apr-24 Contact Number  +12243245848</v>
      </c>
      <c r="CH368" s="1" t="str">
        <f ca="1">IFERROR(__xludf.DUMMYFUNCTION("""COMPUTED_VALUE"""),"sneha09.here@gmail.com : દૈવી સભ્યતાનો ફેલાવો કરો : G_JS_75")</f>
        <v>sneha09.here@gmail.com : દૈવી સભ્યતાનો ફેલાવો કરો : G_JS_75</v>
      </c>
      <c r="CI368" s="5">
        <f ca="1">IFERROR(__xludf.DUMMYFUNCTION("""COMPUTED_VALUE"""),45387.2928239351)</f>
        <v>45387.292823935102</v>
      </c>
    </row>
    <row r="369" spans="1:87" x14ac:dyDescent="0.25">
      <c r="A369" s="5">
        <f ca="1">IFERROR(__xludf.DUMMYFUNCTION("""COMPUTED_VALUE"""),45386.9487417245)</f>
        <v>45386.948741724504</v>
      </c>
      <c r="B369" s="1" t="str">
        <f ca="1">IFERROR(__xludf.DUMMYFUNCTION("""COMPUTED_VALUE"""),"premlatadevi4669@gmail.com")</f>
        <v>premlatadevi4669@gmail.com</v>
      </c>
      <c r="C369" s="1" t="str">
        <f ca="1">IFERROR(__xludf.DUMMYFUNCTION("""COMPUTED_VALUE"""),"Premlata barnwal")</f>
        <v>Premlata barnwal</v>
      </c>
      <c r="D369" s="1">
        <f ca="1">IFERROR(__xludf.DUMMYFUNCTION("""COMPUTED_VALUE"""),9372282030)</f>
        <v>9372282030</v>
      </c>
      <c r="E369" s="1" t="str">
        <f ca="1">IFERROR(__xludf.DUMMYFUNCTION("""COMPUTED_VALUE"""),"Yes")</f>
        <v>Yes</v>
      </c>
      <c r="F369" s="1" t="str">
        <f ca="1">IFERROR(__xludf.DUMMYFUNCTION("""COMPUTED_VALUE"""),"हिन्दी")</f>
        <v>हिन्दी</v>
      </c>
      <c r="G369" s="1" t="str">
        <f ca="1">IFERROR(__xludf.DUMMYFUNCTION("""COMPUTED_VALUE"""),"परिवार निर्माण")</f>
        <v>परिवार निर्माण</v>
      </c>
      <c r="H369" s="1"/>
      <c r="I369" s="1"/>
      <c r="J369" s="1"/>
      <c r="K369" s="1"/>
      <c r="L369" s="1"/>
      <c r="M369" s="1" t="str">
        <f ca="1">IFERROR(__xludf.DUMMYFUNCTION("""COMPUTED_VALUE"""),"परिवार")</f>
        <v>परिवार</v>
      </c>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f ca="1">IFERROR(__xludf.DUMMYFUNCTION("""COMPUTED_VALUE"""),13)</f>
        <v>13</v>
      </c>
      <c r="BX369" s="1">
        <f ca="1">IFERROR(__xludf.DUMMYFUNCTION("""COMPUTED_VALUE"""),10)</f>
        <v>10</v>
      </c>
      <c r="BY369" s="1">
        <f ca="1">IFERROR(__xludf.DUMMYFUNCTION("""COMPUTED_VALUE"""),7)</f>
        <v>7</v>
      </c>
      <c r="BZ369" s="1">
        <f ca="1">IFERROR(__xludf.DUMMYFUNCTION("""COMPUTED_VALUE"""),2)</f>
        <v>2</v>
      </c>
      <c r="CA369" s="1"/>
      <c r="CB369" s="1"/>
      <c r="CC369" s="1" t="str">
        <f ca="1">IFERROR(__xludf.DUMMYFUNCTION("""COMPUTED_VALUE"""),"दाम्पत्य जीवन का प्रयोजन एवं सुनियोजन : Rare Book")</f>
        <v>दाम्पत्य जीवन का प्रयोजन एवं सुनियोजन : Rare Book</v>
      </c>
      <c r="CD369" s="3" t="str">
        <f ca="1">IFERROR(__xludf.DUMMYFUNCTION("""COMPUTED_VALUE"""),"https://vicharkrantibooks.org/productdetail?product_id=303")</f>
        <v>https://vicharkrantibooks.org/productdetail?product_id=303</v>
      </c>
      <c r="CE369" s="1" t="str">
        <f ca="1">IFERROR(__xludf.DUMMYFUNCTION("""COMPUTED_VALUE"""),"Audiobook : दाम्पत्य जीवन का प्रयोजन एवं सुनियोजन : Rare Book : premlatadevi4669@gmail.com : Recorded")</f>
        <v>Audiobook : दाम्पत्य जीवन का प्रयोजन एवं सुनियोजन : Rare Book : premlatadevi4669@gmail.com : Recorded</v>
      </c>
      <c r="CF369" s="1" t="str">
        <f ca="1">IFERROR(__xludf.DUMMYFUNCTION("""COMPUTED_VALUE"""),"Audiobook : दाम्पत्य जीवन का प्रयोजन एवं सुनियोजन : Rare Book : premlatadevi4669@gmail.com : Recorded")</f>
        <v>Audiobook : दाम्पत्य जीवन का प्रयोजन एवं सुनियोजन : Rare Book : premlatadevi4669@gmail.com : Recorded</v>
      </c>
      <c r="CG369" s="1" t="str">
        <f ca="1">IFERROR(__xludf.DUMMYFUNCTION("""COMPUTED_VALUE"""),"Adarniya Premlata barnwal ji दाम्पत्य जीवन का प्रयोजन एवं सुनियोजन : Rare Book : Allocated on 04-Apr-24 Contact Number  9372282030")</f>
        <v>Adarniya Premlata barnwal ji दाम्पत्य जीवन का प्रयोजन एवं सुनियोजन : Rare Book : Allocated on 04-Apr-24 Contact Number  9372282030</v>
      </c>
      <c r="CH369" s="1" t="str">
        <f ca="1">IFERROR(__xludf.DUMMYFUNCTION("""COMPUTED_VALUE"""),"premlatadevi4669@gmail.com : दाम्पत्य जीवन का प्रयोजन एवं सुनियोजन : Rare Book")</f>
        <v>premlatadevi4669@gmail.com : दाम्पत्य जीवन का प्रयोजन एवं सुनियोजन : Rare Book</v>
      </c>
      <c r="CI369" s="5">
        <f ca="1">IFERROR(__xludf.DUMMYFUNCTION("""COMPUTED_VALUE"""),45386.9487417245)</f>
        <v>45386.948741724504</v>
      </c>
    </row>
    <row r="370" spans="1:87" x14ac:dyDescent="0.25">
      <c r="A370" s="5">
        <f ca="1">IFERROR(__xludf.DUMMYFUNCTION("""COMPUTED_VALUE"""),45386.8906411342)</f>
        <v>45386.890641134203</v>
      </c>
      <c r="B370" s="1" t="str">
        <f ca="1">IFERROR(__xludf.DUMMYFUNCTION("""COMPUTED_VALUE"""),"druma4107@gmail.com")</f>
        <v>druma4107@gmail.com</v>
      </c>
      <c r="C370" s="1" t="str">
        <f ca="1">IFERROR(__xludf.DUMMYFUNCTION("""COMPUTED_VALUE"""),"Dr Uma Agrawal")</f>
        <v>Dr Uma Agrawal</v>
      </c>
      <c r="D370" s="1">
        <f ca="1">IFERROR(__xludf.DUMMYFUNCTION("""COMPUTED_VALUE"""),9410861182)</f>
        <v>9410861182</v>
      </c>
      <c r="E370" s="1" t="str">
        <f ca="1">IFERROR(__xludf.DUMMYFUNCTION("""COMPUTED_VALUE"""),"Yes")</f>
        <v>Yes</v>
      </c>
      <c r="F370" s="1" t="str">
        <f ca="1">IFERROR(__xludf.DUMMYFUNCTION("""COMPUTED_VALUE"""),"हिन्दी")</f>
        <v>हिन्दी</v>
      </c>
      <c r="G370" s="1" t="str">
        <f ca="1">IFERROR(__xludf.DUMMYFUNCTION("""COMPUTED_VALUE"""),"युग परिवर्तन-विचार क्रांति")</f>
        <v>युग परिवर्तन-विचार क्रांति</v>
      </c>
      <c r="H370" s="1"/>
      <c r="I370" s="1"/>
      <c r="J370" s="1"/>
      <c r="K370" s="1"/>
      <c r="L370" s="1"/>
      <c r="M370" s="1"/>
      <c r="N370" s="1"/>
      <c r="O370" s="1"/>
      <c r="P370" s="1"/>
      <c r="Q370" s="1" t="str">
        <f ca="1">IFERROR(__xludf.DUMMYFUNCTION("""COMPUTED_VALUE"""),"युग निर्माण योजना एवं युग परिवर्तन")</f>
        <v>युग निर्माण योजना एवं युग परिवर्तन</v>
      </c>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f ca="1">IFERROR(__xludf.DUMMYFUNCTION("""COMPUTED_VALUE"""),104)</f>
        <v>104</v>
      </c>
      <c r="BX370" s="1">
        <f ca="1">IFERROR(__xludf.DUMMYFUNCTION("""COMPUTED_VALUE"""),106)</f>
        <v>106</v>
      </c>
      <c r="BY370" s="1">
        <f ca="1">IFERROR(__xludf.DUMMYFUNCTION("""COMPUTED_VALUE"""),9)</f>
        <v>9</v>
      </c>
      <c r="BZ370" s="1">
        <f ca="1">IFERROR(__xludf.DUMMYFUNCTION("""COMPUTED_VALUE"""),43)</f>
        <v>43</v>
      </c>
      <c r="CA370" s="1"/>
      <c r="CB370" s="1"/>
      <c r="CC370" s="1" t="str">
        <f ca="1">IFERROR(__xludf.DUMMYFUNCTION("""COMPUTED_VALUE"""),"युग अवतार प्रज्ञावतार : Rare Book")</f>
        <v>युग अवतार प्रज्ञावतार : Rare Book</v>
      </c>
      <c r="CD370" s="3" t="str">
        <f ca="1">IFERROR(__xludf.DUMMYFUNCTION("""COMPUTED_VALUE"""),"https://vicharkrantibooks.org/productdetail?book_name=HINP1030_YUG_AVATAR_PRAGYAVATAR_xx1982&amp;product_id=1595")</f>
        <v>https://vicharkrantibooks.org/productdetail?book_name=HINP1030_YUG_AVATAR_PRAGYAVATAR_xx1982&amp;product_id=1595</v>
      </c>
      <c r="CE370" s="1" t="str">
        <f ca="1">IFERROR(__xludf.DUMMYFUNCTION("""COMPUTED_VALUE"""),"Audiobook : युग अवतार प्रज्ञावतार : Rare Book : druma4107@gmail.com : Recorded")</f>
        <v>Audiobook : युग अवतार प्रज्ञावतार : Rare Book : druma4107@gmail.com : Recorded</v>
      </c>
      <c r="CF370" s="1" t="str">
        <f ca="1">IFERROR(__xludf.DUMMYFUNCTION("""COMPUTED_VALUE"""),"Audiobook : युग अवतार प्रज्ञावतार : Rare Book : druma4107@gmail.com : Recorded")</f>
        <v>Audiobook : युग अवतार प्रज्ञावतार : Rare Book : druma4107@gmail.com : Recorded</v>
      </c>
      <c r="CG370" s="1" t="str">
        <f ca="1">IFERROR(__xludf.DUMMYFUNCTION("""COMPUTED_VALUE"""),"Adarniya Dr Uma Agrawal ji युग अवतार प्रज्ञावतार : Rare Book : Allocated on 04-Apr-24 Contact Number  9410861182")</f>
        <v>Adarniya Dr Uma Agrawal ji युग अवतार प्रज्ञावतार : Rare Book : Allocated on 04-Apr-24 Contact Number  9410861182</v>
      </c>
      <c r="CH370" s="1" t="str">
        <f ca="1">IFERROR(__xludf.DUMMYFUNCTION("""COMPUTED_VALUE"""),"druma4107@gmail.com : युग अवतार प्रज्ञावतार : Rare Book")</f>
        <v>druma4107@gmail.com : युग अवतार प्रज्ञावतार : Rare Book</v>
      </c>
      <c r="CI370" s="5">
        <f ca="1">IFERROR(__xludf.DUMMYFUNCTION("""COMPUTED_VALUE"""),45386.8906411342)</f>
        <v>45386.890641134203</v>
      </c>
    </row>
    <row r="371" spans="1:87" x14ac:dyDescent="0.25">
      <c r="A371" s="5">
        <f ca="1">IFERROR(__xludf.DUMMYFUNCTION("""COMPUTED_VALUE"""),45386.8354327662)</f>
        <v>45386.835432766202</v>
      </c>
      <c r="B371" s="1" t="str">
        <f ca="1">IFERROR(__xludf.DUMMYFUNCTION("""COMPUTED_VALUE"""),"kalagpatel1959@gmail.com")</f>
        <v>kalagpatel1959@gmail.com</v>
      </c>
      <c r="C371" s="1" t="str">
        <f ca="1">IFERROR(__xludf.DUMMYFUNCTION("""COMPUTED_VALUE"""),"Kala Patel ")</f>
        <v xml:space="preserve">Kala Patel </v>
      </c>
      <c r="D371" s="1">
        <f ca="1">IFERROR(__xludf.DUMMYFUNCTION("""COMPUTED_VALUE"""),9016250929)</f>
        <v>9016250929</v>
      </c>
      <c r="E371" s="1" t="str">
        <f ca="1">IFERROR(__xludf.DUMMYFUNCTION("""COMPUTED_VALUE"""),"Yes")</f>
        <v>Yes</v>
      </c>
      <c r="F371" s="1" t="str">
        <f ca="1">IFERROR(__xludf.DUMMYFUNCTION("""COMPUTED_VALUE"""),"गुजराती")</f>
        <v>गुजराती</v>
      </c>
      <c r="G371" s="1" t="str">
        <f ca="1">IFERROR(__xludf.DUMMYFUNCTION("""COMPUTED_VALUE"""),"अध्यात्म, धर्म एवं दर्शन")</f>
        <v>अध्यात्म, धर्म एवं दर्शन</v>
      </c>
      <c r="H371" s="1" t="str">
        <f ca="1">IFERROR(__xludf.DUMMYFUNCTION("""COMPUTED_VALUE"""),"आत्मज्ञान एवं आत्मनिर्माण")</f>
        <v>आत्मज्ञान एवं आत्मनिर्माण</v>
      </c>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f ca="1">IFERROR(__xludf.DUMMYFUNCTION("""COMPUTED_VALUE"""),34)</f>
        <v>34</v>
      </c>
      <c r="BX371" s="1">
        <f ca="1">IFERROR(__xludf.DUMMYFUNCTION("""COMPUTED_VALUE"""),34)</f>
        <v>34</v>
      </c>
      <c r="BY371" s="1">
        <f ca="1">IFERROR(__xludf.DUMMYFUNCTION("""COMPUTED_VALUE"""),4)</f>
        <v>4</v>
      </c>
      <c r="BZ371" s="1">
        <f ca="1">IFERROR(__xludf.DUMMYFUNCTION("""COMPUTED_VALUE"""),11)</f>
        <v>11</v>
      </c>
      <c r="CA371" s="1"/>
      <c r="CB371" s="1"/>
      <c r="CC371" s="1" t="str">
        <f ca="1">IFERROR(__xludf.DUMMYFUNCTION("""COMPUTED_VALUE"""),"આધ્યાત્મિક કાયાકલ્પનું વિધિ-વિધાન ભાગ- ૨ : G_JS_26")</f>
        <v>આધ્યાત્મિક કાયાકલ્પનું વિધિ-વિધાન ભાગ- ૨ : G_JS_26</v>
      </c>
      <c r="CD371" s="3" t="str">
        <f ca="1">IFERROR(__xludf.DUMMYFUNCTION("""COMPUTED_VALUE"""),"https://vicharkrantibooks.org/productdetail?product_id=3751")</f>
        <v>https://vicharkrantibooks.org/productdetail?product_id=3751</v>
      </c>
      <c r="CE371" s="1" t="str">
        <f ca="1">IFERROR(__xludf.DUMMYFUNCTION("""COMPUTED_VALUE"""),"Audiobook : આધ્યાત્મિક કાયાકલ્પનું વિધિ-વિધાન ભાગ- ૨ : G_JS_26 : kalagpatel1959@gmail.com : Recorded")</f>
        <v>Audiobook : આધ્યાત્મિક કાયાકલ્પનું વિધિ-વિધાન ભાગ- ૨ : G_JS_26 : kalagpatel1959@gmail.com : Recorded</v>
      </c>
      <c r="CF371" s="1" t="str">
        <f ca="1">IFERROR(__xludf.DUMMYFUNCTION("""COMPUTED_VALUE"""),"Audiobook : આધ્યાત્મિક કાયાકલ્પનું વિધિ-વિધાન ભાગ- ૨ : G_JS_26 : kalagpatel1959@gmail.com : Recorded")</f>
        <v>Audiobook : આધ્યાત્મિક કાયાકલ્પનું વિધિ-વિધાન ભાગ- ૨ : G_JS_26 : kalagpatel1959@gmail.com : Recorded</v>
      </c>
      <c r="CG371" s="1" t="str">
        <f ca="1">IFERROR(__xludf.DUMMYFUNCTION("""COMPUTED_VALUE"""),"Adarniya Kala Patel  ji આધ્યાત્મિક કાયાકલ્પનું વિધિ-વિધાન ભાગ- ૨ : G_JS_26 : Allocated on 04-Apr-24 Contact Number  9016250929")</f>
        <v>Adarniya Kala Patel  ji આધ્યાત્મિક કાયાકલ્પનું વિધિ-વિધાન ભાગ- ૨ : G_JS_26 : Allocated on 04-Apr-24 Contact Number  9016250929</v>
      </c>
      <c r="CH371" s="1" t="str">
        <f ca="1">IFERROR(__xludf.DUMMYFUNCTION("""COMPUTED_VALUE"""),"kalagpatel1959@gmail.com : આધ્યાત્મિક કાયાકલ્પનું વિધિ-વિધાન ભાગ- ૨ : G_JS_26")</f>
        <v>kalagpatel1959@gmail.com : આધ્યાત્મિક કાયાકલ્પનું વિધિ-વિધાન ભાગ- ૨ : G_JS_26</v>
      </c>
      <c r="CI371" s="5">
        <f ca="1">IFERROR(__xludf.DUMMYFUNCTION("""COMPUTED_VALUE"""),45386.8354327662)</f>
        <v>45386.835432766202</v>
      </c>
    </row>
    <row r="372" spans="1:87" x14ac:dyDescent="0.25">
      <c r="A372" s="5">
        <f ca="1">IFERROR(__xludf.DUMMYFUNCTION("""COMPUTED_VALUE"""),45386.5871124305)</f>
        <v>45386.587112430498</v>
      </c>
      <c r="B372" s="1" t="str">
        <f ca="1">IFERROR(__xludf.DUMMYFUNCTION("""COMPUTED_VALUE"""),"guptarakhi072@gmail.com")</f>
        <v>guptarakhi072@gmail.com</v>
      </c>
      <c r="C372" s="1" t="str">
        <f ca="1">IFERROR(__xludf.DUMMYFUNCTION("""COMPUTED_VALUE"""),"Rakhi gupta ")</f>
        <v xml:space="preserve">Rakhi gupta </v>
      </c>
      <c r="D372" s="1">
        <f ca="1">IFERROR(__xludf.DUMMYFUNCTION("""COMPUTED_VALUE"""),8128540757)</f>
        <v>8128540757</v>
      </c>
      <c r="E372" s="1" t="str">
        <f ca="1">IFERROR(__xludf.DUMMYFUNCTION("""COMPUTED_VALUE"""),"Yes")</f>
        <v>Yes</v>
      </c>
      <c r="F372" s="1" t="str">
        <f ca="1">IFERROR(__xludf.DUMMYFUNCTION("""COMPUTED_VALUE"""),"हिन्दी")</f>
        <v>हिन्दी</v>
      </c>
      <c r="G372" s="1" t="str">
        <f ca="1">IFERROR(__xludf.DUMMYFUNCTION("""COMPUTED_VALUE"""),"परिवार निर्माण")</f>
        <v>परिवार निर्माण</v>
      </c>
      <c r="H372" s="1"/>
      <c r="I372" s="1"/>
      <c r="J372" s="1"/>
      <c r="K372" s="1"/>
      <c r="L372" s="1"/>
      <c r="M372" s="1" t="str">
        <f ca="1">IFERROR(__xludf.DUMMYFUNCTION("""COMPUTED_VALUE"""),"बाल मनोविज्ञान")</f>
        <v>बाल मनोविज्ञान</v>
      </c>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f ca="1">IFERROR(__xludf.DUMMYFUNCTION("""COMPUTED_VALUE"""),21)</f>
        <v>21</v>
      </c>
      <c r="BX372" s="1">
        <f ca="1">IFERROR(__xludf.DUMMYFUNCTION("""COMPUTED_VALUE"""),20)</f>
        <v>20</v>
      </c>
      <c r="BY372" s="1">
        <f ca="1">IFERROR(__xludf.DUMMYFUNCTION("""COMPUTED_VALUE"""),2)</f>
        <v>2</v>
      </c>
      <c r="BZ372" s="1">
        <f ca="1">IFERROR(__xludf.DUMMYFUNCTION("""COMPUTED_VALUE"""),14)</f>
        <v>14</v>
      </c>
      <c r="CA372" s="1"/>
      <c r="CB372" s="1"/>
      <c r="CC372" s="1" t="str">
        <f ca="1">IFERROR(__xludf.DUMMYFUNCTION("""COMPUTED_VALUE"""),"संयुक्त परिवार का आधार स्नेह और सहकार : Rare Book")</f>
        <v>संयुक्त परिवार का आधार स्नेह और सहकार : Rare Book</v>
      </c>
      <c r="CD372" s="3" t="str">
        <f ca="1">IFERROR(__xludf.DUMMYFUNCTION("""COMPUTED_VALUE"""),"https://vicharkrantibooks.org/productdetail?book_name=HINP0804_SANYUKT_PARIWAR_KA_ADHAR_SNEH_AUR_SAHAKAR_xx1981&amp;product_id=1369")</f>
        <v>https://vicharkrantibooks.org/productdetail?book_name=HINP0804_SANYUKT_PARIWAR_KA_ADHAR_SNEH_AUR_SAHAKAR_xx1981&amp;product_id=1369</v>
      </c>
      <c r="CE372" s="1" t="str">
        <f ca="1">IFERROR(__xludf.DUMMYFUNCTION("""COMPUTED_VALUE"""),"Audiobook : संयुक्त परिवार का आधार स्नेह और सहकार : Rare Book : guptarakhi072@gmail.com : Recorded")</f>
        <v>Audiobook : संयुक्त परिवार का आधार स्नेह और सहकार : Rare Book : guptarakhi072@gmail.com : Recorded</v>
      </c>
      <c r="CF372" s="1" t="str">
        <f ca="1">IFERROR(__xludf.DUMMYFUNCTION("""COMPUTED_VALUE"""),"Audiobook : संयुक्त परिवार का आधार स्नेह और सहकार : Rare Book : guptarakhi072@gmail.com : Recorded")</f>
        <v>Audiobook : संयुक्त परिवार का आधार स्नेह और सहकार : Rare Book : guptarakhi072@gmail.com : Recorded</v>
      </c>
      <c r="CG372" s="1" t="str">
        <f ca="1">IFERROR(__xludf.DUMMYFUNCTION("""COMPUTED_VALUE"""),"Adarniya Rakhi gupta  ji संयुक्त परिवार का आधार स्नेह और सहकार : Rare Book : Allocated on 04-Apr-24 Contact Number  8128540757")</f>
        <v>Adarniya Rakhi gupta  ji संयुक्त परिवार का आधार स्नेह और सहकार : Rare Book : Allocated on 04-Apr-24 Contact Number  8128540757</v>
      </c>
      <c r="CH372" s="1" t="str">
        <f ca="1">IFERROR(__xludf.DUMMYFUNCTION("""COMPUTED_VALUE"""),"guptarakhi072@gmail.com : संयुक्त परिवार का आधार स्नेह और सहकार : Rare Book")</f>
        <v>guptarakhi072@gmail.com : संयुक्त परिवार का आधार स्नेह और सहकार : Rare Book</v>
      </c>
      <c r="CI372" s="5">
        <f ca="1">IFERROR(__xludf.DUMMYFUNCTION("""COMPUTED_VALUE"""),45386.5871124305)</f>
        <v>45386.587112430498</v>
      </c>
    </row>
    <row r="373" spans="1:87" x14ac:dyDescent="0.25">
      <c r="A373" s="5">
        <f ca="1">IFERROR(__xludf.DUMMYFUNCTION("""COMPUTED_VALUE"""),45386.4399879861)</f>
        <v>45386.439987986101</v>
      </c>
      <c r="B373" s="1" t="str">
        <f ca="1">IFERROR(__xludf.DUMMYFUNCTION("""COMPUTED_VALUE"""),"manjusingh6902@gmail.comman")</f>
        <v>manjusingh6902@gmail.comman</v>
      </c>
      <c r="C373" s="1" t="str">
        <f ca="1">IFERROR(__xludf.DUMMYFUNCTION("""COMPUTED_VALUE"""),"Manju singh")</f>
        <v>Manju singh</v>
      </c>
      <c r="D373" s="1">
        <f ca="1">IFERROR(__xludf.DUMMYFUNCTION("""COMPUTED_VALUE"""),9468456902)</f>
        <v>9468456902</v>
      </c>
      <c r="E373" s="1" t="str">
        <f ca="1">IFERROR(__xludf.DUMMYFUNCTION("""COMPUTED_VALUE"""),"Yes")</f>
        <v>Yes</v>
      </c>
      <c r="F373" s="1" t="str">
        <f ca="1">IFERROR(__xludf.DUMMYFUNCTION("""COMPUTED_VALUE"""),"हिन्दी")</f>
        <v>हिन्दी</v>
      </c>
      <c r="G373" s="1" t="str">
        <f ca="1">IFERROR(__xludf.DUMMYFUNCTION("""COMPUTED_VALUE"""),"पर्यावरण संरक्षण")</f>
        <v>पर्यावरण संरक्षण</v>
      </c>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f ca="1">IFERROR(__xludf.DUMMYFUNCTION("""COMPUTED_VALUE"""),1)</f>
        <v>1</v>
      </c>
      <c r="BX373" s="1">
        <f ca="1">IFERROR(__xludf.DUMMYFUNCTION("""COMPUTED_VALUE"""),0)</f>
        <v>0</v>
      </c>
      <c r="BY373" s="1">
        <f ca="1">IFERROR(__xludf.DUMMYFUNCTION("""COMPUTED_VALUE"""),1)</f>
        <v>1</v>
      </c>
      <c r="BZ373" s="1">
        <f ca="1">IFERROR(__xludf.DUMMYFUNCTION("""COMPUTED_VALUE"""),0)</f>
        <v>0</v>
      </c>
      <c r="CA373" s="1"/>
      <c r="CB373" s="1"/>
      <c r="CC373" s="1" t="str">
        <f ca="1">IFERROR(__xludf.DUMMYFUNCTION("""COMPUTED_VALUE"""),"वनस्पतियाँ उगायें, अमृतोपम लाभ उठायें : Rare Book")</f>
        <v>वनस्पतियाँ उगायें, अमृतोपम लाभ उठायें : Rare Book</v>
      </c>
      <c r="CD373" s="3" t="str">
        <f ca="1">IFERROR(__xludf.DUMMYFUNCTION("""COMPUTED_VALUE"""),"https://vicharkrantibooks.org/productdetail?book_name=HINF0310_VANASPATIYAN_UGAYEN_AMRUTOPAM_LABH_UTHAYEN_xxyyyy&amp;product_id=530")</f>
        <v>https://vicharkrantibooks.org/productdetail?book_name=HINF0310_VANASPATIYAN_UGAYEN_AMRUTOPAM_LABH_UTHAYEN_xxyyyy&amp;product_id=530</v>
      </c>
      <c r="CE373" s="1" t="str">
        <f ca="1">IFERROR(__xludf.DUMMYFUNCTION("""COMPUTED_VALUE"""),"Audiobook : वनस्पतियाँ उगायें, अमृतोपम लाभ उठायें : Rare Book : manjusingh6902@gmail.comman : Recorded")</f>
        <v>Audiobook : वनस्पतियाँ उगायें, अमृतोपम लाभ उठायें : Rare Book : manjusingh6902@gmail.comman : Recorded</v>
      </c>
      <c r="CF373" s="1" t="str">
        <f ca="1">IFERROR(__xludf.DUMMYFUNCTION("""COMPUTED_VALUE"""),"#N/A")</f>
        <v>#N/A</v>
      </c>
      <c r="CG373" s="1" t="str">
        <f ca="1">IFERROR(__xludf.DUMMYFUNCTION("""COMPUTED_VALUE"""),"Adarniya Manju singh ji वनस्पतियाँ उगायें, अमृतोपम लाभ उठायें : Rare Book : Allocated on 04-Apr-24 Contact Number  9468456902")</f>
        <v>Adarniya Manju singh ji वनस्पतियाँ उगायें, अमृतोपम लाभ उठायें : Rare Book : Allocated on 04-Apr-24 Contact Number  9468456902</v>
      </c>
      <c r="CH373" s="1" t="str">
        <f ca="1">IFERROR(__xludf.DUMMYFUNCTION("""COMPUTED_VALUE"""),"manjusingh6902@gmail.comman : वनस्पतियाँ उगायें, अमृतोपम लाभ उठायें : Rare Book")</f>
        <v>manjusingh6902@gmail.comman : वनस्पतियाँ उगायें, अमृतोपम लाभ उठायें : Rare Book</v>
      </c>
      <c r="CI373" s="5">
        <f ca="1">IFERROR(__xludf.DUMMYFUNCTION("""COMPUTED_VALUE"""),45386.4399879861)</f>
        <v>45386.439987986101</v>
      </c>
    </row>
    <row r="374" spans="1:87" x14ac:dyDescent="0.25">
      <c r="A374" s="5">
        <f ca="1">IFERROR(__xludf.DUMMYFUNCTION("""COMPUTED_VALUE"""),45386.2566801504)</f>
        <v>45386.2566801504</v>
      </c>
      <c r="B374" s="1" t="str">
        <f ca="1">IFERROR(__xludf.DUMMYFUNCTION("""COMPUTED_VALUE"""),"premlatadevi4669@gmail.com")</f>
        <v>premlatadevi4669@gmail.com</v>
      </c>
      <c r="C374" s="1" t="str">
        <f ca="1">IFERROR(__xludf.DUMMYFUNCTION("""COMPUTED_VALUE"""),"Premlata barnwal")</f>
        <v>Premlata barnwal</v>
      </c>
      <c r="D374" s="1">
        <f ca="1">IFERROR(__xludf.DUMMYFUNCTION("""COMPUTED_VALUE"""),9372282030)</f>
        <v>9372282030</v>
      </c>
      <c r="E374" s="1" t="str">
        <f ca="1">IFERROR(__xludf.DUMMYFUNCTION("""COMPUTED_VALUE"""),"Yes")</f>
        <v>Yes</v>
      </c>
      <c r="F374" s="1" t="str">
        <f ca="1">IFERROR(__xludf.DUMMYFUNCTION("""COMPUTED_VALUE"""),"हिन्दी")</f>
        <v>हिन्दी</v>
      </c>
      <c r="G374" s="1" t="str">
        <f ca="1">IFERROR(__xludf.DUMMYFUNCTION("""COMPUTED_VALUE"""),"परिवार निर्माण")</f>
        <v>परिवार निर्माण</v>
      </c>
      <c r="H374" s="1"/>
      <c r="I374" s="1"/>
      <c r="J374" s="1"/>
      <c r="K374" s="1"/>
      <c r="L374" s="1"/>
      <c r="M374" s="1" t="str">
        <f ca="1">IFERROR(__xludf.DUMMYFUNCTION("""COMPUTED_VALUE"""),"परिवार")</f>
        <v>परिवार</v>
      </c>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f ca="1">IFERROR(__xludf.DUMMYFUNCTION("""COMPUTED_VALUE"""),13)</f>
        <v>13</v>
      </c>
      <c r="BX374" s="1">
        <f ca="1">IFERROR(__xludf.DUMMYFUNCTION("""COMPUTED_VALUE"""),10)</f>
        <v>10</v>
      </c>
      <c r="BY374" s="1">
        <f ca="1">IFERROR(__xludf.DUMMYFUNCTION("""COMPUTED_VALUE"""),7)</f>
        <v>7</v>
      </c>
      <c r="BZ374" s="1">
        <f ca="1">IFERROR(__xludf.DUMMYFUNCTION("""COMPUTED_VALUE"""),2)</f>
        <v>2</v>
      </c>
      <c r="CA374" s="1"/>
      <c r="CB374" s="1"/>
      <c r="CC374" s="1" t="str">
        <f ca="1">IFERROR(__xludf.DUMMYFUNCTION("""COMPUTED_VALUE"""),"जीवन का उत्तरार्ध परमार्थ में नियोजित हो : Rare Book")</f>
        <v>जीवन का उत्तरार्ध परमार्थ में नियोजित हो : Rare Book</v>
      </c>
      <c r="CD374" s="3" t="str">
        <f ca="1">IFERROR(__xludf.DUMMYFUNCTION("""COMPUTED_VALUE"""),"https://vicharkrantibooks.org/productdetail?product_id=355")</f>
        <v>https://vicharkrantibooks.org/productdetail?product_id=355</v>
      </c>
      <c r="CE374" s="1" t="str">
        <f ca="1">IFERROR(__xludf.DUMMYFUNCTION("""COMPUTED_VALUE"""),"Audiobook : जीवन का उत्तरार्ध परमार्थ में नियोजित हो : Rare Book : premlatadevi4669@gmail.com : Recorded")</f>
        <v>Audiobook : जीवन का उत्तरार्ध परमार्थ में नियोजित हो : Rare Book : premlatadevi4669@gmail.com : Recorded</v>
      </c>
      <c r="CF374" s="1" t="str">
        <f ca="1">IFERROR(__xludf.DUMMYFUNCTION("""COMPUTED_VALUE"""),"#N/A")</f>
        <v>#N/A</v>
      </c>
      <c r="CG374" s="1" t="str">
        <f ca="1">IFERROR(__xludf.DUMMYFUNCTION("""COMPUTED_VALUE"""),"Adarniya Premlata barnwal ji जीवन का उत्तरार्ध परमार्थ में नियोजित हो : Rare Book : Allocated on 04-Apr-24 Contact Number  9372282030")</f>
        <v>Adarniya Premlata barnwal ji जीवन का उत्तरार्ध परमार्थ में नियोजित हो : Rare Book : Allocated on 04-Apr-24 Contact Number  9372282030</v>
      </c>
      <c r="CH374" s="1" t="str">
        <f ca="1">IFERROR(__xludf.DUMMYFUNCTION("""COMPUTED_VALUE"""),"premlatadevi4669@gmail.com : जीवन का उत्तरार्ध परमार्थ में नियोजित हो : Rare Book")</f>
        <v>premlatadevi4669@gmail.com : जीवन का उत्तरार्ध परमार्थ में नियोजित हो : Rare Book</v>
      </c>
      <c r="CI374" s="5">
        <f ca="1">IFERROR(__xludf.DUMMYFUNCTION("""COMPUTED_VALUE"""),45386.2566801504)</f>
        <v>45386.2566801504</v>
      </c>
    </row>
    <row r="375" spans="1:87" x14ac:dyDescent="0.25">
      <c r="A375" s="5">
        <f ca="1">IFERROR(__xludf.DUMMYFUNCTION("""COMPUTED_VALUE"""),45385.9383907638)</f>
        <v>45385.938390763797</v>
      </c>
      <c r="B375" s="1" t="str">
        <f ca="1">IFERROR(__xludf.DUMMYFUNCTION("""COMPUTED_VALUE"""),"tushar.pandit7686@gmail.com")</f>
        <v>tushar.pandit7686@gmail.com</v>
      </c>
      <c r="C375" s="1" t="str">
        <f ca="1">IFERROR(__xludf.DUMMYFUNCTION("""COMPUTED_VALUE"""),"Hetal")</f>
        <v>Hetal</v>
      </c>
      <c r="D375" s="1">
        <f ca="1">IFERROR(__xludf.DUMMYFUNCTION("""COMPUTED_VALUE"""),7874048920)</f>
        <v>7874048920</v>
      </c>
      <c r="E375" s="1"/>
      <c r="F375" s="1" t="str">
        <f ca="1">IFERROR(__xludf.DUMMYFUNCTION("""COMPUTED_VALUE"""),"गुजराती")</f>
        <v>गुजराती</v>
      </c>
      <c r="G375" s="1" t="str">
        <f ca="1">IFERROR(__xludf.DUMMYFUNCTION("""COMPUTED_VALUE"""),"अध्यात्म, धर्म एवं दर्शन")</f>
        <v>अध्यात्म, धर्म एवं दर्शन</v>
      </c>
      <c r="H375" s="1" t="str">
        <f ca="1">IFERROR(__xludf.DUMMYFUNCTION("""COMPUTED_VALUE"""),"अध्यात्म, धर्म एवं आस्तिकता")</f>
        <v>अध्यात्म, धर्म एवं आस्तिकता</v>
      </c>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f ca="1">IFERROR(__xludf.DUMMYFUNCTION("""COMPUTED_VALUE"""),13)</f>
        <v>13</v>
      </c>
      <c r="BX375" s="1">
        <f ca="1">IFERROR(__xludf.DUMMYFUNCTION("""COMPUTED_VALUE"""),13)</f>
        <v>13</v>
      </c>
      <c r="BY375" s="1">
        <f ca="1">IFERROR(__xludf.DUMMYFUNCTION("""COMPUTED_VALUE"""),3)</f>
        <v>3</v>
      </c>
      <c r="BZ375" s="1">
        <f ca="1">IFERROR(__xludf.DUMMYFUNCTION("""COMPUTED_VALUE"""),0)</f>
        <v>0</v>
      </c>
      <c r="CA375" s="1"/>
      <c r="CB375" s="1"/>
      <c r="CC375" s="1" t="str">
        <f ca="1">IFERROR(__xludf.DUMMYFUNCTION("""COMPUTED_VALUE"""),"પાત્રતા વિકસિત કરો, ભગવાનને મેળવો : G_JS_11")</f>
        <v>પાત્રતા વિકસિત કરો, ભગવાનને મેળવો : G_JS_11</v>
      </c>
      <c r="CD375" s="3" t="str">
        <f ca="1">IFERROR(__xludf.DUMMYFUNCTION("""COMPUTED_VALUE"""),"https://vicharkrantibooks.org/productdetail?book_name=GUJP0644_PATRATA_VIKASIT_KARO_BHAGAVANANE_MELAVO_XXYYYY&amp;product_id=3736")</f>
        <v>https://vicharkrantibooks.org/productdetail?book_name=GUJP0644_PATRATA_VIKASIT_KARO_BHAGAVANANE_MELAVO_XXYYYY&amp;product_id=3736</v>
      </c>
      <c r="CE375" s="1" t="str">
        <f ca="1">IFERROR(__xludf.DUMMYFUNCTION("""COMPUTED_VALUE"""),"Audiobook : પાત્રતા વિકસિત કરો, ભગવાનને મેળવો : G_JS_11 : tushar.pandit7686@gmail.com : Recorded")</f>
        <v>Audiobook : પાત્રતા વિકસિત કરો, ભગવાનને મેળવો : G_JS_11 : tushar.pandit7686@gmail.com : Recorded</v>
      </c>
      <c r="CF375" s="1" t="str">
        <f ca="1">IFERROR(__xludf.DUMMYFUNCTION("""COMPUTED_VALUE"""),"Audiobook : પાત્રતા વિકસિત કરો, ભગવાનને મેળવો : G_JS_11 : tushar.pandit7686@gmail.com : Recorded")</f>
        <v>Audiobook : પાત્રતા વિકસિત કરો, ભગવાનને મેળવો : G_JS_11 : tushar.pandit7686@gmail.com : Recorded</v>
      </c>
      <c r="CG375" s="1" t="str">
        <f ca="1">IFERROR(__xludf.DUMMYFUNCTION("""COMPUTED_VALUE"""),"Adarniya Hetal ji પાત્રતા વિકસિત કરો, ભગવાનને મેળવો : G_JS_11 : Allocated on 03-Apr-24 Contact Number  7874048920")</f>
        <v>Adarniya Hetal ji પાત્રતા વિકસિત કરો, ભગવાનને મેળવો : G_JS_11 : Allocated on 03-Apr-24 Contact Number  7874048920</v>
      </c>
      <c r="CH375" s="1" t="str">
        <f ca="1">IFERROR(__xludf.DUMMYFUNCTION("""COMPUTED_VALUE"""),"tushar.pandit7686@gmail.com : પાત્રતા વિકસિત કરો, ભગવાનને મેળવો : G_JS_11")</f>
        <v>tushar.pandit7686@gmail.com : પાત્રતા વિકસિત કરો, ભગવાનને મેળવો : G_JS_11</v>
      </c>
      <c r="CI375" s="5">
        <f ca="1">IFERROR(__xludf.DUMMYFUNCTION("""COMPUTED_VALUE"""),45385.9383907638)</f>
        <v>45385.938390763797</v>
      </c>
    </row>
    <row r="376" spans="1:87" x14ac:dyDescent="0.25">
      <c r="A376" s="5">
        <f ca="1">IFERROR(__xludf.DUMMYFUNCTION("""COMPUTED_VALUE"""),45385.6780963194)</f>
        <v>45385.678096319403</v>
      </c>
      <c r="B376" s="1" t="str">
        <f ca="1">IFERROR(__xludf.DUMMYFUNCTION("""COMPUTED_VALUE"""),"gnpatel8438@gmail.com")</f>
        <v>gnpatel8438@gmail.com</v>
      </c>
      <c r="C376" s="1" t="str">
        <f ca="1">IFERROR(__xludf.DUMMYFUNCTION("""COMPUTED_VALUE"""),"Girishbhai Patel ")</f>
        <v xml:space="preserve">Girishbhai Patel </v>
      </c>
      <c r="D376" s="1">
        <f ca="1">IFERROR(__xludf.DUMMYFUNCTION("""COMPUTED_VALUE"""),9426354539)</f>
        <v>9426354539</v>
      </c>
      <c r="E376" s="1" t="str">
        <f ca="1">IFERROR(__xludf.DUMMYFUNCTION("""COMPUTED_VALUE"""),"Yes")</f>
        <v>Yes</v>
      </c>
      <c r="F376" s="1" t="str">
        <f ca="1">IFERROR(__xludf.DUMMYFUNCTION("""COMPUTED_VALUE"""),"गुजराती")</f>
        <v>गुजराती</v>
      </c>
      <c r="G376" s="1" t="str">
        <f ca="1">IFERROR(__xludf.DUMMYFUNCTION("""COMPUTED_VALUE"""),"भारतीय संस्कृति")</f>
        <v>भारतीय संस्कृति</v>
      </c>
      <c r="H376" s="1"/>
      <c r="I376" s="1"/>
      <c r="J376" s="1"/>
      <c r="K376" s="1"/>
      <c r="L376" s="1"/>
      <c r="M376" s="1"/>
      <c r="N376" s="1"/>
      <c r="O376" s="1" t="str">
        <f ca="1">IFERROR(__xludf.DUMMYFUNCTION("""COMPUTED_VALUE"""),"भारतीय संस्कृति")</f>
        <v>भारतीय संस्कृति</v>
      </c>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f ca="1">IFERROR(__xludf.DUMMYFUNCTION("""COMPUTED_VALUE"""),6)</f>
        <v>6</v>
      </c>
      <c r="BX376" s="1">
        <f ca="1">IFERROR(__xludf.DUMMYFUNCTION("""COMPUTED_VALUE"""),6)</f>
        <v>6</v>
      </c>
      <c r="BY376" s="1">
        <f ca="1">IFERROR(__xludf.DUMMYFUNCTION("""COMPUTED_VALUE"""),0)</f>
        <v>0</v>
      </c>
      <c r="BZ376" s="1">
        <f ca="1">IFERROR(__xludf.DUMMYFUNCTION("""COMPUTED_VALUE"""),1)</f>
        <v>1</v>
      </c>
      <c r="CA376" s="1"/>
      <c r="CB376" s="1"/>
      <c r="CC376" s="1" t="str">
        <f ca="1">IFERROR(__xludf.DUMMYFUNCTION("""COMPUTED_VALUE"""),"ધ્યાનનું દાર્શનિક પાસું : G_JS_24")</f>
        <v>ધ્યાનનું દાર્શનિક પાસું : G_JS_24</v>
      </c>
      <c r="CD376" s="3" t="str">
        <f ca="1">IFERROR(__xludf.DUMMYFUNCTION("""COMPUTED_VALUE"""),"https://vicharkrantibooks.org/productdetail?book_name=GUJP0251_DHYANANU_DARSHANIK_PASU_XXYYYY&amp;product_id=3749")</f>
        <v>https://vicharkrantibooks.org/productdetail?book_name=GUJP0251_DHYANANU_DARSHANIK_PASU_XXYYYY&amp;product_id=3749</v>
      </c>
      <c r="CE376" s="1" t="str">
        <f ca="1">IFERROR(__xludf.DUMMYFUNCTION("""COMPUTED_VALUE"""),"Audiobook : ધ્યાનનું દાર્શનિક પાસું : G_JS_24 : gnpatel8438@gmail.com : Recorded")</f>
        <v>Audiobook : ધ્યાનનું દાર્શનિક પાસું : G_JS_24 : gnpatel8438@gmail.com : Recorded</v>
      </c>
      <c r="CF376" s="1" t="str">
        <f ca="1">IFERROR(__xludf.DUMMYFUNCTION("""COMPUTED_VALUE"""),"Audiobook : ધ્યાનનું દાર્શનિક પાસું : G_JS_24 : gnpatel8438@gmail.com : Recorded")</f>
        <v>Audiobook : ધ્યાનનું દાર્શનિક પાસું : G_JS_24 : gnpatel8438@gmail.com : Recorded</v>
      </c>
      <c r="CG376" s="1" t="str">
        <f ca="1">IFERROR(__xludf.DUMMYFUNCTION("""COMPUTED_VALUE"""),"Adarniya Girishbhai Patel  ji ધ્યાનનું દાર્શનિક પાસું : G_JS_24 : Allocated on 03-Apr-24 Contact Number  9426354539")</f>
        <v>Adarniya Girishbhai Patel  ji ધ્યાનનું દાર્શનિક પાસું : G_JS_24 : Allocated on 03-Apr-24 Contact Number  9426354539</v>
      </c>
      <c r="CH376" s="1" t="str">
        <f ca="1">IFERROR(__xludf.DUMMYFUNCTION("""COMPUTED_VALUE"""),"gnpatel8438@gmail.com : ધ્યાનનું દાર્શનિક પાસું : G_JS_24")</f>
        <v>gnpatel8438@gmail.com : ધ્યાનનું દાર્શનિક પાસું : G_JS_24</v>
      </c>
      <c r="CI376" s="5">
        <f ca="1">IFERROR(__xludf.DUMMYFUNCTION("""COMPUTED_VALUE"""),45385.6780963194)</f>
        <v>45385.678096319403</v>
      </c>
    </row>
    <row r="377" spans="1:87" x14ac:dyDescent="0.25">
      <c r="A377" s="5">
        <f ca="1">IFERROR(__xludf.DUMMYFUNCTION("""COMPUTED_VALUE"""),45385.6474632407)</f>
        <v>45385.647463240697</v>
      </c>
      <c r="B377" s="1" t="str">
        <f ca="1">IFERROR(__xludf.DUMMYFUNCTION("""COMPUTED_VALUE"""),"dave.chhaya@gmail.com")</f>
        <v>dave.chhaya@gmail.com</v>
      </c>
      <c r="C377" s="1" t="str">
        <f ca="1">IFERROR(__xludf.DUMMYFUNCTION("""COMPUTED_VALUE"""),"Chhaya Deepak Dave ")</f>
        <v xml:space="preserve">Chhaya Deepak Dave </v>
      </c>
      <c r="D377" s="1">
        <f ca="1">IFERROR(__xludf.DUMMYFUNCTION("""COMPUTED_VALUE"""),9879596556)</f>
        <v>9879596556</v>
      </c>
      <c r="E377" s="1" t="str">
        <f ca="1">IFERROR(__xludf.DUMMYFUNCTION("""COMPUTED_VALUE"""),"Not Relevant")</f>
        <v>Not Relevant</v>
      </c>
      <c r="F377" s="1" t="str">
        <f ca="1">IFERROR(__xludf.DUMMYFUNCTION("""COMPUTED_VALUE"""),"गुजराती")</f>
        <v>गुजराती</v>
      </c>
      <c r="G377" s="1" t="str">
        <f ca="1">IFERROR(__xludf.DUMMYFUNCTION("""COMPUTED_VALUE"""),"युग द्रष्टा पं. श्रीराम शर्मा आचार्यजी")</f>
        <v>युग द्रष्टा पं. श्रीराम शर्मा आचार्यजी</v>
      </c>
      <c r="H377" s="1"/>
      <c r="I377" s="1"/>
      <c r="J377" s="1"/>
      <c r="K377" s="1"/>
      <c r="L377" s="1"/>
      <c r="M377" s="1"/>
      <c r="N377" s="1"/>
      <c r="O377" s="1"/>
      <c r="P377" s="1" t="str">
        <f ca="1">IFERROR(__xludf.DUMMYFUNCTION("""COMPUTED_VALUE"""),"युगॠषी की अमृतवाणी")</f>
        <v>युगॠषी की अमृतवाणी</v>
      </c>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f ca="1">IFERROR(__xludf.DUMMYFUNCTION("""COMPUTED_VALUE"""),46)</f>
        <v>46</v>
      </c>
      <c r="BX377" s="1">
        <f ca="1">IFERROR(__xludf.DUMMYFUNCTION("""COMPUTED_VALUE"""),39)</f>
        <v>39</v>
      </c>
      <c r="BY377" s="1">
        <f ca="1">IFERROR(__xludf.DUMMYFUNCTION("""COMPUTED_VALUE"""),6)</f>
        <v>6</v>
      </c>
      <c r="BZ377" s="1">
        <f ca="1">IFERROR(__xludf.DUMMYFUNCTION("""COMPUTED_VALUE"""),16)</f>
        <v>16</v>
      </c>
      <c r="CA377" s="1"/>
      <c r="CB377" s="1"/>
      <c r="CC377" s="1" t="str">
        <f ca="1">IFERROR(__xludf.DUMMYFUNCTION("""COMPUTED_VALUE"""),"વાવવા - લણવાનો અફર સિદ્ધાંત : G_JS_16")</f>
        <v>વાવવા - લણવાનો અફર સિદ્ધાંત : G_JS_16</v>
      </c>
      <c r="CD377" s="3" t="str">
        <f ca="1">IFERROR(__xludf.DUMMYFUNCTION("""COMPUTED_VALUE"""),"https://vicharkrantibooks.org/productdetail?book_name=GUJP0177_VAVAVA_LANAVANO_APHAR_SIDDHANT_XXYYYY&amp;product_id=3741")</f>
        <v>https://vicharkrantibooks.org/productdetail?book_name=GUJP0177_VAVAVA_LANAVANO_APHAR_SIDDHANT_XXYYYY&amp;product_id=3741</v>
      </c>
      <c r="CE377" s="1" t="str">
        <f ca="1">IFERROR(__xludf.DUMMYFUNCTION("""COMPUTED_VALUE"""),"Audiobook : વાવવા - લણવાનો અફર સિદ્ધાંત : G_JS_16 : dave.chhaya@gmail.com : Recorded")</f>
        <v>Audiobook : વાવવા - લણવાનો અફર સિદ્ધાંત : G_JS_16 : dave.chhaya@gmail.com : Recorded</v>
      </c>
      <c r="CF377" s="1" t="str">
        <f ca="1">IFERROR(__xludf.DUMMYFUNCTION("""COMPUTED_VALUE"""),"Audiobook : વાવવા - લણવાનો અફર સિદ્ધાંત : G_JS_16 : dave.chhaya@gmail.com : Recorded")</f>
        <v>Audiobook : વાવવા - લણવાનો અફર સિદ્ધાંત : G_JS_16 : dave.chhaya@gmail.com : Recorded</v>
      </c>
      <c r="CG377" s="1" t="str">
        <f ca="1">IFERROR(__xludf.DUMMYFUNCTION("""COMPUTED_VALUE"""),"Adarniya Chhaya Deepak Dave  ji વાવવા - લણવાનો અફર સિદ્ધાંત : G_JS_16 : Allocated on 03-Apr-24 Contact Number  9879596556")</f>
        <v>Adarniya Chhaya Deepak Dave  ji વાવવા - લણવાનો અફર સિદ્ધાંત : G_JS_16 : Allocated on 03-Apr-24 Contact Number  9879596556</v>
      </c>
      <c r="CH377" s="1" t="str">
        <f ca="1">IFERROR(__xludf.DUMMYFUNCTION("""COMPUTED_VALUE"""),"dave.chhaya@gmail.com : વાવવા - લણવાનો અફર સિદ્ધાંત : G_JS_16")</f>
        <v>dave.chhaya@gmail.com : વાવવા - લણવાનો અફર સિદ્ધાંત : G_JS_16</v>
      </c>
      <c r="CI377" s="5">
        <f ca="1">IFERROR(__xludf.DUMMYFUNCTION("""COMPUTED_VALUE"""),45385.6474632407)</f>
        <v>45385.647463240697</v>
      </c>
    </row>
    <row r="378" spans="1:87" x14ac:dyDescent="0.25">
      <c r="A378" s="5">
        <f ca="1">IFERROR(__xludf.DUMMYFUNCTION("""COMPUTED_VALUE"""),45385.5900938541)</f>
        <v>45385.590093854102</v>
      </c>
      <c r="B378" s="1" t="str">
        <f ca="1">IFERROR(__xludf.DUMMYFUNCTION("""COMPUTED_VALUE"""),"kalagpatel1959@gmail.com")</f>
        <v>kalagpatel1959@gmail.com</v>
      </c>
      <c r="C378" s="1" t="str">
        <f ca="1">IFERROR(__xludf.DUMMYFUNCTION("""COMPUTED_VALUE"""),"Kala Patel ")</f>
        <v xml:space="preserve">Kala Patel </v>
      </c>
      <c r="D378" s="1">
        <f ca="1">IFERROR(__xludf.DUMMYFUNCTION("""COMPUTED_VALUE"""),9016250929)</f>
        <v>9016250929</v>
      </c>
      <c r="E378" s="1" t="str">
        <f ca="1">IFERROR(__xludf.DUMMYFUNCTION("""COMPUTED_VALUE"""),"Yes")</f>
        <v>Yes</v>
      </c>
      <c r="F378" s="1" t="str">
        <f ca="1">IFERROR(__xludf.DUMMYFUNCTION("""COMPUTED_VALUE"""),"गुजराती")</f>
        <v>गुजराती</v>
      </c>
      <c r="G378" s="1" t="str">
        <f ca="1">IFERROR(__xludf.DUMMYFUNCTION("""COMPUTED_VALUE"""),"युग द्रष्टा पं. श्रीराम शर्मा आचार्यजी")</f>
        <v>युग द्रष्टा पं. श्रीराम शर्मा आचार्यजी</v>
      </c>
      <c r="H378" s="1"/>
      <c r="I378" s="1"/>
      <c r="J378" s="1"/>
      <c r="K378" s="1"/>
      <c r="L378" s="1"/>
      <c r="M378" s="1"/>
      <c r="N378" s="1"/>
      <c r="O378" s="1"/>
      <c r="P378" s="1" t="str">
        <f ca="1">IFERROR(__xludf.DUMMYFUNCTION("""COMPUTED_VALUE"""),"युगॠषी का जीवनदर्शन")</f>
        <v>युगॠषी का जीवनदर्शन</v>
      </c>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f ca="1">IFERROR(__xludf.DUMMYFUNCTION("""COMPUTED_VALUE"""),34)</f>
        <v>34</v>
      </c>
      <c r="BX378" s="1">
        <f ca="1">IFERROR(__xludf.DUMMYFUNCTION("""COMPUTED_VALUE"""),34)</f>
        <v>34</v>
      </c>
      <c r="BY378" s="1">
        <f ca="1">IFERROR(__xludf.DUMMYFUNCTION("""COMPUTED_VALUE"""),4)</f>
        <v>4</v>
      </c>
      <c r="BZ378" s="1">
        <f ca="1">IFERROR(__xludf.DUMMYFUNCTION("""COMPUTED_VALUE"""),11)</f>
        <v>11</v>
      </c>
      <c r="CA378" s="1"/>
      <c r="CB378" s="1"/>
      <c r="CC378" s="1" t="str">
        <f ca="1">IFERROR(__xludf.DUMMYFUNCTION("""COMPUTED_VALUE"""),"જીવંત વિભૂતિઓ પાસે ભાવભરી અપેક્ષાઓ : G_JS_10")</f>
        <v>જીવંત વિભૂતિઓ પાસે ભાવભરી અપેક્ષાઓ : G_JS_10</v>
      </c>
      <c r="CD378" s="3" t="str">
        <f ca="1">IFERROR(__xludf.DUMMYFUNCTION("""COMPUTED_VALUE"""),"https://vicharkrantibooks.org/productdetail?book_name=GUJP0401_JIVANT_VIBHUTIO_PASE_BHAVABHARI_APEKSHAO_XXYYYY&amp;product_id=3734")</f>
        <v>https://vicharkrantibooks.org/productdetail?book_name=GUJP0401_JIVANT_VIBHUTIO_PASE_BHAVABHARI_APEKSHAO_XXYYYY&amp;product_id=3734</v>
      </c>
      <c r="CE378" s="1" t="str">
        <f ca="1">IFERROR(__xludf.DUMMYFUNCTION("""COMPUTED_VALUE"""),"Audiobook : જીવંત વિભૂતિઓ પાસે ભાવભરી અપેક્ષાઓ : G_JS_10 : kalagpatel1959@gmail.com : Recorded")</f>
        <v>Audiobook : જીવંત વિભૂતિઓ પાસે ભાવભરી અપેક્ષાઓ : G_JS_10 : kalagpatel1959@gmail.com : Recorded</v>
      </c>
      <c r="CF378" s="1" t="str">
        <f ca="1">IFERROR(__xludf.DUMMYFUNCTION("""COMPUTED_VALUE"""),"Audiobook : જીવંત વિભૂતિઓ પાસે ભાવભરી અપેક્ષાઓ : G_JS_10 : kalagpatel1959@gmail.com : Recorded")</f>
        <v>Audiobook : જીવંત વિભૂતિઓ પાસે ભાવભરી અપેક્ષાઓ : G_JS_10 : kalagpatel1959@gmail.com : Recorded</v>
      </c>
      <c r="CG378" s="1" t="str">
        <f ca="1">IFERROR(__xludf.DUMMYFUNCTION("""COMPUTED_VALUE"""),"Adarniya Kala Patel  ji જીવંત વિભૂતિઓ પાસે ભાવભરી અપેક્ષાઓ : G_JS_10 : Allocated on 03-Apr-24 Contact Number  9016250929")</f>
        <v>Adarniya Kala Patel  ji જીવંત વિભૂતિઓ પાસે ભાવભરી અપેક્ષાઓ : G_JS_10 : Allocated on 03-Apr-24 Contact Number  9016250929</v>
      </c>
      <c r="CH378" s="1" t="str">
        <f ca="1">IFERROR(__xludf.DUMMYFUNCTION("""COMPUTED_VALUE"""),"kalagpatel1959@gmail.com : જીવંત વિભૂતિઓ પાસે ભાવભરી અપેક્ષાઓ : G_JS_10")</f>
        <v>kalagpatel1959@gmail.com : જીવંત વિભૂતિઓ પાસે ભાવભરી અપેક્ષાઓ : G_JS_10</v>
      </c>
      <c r="CI378" s="5">
        <f ca="1">IFERROR(__xludf.DUMMYFUNCTION("""COMPUTED_VALUE"""),45385.5900938541)</f>
        <v>45385.590093854102</v>
      </c>
    </row>
    <row r="379" spans="1:87" x14ac:dyDescent="0.25">
      <c r="A379" s="5">
        <f ca="1">IFERROR(__xludf.DUMMYFUNCTION("""COMPUTED_VALUE"""),45385.5148131365)</f>
        <v>45385.514813136499</v>
      </c>
      <c r="B379" s="1" t="str">
        <f ca="1">IFERROR(__xludf.DUMMYFUNCTION("""COMPUTED_VALUE"""),"shweta.r.gupta79@gmail.com")</f>
        <v>shweta.r.gupta79@gmail.com</v>
      </c>
      <c r="C379" s="1" t="str">
        <f ca="1">IFERROR(__xludf.DUMMYFUNCTION("""COMPUTED_VALUE"""),"Shweta Gupta ")</f>
        <v xml:space="preserve">Shweta Gupta </v>
      </c>
      <c r="D379" s="1">
        <f ca="1">IFERROR(__xludf.DUMMYFUNCTION("""COMPUTED_VALUE"""),8369516724)</f>
        <v>8369516724</v>
      </c>
      <c r="E379" s="1" t="str">
        <f ca="1">IFERROR(__xludf.DUMMYFUNCTION("""COMPUTED_VALUE"""),"Yes")</f>
        <v>Yes</v>
      </c>
      <c r="F379" s="1" t="str">
        <f ca="1">IFERROR(__xludf.DUMMYFUNCTION("""COMPUTED_VALUE"""),"हिन्दी")</f>
        <v>हिन्दी</v>
      </c>
      <c r="G379" s="1" t="str">
        <f ca="1">IFERROR(__xludf.DUMMYFUNCTION("""COMPUTED_VALUE"""),"समग्र स्वास्थ्य")</f>
        <v>समग्र स्वास्थ्य</v>
      </c>
      <c r="H379" s="1"/>
      <c r="I379" s="1"/>
      <c r="J379" s="1"/>
      <c r="K379" s="1"/>
      <c r="L379" s="1"/>
      <c r="M379" s="1"/>
      <c r="N379" s="1"/>
      <c r="O379" s="1"/>
      <c r="P379" s="1"/>
      <c r="Q379" s="1"/>
      <c r="R379" s="1"/>
      <c r="S379" s="1"/>
      <c r="T379" s="1"/>
      <c r="U379" s="1" t="str">
        <f ca="1">IFERROR(__xludf.DUMMYFUNCTION("""COMPUTED_VALUE"""),"स्वास्थ्य संवर्धन")</f>
        <v>स्वास्थ्य संवर्धन</v>
      </c>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f ca="1">IFERROR(__xludf.DUMMYFUNCTION("""COMPUTED_VALUE"""),31)</f>
        <v>31</v>
      </c>
      <c r="BX379" s="1">
        <f ca="1">IFERROR(__xludf.DUMMYFUNCTION("""COMPUTED_VALUE"""),45)</f>
        <v>45</v>
      </c>
      <c r="BY379" s="1">
        <f ca="1">IFERROR(__xludf.DUMMYFUNCTION("""COMPUTED_VALUE"""),3)</f>
        <v>3</v>
      </c>
      <c r="BZ379" s="1">
        <f ca="1">IFERROR(__xludf.DUMMYFUNCTION("""COMPUTED_VALUE"""),40)</f>
        <v>40</v>
      </c>
      <c r="CA379" s="1"/>
      <c r="CB379" s="1"/>
      <c r="CC379" s="1" t="str">
        <f ca="1">IFERROR(__xludf.DUMMYFUNCTION("""COMPUTED_VALUE"""),"Fight Your Weaknesses Be Strong : EP_127")</f>
        <v>Fight Your Weaknesses Be Strong : EP_127</v>
      </c>
      <c r="CD379" s="3" t="str">
        <f ca="1">IFERROR(__xludf.DUMMYFUNCTION("""COMPUTED_VALUE"""),"https://vicharkrantibooks.org/productdetail?book_name=ENGP0069_FIGHT_YOUR_WEAKNESSES_BE_STRONG_xxyyyy&amp;product_id=3512")</f>
        <v>https://vicharkrantibooks.org/productdetail?book_name=ENGP0069_FIGHT_YOUR_WEAKNESSES_BE_STRONG_xxyyyy&amp;product_id=3512</v>
      </c>
      <c r="CE379" s="1" t="str">
        <f ca="1">IFERROR(__xludf.DUMMYFUNCTION("""COMPUTED_VALUE"""),"Audiobook : Fight Your Weaknesses Be Strong : EP_127 : shweta.r.gupta79@gmail.com : Recorded")</f>
        <v>Audiobook : Fight Your Weaknesses Be Strong : EP_127 : shweta.r.gupta79@gmail.com : Recorded</v>
      </c>
      <c r="CF379" s="1" t="str">
        <f ca="1">IFERROR(__xludf.DUMMYFUNCTION("""COMPUTED_VALUE"""),"Audiobook : Fight Your Weaknesses Be Strong : EP_127 : shweta.r.gupta79@gmail.com : Recorded")</f>
        <v>Audiobook : Fight Your Weaknesses Be Strong : EP_127 : shweta.r.gupta79@gmail.com : Recorded</v>
      </c>
      <c r="CG379" s="1" t="str">
        <f ca="1">IFERROR(__xludf.DUMMYFUNCTION("""COMPUTED_VALUE"""),"Adarniya Shweta Gupta  ji Fight Your Weaknesses Be Strong : EP_127 : Allocated on 03-Apr-24 Contact Number  8369516724")</f>
        <v>Adarniya Shweta Gupta  ji Fight Your Weaknesses Be Strong : EP_127 : Allocated on 03-Apr-24 Contact Number  8369516724</v>
      </c>
      <c r="CH379" s="1" t="str">
        <f ca="1">IFERROR(__xludf.DUMMYFUNCTION("""COMPUTED_VALUE"""),"shweta.r.gupta79@gmail.com : Fight Your Weaknesses Be Strong : EP_127")</f>
        <v>shweta.r.gupta79@gmail.com : Fight Your Weaknesses Be Strong : EP_127</v>
      </c>
      <c r="CI379" s="5">
        <f ca="1">IFERROR(__xludf.DUMMYFUNCTION("""COMPUTED_VALUE"""),45385.5148131365)</f>
        <v>45385.514813136499</v>
      </c>
    </row>
    <row r="380" spans="1:87" x14ac:dyDescent="0.25">
      <c r="A380" s="5">
        <f ca="1">IFERROR(__xludf.DUMMYFUNCTION("""COMPUTED_VALUE"""),45385.3648164467)</f>
        <v>45385.364816446701</v>
      </c>
      <c r="B380" s="1" t="str">
        <f ca="1">IFERROR(__xludf.DUMMYFUNCTION("""COMPUTED_VALUE"""),"acharyaraviranjan.yogdhara@gmail.com")</f>
        <v>acharyaraviranjan.yogdhara@gmail.com</v>
      </c>
      <c r="C380" s="1" t="str">
        <f ca="1">IFERROR(__xludf.DUMMYFUNCTION("""COMPUTED_VALUE"""),"Raviranjan Kumar ")</f>
        <v xml:space="preserve">Raviranjan Kumar </v>
      </c>
      <c r="D380" s="1" t="str">
        <f ca="1">IFERROR(__xludf.DUMMYFUNCTION("""COMPUTED_VALUE"""),"08809767960")</f>
        <v>08809767960</v>
      </c>
      <c r="E380" s="1" t="str">
        <f ca="1">IFERROR(__xludf.DUMMYFUNCTION("""COMPUTED_VALUE"""),"Yes")</f>
        <v>Yes</v>
      </c>
      <c r="F380" s="1" t="str">
        <f ca="1">IFERROR(__xludf.DUMMYFUNCTION("""COMPUTED_VALUE"""),"हिन्दी")</f>
        <v>हिन्दी</v>
      </c>
      <c r="G380" s="1" t="str">
        <f ca="1">IFERROR(__xludf.DUMMYFUNCTION("""COMPUTED_VALUE"""),"युग द्रष्टा पं. श्रीराम शर्मा आचार्यजी")</f>
        <v>युग द्रष्टा पं. श्रीराम शर्मा आचार्यजी</v>
      </c>
      <c r="H380" s="1"/>
      <c r="I380" s="1"/>
      <c r="J380" s="1"/>
      <c r="K380" s="1"/>
      <c r="L380" s="1"/>
      <c r="M380" s="1"/>
      <c r="N380" s="1"/>
      <c r="O380" s="1"/>
      <c r="P380" s="1" t="str">
        <f ca="1">IFERROR(__xludf.DUMMYFUNCTION("""COMPUTED_VALUE"""),"युगॠषी का जीवनदर्शन")</f>
        <v>युगॠषी का जीवनदर्शन</v>
      </c>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f ca="1">IFERROR(__xludf.DUMMYFUNCTION("""COMPUTED_VALUE"""),2)</f>
        <v>2</v>
      </c>
      <c r="BX380" s="1">
        <f ca="1">IFERROR(__xludf.DUMMYFUNCTION("""COMPUTED_VALUE"""),1)</f>
        <v>1</v>
      </c>
      <c r="BY380" s="1">
        <f ca="1">IFERROR(__xludf.DUMMYFUNCTION("""COMPUTED_VALUE"""),1)</f>
        <v>1</v>
      </c>
      <c r="BZ380" s="1">
        <f ca="1">IFERROR(__xludf.DUMMYFUNCTION("""COMPUTED_VALUE"""),0)</f>
        <v>0</v>
      </c>
      <c r="CA380" s="1"/>
      <c r="CB380" s="1"/>
      <c r="CC380" s="1" t="str">
        <f ca="1">IFERROR(__xludf.DUMMYFUNCTION("""COMPUTED_VALUE"""),"धर्म का उद्देश्य व्यक्ति का परिष्कार : Rare Book")</f>
        <v>धर्म का उद्देश्य व्यक्ति का परिष्कार : Rare Book</v>
      </c>
      <c r="CD380" s="3" t="str">
        <f ca="1">IFERROR(__xludf.DUMMYFUNCTION("""COMPUTED_VALUE"""),"https://vicharkrantibooks.org/productdetail?book_name=HINP0235_DHARM_KA_UDDESHY_VYAKTI_KA_PARISHKAR_xx1982&amp;product_id=800")</f>
        <v>https://vicharkrantibooks.org/productdetail?book_name=HINP0235_DHARM_KA_UDDESHY_VYAKTI_KA_PARISHKAR_xx1982&amp;product_id=800</v>
      </c>
      <c r="CE380" s="1" t="str">
        <f ca="1">IFERROR(__xludf.DUMMYFUNCTION("""COMPUTED_VALUE"""),"Audiobook : धर्म का उद्देश्य व्यक्ति का परिष्कार : Rare Book : acharyaraviranjan.yogdhara@gmail.com : Recorded")</f>
        <v>Audiobook : धर्म का उद्देश्य व्यक्ति का परिष्कार : Rare Book : acharyaraviranjan.yogdhara@gmail.com : Recorded</v>
      </c>
      <c r="CF380" s="1" t="str">
        <f ca="1">IFERROR(__xludf.DUMMYFUNCTION("""COMPUTED_VALUE"""),"#N/A")</f>
        <v>#N/A</v>
      </c>
      <c r="CG380" s="1" t="str">
        <f ca="1">IFERROR(__xludf.DUMMYFUNCTION("""COMPUTED_VALUE"""),"Adarniya Raviranjan Kumar  ji धर्म का उद्देश्य व्यक्ति का परिष्कार : Rare Book : Allocated on 03-Apr-24 Contact Number  08809767960")</f>
        <v>Adarniya Raviranjan Kumar  ji धर्म का उद्देश्य व्यक्ति का परिष्कार : Rare Book : Allocated on 03-Apr-24 Contact Number  08809767960</v>
      </c>
      <c r="CH380" s="1" t="str">
        <f ca="1">IFERROR(__xludf.DUMMYFUNCTION("""COMPUTED_VALUE"""),"acharyaraviranjan.yogdhara@gmail.com : धर्म का उद्देश्य व्यक्ति का परिष्कार : Rare Book")</f>
        <v>acharyaraviranjan.yogdhara@gmail.com : धर्म का उद्देश्य व्यक्ति का परिष्कार : Rare Book</v>
      </c>
      <c r="CI380" s="5">
        <f ca="1">IFERROR(__xludf.DUMMYFUNCTION("""COMPUTED_VALUE"""),45385.3648164467)</f>
        <v>45385.364816446701</v>
      </c>
    </row>
    <row r="381" spans="1:87" x14ac:dyDescent="0.25">
      <c r="A381" s="5">
        <f ca="1">IFERROR(__xludf.DUMMYFUNCTION("""COMPUTED_VALUE"""),45384.7345252199)</f>
        <v>45384.734525219901</v>
      </c>
      <c r="B381" s="1" t="str">
        <f ca="1">IFERROR(__xludf.DUMMYFUNCTION("""COMPUTED_VALUE"""),"gnpatel8438@gmail.com")</f>
        <v>gnpatel8438@gmail.com</v>
      </c>
      <c r="C381" s="1" t="str">
        <f ca="1">IFERROR(__xludf.DUMMYFUNCTION("""COMPUTED_VALUE"""),"Girishbhai Patel ")</f>
        <v xml:space="preserve">Girishbhai Patel </v>
      </c>
      <c r="D381" s="1">
        <f ca="1">IFERROR(__xludf.DUMMYFUNCTION("""COMPUTED_VALUE"""),9426354539)</f>
        <v>9426354539</v>
      </c>
      <c r="E381" s="1" t="str">
        <f ca="1">IFERROR(__xludf.DUMMYFUNCTION("""COMPUTED_VALUE"""),"Yes")</f>
        <v>Yes</v>
      </c>
      <c r="F381" s="1" t="str">
        <f ca="1">IFERROR(__xludf.DUMMYFUNCTION("""COMPUTED_VALUE"""),"गुजराती")</f>
        <v>गुजराती</v>
      </c>
      <c r="G381" s="1" t="str">
        <f ca="1">IFERROR(__xludf.DUMMYFUNCTION("""COMPUTED_VALUE"""),"भारतीय संस्कृति")</f>
        <v>भारतीय संस्कृति</v>
      </c>
      <c r="H381" s="1"/>
      <c r="I381" s="1"/>
      <c r="J381" s="1"/>
      <c r="K381" s="1"/>
      <c r="L381" s="1"/>
      <c r="M381" s="1"/>
      <c r="N381" s="1"/>
      <c r="O381" s="1" t="str">
        <f ca="1">IFERROR(__xludf.DUMMYFUNCTION("""COMPUTED_VALUE"""),"भारतीय संस्कृति")</f>
        <v>भारतीय संस्कृति</v>
      </c>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f ca="1">IFERROR(__xludf.DUMMYFUNCTION("""COMPUTED_VALUE"""),6)</f>
        <v>6</v>
      </c>
      <c r="BX381" s="1">
        <f ca="1">IFERROR(__xludf.DUMMYFUNCTION("""COMPUTED_VALUE"""),6)</f>
        <v>6</v>
      </c>
      <c r="BY381" s="1">
        <f ca="1">IFERROR(__xludf.DUMMYFUNCTION("""COMPUTED_VALUE"""),0)</f>
        <v>0</v>
      </c>
      <c r="BZ381" s="1">
        <f ca="1">IFERROR(__xludf.DUMMYFUNCTION("""COMPUTED_VALUE"""),1)</f>
        <v>1</v>
      </c>
      <c r="CA381" s="1"/>
      <c r="CB381" s="1"/>
      <c r="CC381" s="1" t="str">
        <f ca="1">IFERROR(__xludf.DUMMYFUNCTION("""COMPUTED_VALUE"""),"સંસ્કૃતિનો વૈભવ ફરી પાછો આવશે : G_JS_100")</f>
        <v>સંસ્કૃતિનો વૈભવ ફરી પાછો આવશે : G_JS_100</v>
      </c>
      <c r="CD381" s="3" t="str">
        <f ca="1">IFERROR(__xludf.DUMMYFUNCTION("""COMPUTED_VALUE"""),"https://vicharkrantibooks.org/productdetail?book_name=GUJP0789_SANSKRUTINO_VAIBHAV_PHARI_PACHHO_AVASHE_XXYYYY&amp;product_id=3735")</f>
        <v>https://vicharkrantibooks.org/productdetail?book_name=GUJP0789_SANSKRUTINO_VAIBHAV_PHARI_PACHHO_AVASHE_XXYYYY&amp;product_id=3735</v>
      </c>
      <c r="CE381" s="1" t="str">
        <f ca="1">IFERROR(__xludf.DUMMYFUNCTION("""COMPUTED_VALUE"""),"Audiobook : સંસ્કૃતિનો વૈભવ ફરી પાછો આવશે : G_JS_100 : gnpatel8438@gmail.com : Recorded")</f>
        <v>Audiobook : સંસ્કૃતિનો વૈભવ ફરી પાછો આવશે : G_JS_100 : gnpatel8438@gmail.com : Recorded</v>
      </c>
      <c r="CF381" s="1" t="str">
        <f ca="1">IFERROR(__xludf.DUMMYFUNCTION("""COMPUTED_VALUE"""),"Audiobook : સંસ્કૃતિનો વૈભવ ફરી પાછો આવશે : G_JS_100 : gnpatel8438@gmail.com : Recorded")</f>
        <v>Audiobook : સંસ્કૃતિનો વૈભવ ફરી પાછો આવશે : G_JS_100 : gnpatel8438@gmail.com : Recorded</v>
      </c>
      <c r="CG381" s="1" t="str">
        <f ca="1">IFERROR(__xludf.DUMMYFUNCTION("""COMPUTED_VALUE"""),"Adarniya Girishbhai Patel  ji સંસ્કૃતિનો વૈભવ ફરી પાછો આવશે : G_JS_100 : Allocated on 02-Apr-24 Contact Number  9426354539")</f>
        <v>Adarniya Girishbhai Patel  ji સંસ્કૃતિનો વૈભવ ફરી પાછો આવશે : G_JS_100 : Allocated on 02-Apr-24 Contact Number  9426354539</v>
      </c>
      <c r="CH381" s="1" t="str">
        <f ca="1">IFERROR(__xludf.DUMMYFUNCTION("""COMPUTED_VALUE"""),"gnpatel8438@gmail.com : સંસ્કૃતિનો વૈભવ ફરી પાછો આવશે : G_JS_100")</f>
        <v>gnpatel8438@gmail.com : સંસ્કૃતિનો વૈભવ ફરી પાછો આવશે : G_JS_100</v>
      </c>
      <c r="CI381" s="5">
        <f ca="1">IFERROR(__xludf.DUMMYFUNCTION("""COMPUTED_VALUE"""),45384.7345252199)</f>
        <v>45384.734525219901</v>
      </c>
    </row>
    <row r="382" spans="1:87" x14ac:dyDescent="0.25">
      <c r="A382" s="5">
        <f ca="1">IFERROR(__xludf.DUMMYFUNCTION("""COMPUTED_VALUE"""),45384.6516533449)</f>
        <v>45384.651653344903</v>
      </c>
      <c r="B382" s="1" t="str">
        <f ca="1">IFERROR(__xludf.DUMMYFUNCTION("""COMPUTED_VALUE"""),"dave.chhaya@gmail.com")</f>
        <v>dave.chhaya@gmail.com</v>
      </c>
      <c r="C382" s="1" t="str">
        <f ca="1">IFERROR(__xludf.DUMMYFUNCTION("""COMPUTED_VALUE"""),"Chhaya Deepak Dave ")</f>
        <v xml:space="preserve">Chhaya Deepak Dave </v>
      </c>
      <c r="D382" s="1">
        <f ca="1">IFERROR(__xludf.DUMMYFUNCTION("""COMPUTED_VALUE"""),9879596556)</f>
        <v>9879596556</v>
      </c>
      <c r="E382" s="1" t="str">
        <f ca="1">IFERROR(__xludf.DUMMYFUNCTION("""COMPUTED_VALUE"""),"Not Relevant")</f>
        <v>Not Relevant</v>
      </c>
      <c r="F382" s="1" t="str">
        <f ca="1">IFERROR(__xludf.DUMMYFUNCTION("""COMPUTED_VALUE"""),"गुजराती")</f>
        <v>गुजराती</v>
      </c>
      <c r="G382" s="1" t="str">
        <f ca="1">IFERROR(__xludf.DUMMYFUNCTION("""COMPUTED_VALUE"""),"युग द्रष्टा पं. श्रीराम शर्मा आचार्यजी")</f>
        <v>युग द्रष्टा पं. श्रीराम शर्मा आचार्यजी</v>
      </c>
      <c r="H382" s="1"/>
      <c r="I382" s="1"/>
      <c r="J382" s="1"/>
      <c r="K382" s="1"/>
      <c r="L382" s="1"/>
      <c r="M382" s="1"/>
      <c r="N382" s="1"/>
      <c r="O382" s="1"/>
      <c r="P382" s="1" t="str">
        <f ca="1">IFERROR(__xludf.DUMMYFUNCTION("""COMPUTED_VALUE"""),"युगॠषी की अमृतवाणी")</f>
        <v>युगॠषी की अमृतवाणी</v>
      </c>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f ca="1">IFERROR(__xludf.DUMMYFUNCTION("""COMPUTED_VALUE"""),46)</f>
        <v>46</v>
      </c>
      <c r="BX382" s="1">
        <f ca="1">IFERROR(__xludf.DUMMYFUNCTION("""COMPUTED_VALUE"""),39)</f>
        <v>39</v>
      </c>
      <c r="BY382" s="1">
        <f ca="1">IFERROR(__xludf.DUMMYFUNCTION("""COMPUTED_VALUE"""),6)</f>
        <v>6</v>
      </c>
      <c r="BZ382" s="1">
        <f ca="1">IFERROR(__xludf.DUMMYFUNCTION("""COMPUTED_VALUE"""),16)</f>
        <v>16</v>
      </c>
      <c r="CA382" s="1"/>
      <c r="CB382" s="1"/>
      <c r="CC382" s="1" t="str">
        <f ca="1">IFERROR(__xludf.DUMMYFUNCTION("""COMPUTED_VALUE"""),"જીવનસાધના કરો, દેવતા બનો : G_JS_55")</f>
        <v>જીવનસાધના કરો, દેવતા બનો : G_JS_55</v>
      </c>
      <c r="CD382" s="3" t="str">
        <f ca="1">IFERROR(__xludf.DUMMYFUNCTION("""COMPUTED_VALUE"""),"https://vicharkrantibooks.org/productdetail?book_name=GUJP0393_JIVAN_SADHANA_KARO_DEVATA_BAO_XXYYYY&amp;product_id=3780")</f>
        <v>https://vicharkrantibooks.org/productdetail?book_name=GUJP0393_JIVAN_SADHANA_KARO_DEVATA_BAO_XXYYYY&amp;product_id=3780</v>
      </c>
      <c r="CE382" s="1" t="str">
        <f ca="1">IFERROR(__xludf.DUMMYFUNCTION("""COMPUTED_VALUE"""),"Audiobook : જીવનસાધના કરો, દેવતા બનો : G_JS_55 : dave.chhaya@gmail.com : Recorded")</f>
        <v>Audiobook : જીવનસાધના કરો, દેવતા બનો : G_JS_55 : dave.chhaya@gmail.com : Recorded</v>
      </c>
      <c r="CF382" s="1" t="str">
        <f ca="1">IFERROR(__xludf.DUMMYFUNCTION("""COMPUTED_VALUE"""),"Audiobook : જીવનસાધના કરો, દેવતા બનો : G_JS_55 : dave.chhaya@gmail.com : Recorded")</f>
        <v>Audiobook : જીવનસાધના કરો, દેવતા બનો : G_JS_55 : dave.chhaya@gmail.com : Recorded</v>
      </c>
      <c r="CG382" s="1" t="str">
        <f ca="1">IFERROR(__xludf.DUMMYFUNCTION("""COMPUTED_VALUE"""),"Adarniya Chhaya Deepak Dave  ji જીવનસાધના કરો, દેવતા બનો : G_JS_55 : Allocated on 02-Apr-24 Contact Number  9879596556")</f>
        <v>Adarniya Chhaya Deepak Dave  ji જીવનસાધના કરો, દેવતા બનો : G_JS_55 : Allocated on 02-Apr-24 Contact Number  9879596556</v>
      </c>
      <c r="CH382" s="1" t="str">
        <f ca="1">IFERROR(__xludf.DUMMYFUNCTION("""COMPUTED_VALUE"""),"dave.chhaya@gmail.com : જીવનસાધના કરો, દેવતા બનો : G_JS_55")</f>
        <v>dave.chhaya@gmail.com : જીવનસાધના કરો, દેવતા બનો : G_JS_55</v>
      </c>
      <c r="CI382" s="5">
        <f ca="1">IFERROR(__xludf.DUMMYFUNCTION("""COMPUTED_VALUE"""),45384.6516533449)</f>
        <v>45384.651653344903</v>
      </c>
    </row>
    <row r="383" spans="1:87" x14ac:dyDescent="0.25">
      <c r="A383" s="5">
        <f ca="1">IFERROR(__xludf.DUMMYFUNCTION("""COMPUTED_VALUE"""),45384.6050807754)</f>
        <v>45384.6050807754</v>
      </c>
      <c r="B383" s="1" t="str">
        <f ca="1">IFERROR(__xludf.DUMMYFUNCTION("""COMPUTED_VALUE"""),"hinap775@gmail.com")</f>
        <v>hinap775@gmail.com</v>
      </c>
      <c r="C383" s="1" t="str">
        <f ca="1">IFERROR(__xludf.DUMMYFUNCTION("""COMPUTED_VALUE"""),"Hina Patel ")</f>
        <v xml:space="preserve">Hina Patel </v>
      </c>
      <c r="D383" s="1">
        <f ca="1">IFERROR(__xludf.DUMMYFUNCTION("""COMPUTED_VALUE"""),9921772176)</f>
        <v>9921772176</v>
      </c>
      <c r="E383" s="1" t="str">
        <f ca="1">IFERROR(__xludf.DUMMYFUNCTION("""COMPUTED_VALUE"""),"Yes")</f>
        <v>Yes</v>
      </c>
      <c r="F383" s="1" t="str">
        <f ca="1">IFERROR(__xludf.DUMMYFUNCTION("""COMPUTED_VALUE"""),"गुजराती")</f>
        <v>गुजराती</v>
      </c>
      <c r="G383" s="1" t="str">
        <f ca="1">IFERROR(__xludf.DUMMYFUNCTION("""COMPUTED_VALUE"""),"परिवार निर्माण")</f>
        <v>परिवार निर्माण</v>
      </c>
      <c r="H383" s="1"/>
      <c r="I383" s="1"/>
      <c r="J383" s="1"/>
      <c r="K383" s="1"/>
      <c r="L383" s="1"/>
      <c r="M383" s="1" t="str">
        <f ca="1">IFERROR(__xludf.DUMMYFUNCTION("""COMPUTED_VALUE"""),"गर्भ संस्कार")</f>
        <v>गर्भ संस्कार</v>
      </c>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f ca="1">IFERROR(__xludf.DUMMYFUNCTION("""COMPUTED_VALUE"""),6)</f>
        <v>6</v>
      </c>
      <c r="BX383" s="1">
        <f ca="1">IFERROR(__xludf.DUMMYFUNCTION("""COMPUTED_VALUE"""),6)</f>
        <v>6</v>
      </c>
      <c r="BY383" s="1">
        <f ca="1">IFERROR(__xludf.DUMMYFUNCTION("""COMPUTED_VALUE"""),2)</f>
        <v>2</v>
      </c>
      <c r="BZ383" s="1">
        <f ca="1">IFERROR(__xludf.DUMMYFUNCTION("""COMPUTED_VALUE"""),0)</f>
        <v>0</v>
      </c>
      <c r="CA383" s="1"/>
      <c r="CB383" s="1"/>
      <c r="CC383" s="1" t="str">
        <f ca="1">IFERROR(__xludf.DUMMYFUNCTION("""COMPUTED_VALUE"""),"ઘર એક તપોવન, કુટુંબ એક પ્રયોગશાળા : G_JS_64")</f>
        <v>ઘર એક તપોવન, કુટુંબ એક પ્રયોગશાળા : G_JS_64</v>
      </c>
      <c r="CD383" s="3" t="str">
        <f ca="1">IFERROR(__xludf.DUMMYFUNCTION("""COMPUTED_VALUE"""),"https://vicharkrantibooks.org/productdetail?book_name=GUJP0305_GHAR_EK_TAPOVAN_KUTUMB_EK_PRAYOGSHALA_XXYYYY&amp;product_id=3789")</f>
        <v>https://vicharkrantibooks.org/productdetail?book_name=GUJP0305_GHAR_EK_TAPOVAN_KUTUMB_EK_PRAYOGSHALA_XXYYYY&amp;product_id=3789</v>
      </c>
      <c r="CE383" s="1" t="str">
        <f ca="1">IFERROR(__xludf.DUMMYFUNCTION("""COMPUTED_VALUE"""),"Audiobook : ઘર એક તપોવન, કુટુંબ એક પ્રયોગશાળા : G_JS_64 : hinap775@gmail.com : Recorded")</f>
        <v>Audiobook : ઘર એક તપોવન, કુટુંબ એક પ્રયોગશાળા : G_JS_64 : hinap775@gmail.com : Recorded</v>
      </c>
      <c r="CF383" s="1" t="str">
        <f ca="1">IFERROR(__xludf.DUMMYFUNCTION("""COMPUTED_VALUE"""),"Audiobook : ઘર એક તપોવન, કુટુંબ એક પ્રયોગશાળા : G_JS_64 : hinap775@gmail.com : Recorded")</f>
        <v>Audiobook : ઘર એક તપોવન, કુટુંબ એક પ્રયોગશાળા : G_JS_64 : hinap775@gmail.com : Recorded</v>
      </c>
      <c r="CG383" s="1" t="str">
        <f ca="1">IFERROR(__xludf.DUMMYFUNCTION("""COMPUTED_VALUE"""),"Adarniya Hina Patel  ji ઘર એક તપોવન, કુટુંબ એક પ્રયોગશાળા : G_JS_64 : Allocated on 02-Apr-24 Contact Number  9921772176")</f>
        <v>Adarniya Hina Patel  ji ઘર એક તપોવન, કુટુંબ એક પ્રયોગશાળા : G_JS_64 : Allocated on 02-Apr-24 Contact Number  9921772176</v>
      </c>
      <c r="CH383" s="1" t="str">
        <f ca="1">IFERROR(__xludf.DUMMYFUNCTION("""COMPUTED_VALUE"""),"hinap775@gmail.com : ઘર એક તપોવન, કુટુંબ એક પ્રયોગશાળા : G_JS_64")</f>
        <v>hinap775@gmail.com : ઘર એક તપોવન, કુટુંબ એક પ્રયોગશાળા : G_JS_64</v>
      </c>
      <c r="CI383" s="5">
        <f ca="1">IFERROR(__xludf.DUMMYFUNCTION("""COMPUTED_VALUE"""),45384.6050807754)</f>
        <v>45384.6050807754</v>
      </c>
    </row>
    <row r="384" spans="1:87" x14ac:dyDescent="0.25">
      <c r="A384" s="5">
        <f ca="1">IFERROR(__xludf.DUMMYFUNCTION("""COMPUTED_VALUE"""),45383.9196529513)</f>
        <v>45383.919652951299</v>
      </c>
      <c r="B384" s="1" t="str">
        <f ca="1">IFERROR(__xludf.DUMMYFUNCTION("""COMPUTED_VALUE"""),"druma4107@gmail.com")</f>
        <v>druma4107@gmail.com</v>
      </c>
      <c r="C384" s="1" t="str">
        <f ca="1">IFERROR(__xludf.DUMMYFUNCTION("""COMPUTED_VALUE"""),"Dr Uma Agrawal")</f>
        <v>Dr Uma Agrawal</v>
      </c>
      <c r="D384" s="1">
        <f ca="1">IFERROR(__xludf.DUMMYFUNCTION("""COMPUTED_VALUE"""),9410861182)</f>
        <v>9410861182</v>
      </c>
      <c r="E384" s="1" t="str">
        <f ca="1">IFERROR(__xludf.DUMMYFUNCTION("""COMPUTED_VALUE"""),"Yes")</f>
        <v>Yes</v>
      </c>
      <c r="F384" s="1" t="str">
        <f ca="1">IFERROR(__xludf.DUMMYFUNCTION("""COMPUTED_VALUE"""),"हिन्दी")</f>
        <v>हिन्दी</v>
      </c>
      <c r="G384" s="1" t="str">
        <f ca="1">IFERROR(__xludf.DUMMYFUNCTION("""COMPUTED_VALUE"""),"युग परिवर्तन-विचार क्रांति")</f>
        <v>युग परिवर्तन-विचार क्रांति</v>
      </c>
      <c r="H384" s="1"/>
      <c r="I384" s="1"/>
      <c r="J384" s="1"/>
      <c r="K384" s="1"/>
      <c r="L384" s="1"/>
      <c r="M384" s="1"/>
      <c r="N384" s="1"/>
      <c r="O384" s="1"/>
      <c r="P384" s="1"/>
      <c r="Q384" s="1" t="str">
        <f ca="1">IFERROR(__xludf.DUMMYFUNCTION("""COMPUTED_VALUE"""),"युग निर्माण योजना एवं युग परिवर्तन")</f>
        <v>युग निर्माण योजना एवं युग परिवर्तन</v>
      </c>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f ca="1">IFERROR(__xludf.DUMMYFUNCTION("""COMPUTED_VALUE"""),104)</f>
        <v>104</v>
      </c>
      <c r="BX384" s="1">
        <f ca="1">IFERROR(__xludf.DUMMYFUNCTION("""COMPUTED_VALUE"""),106)</f>
        <v>106</v>
      </c>
      <c r="BY384" s="1">
        <f ca="1">IFERROR(__xludf.DUMMYFUNCTION("""COMPUTED_VALUE"""),9)</f>
        <v>9</v>
      </c>
      <c r="BZ384" s="1">
        <f ca="1">IFERROR(__xludf.DUMMYFUNCTION("""COMPUTED_VALUE"""),43)</f>
        <v>43</v>
      </c>
      <c r="CA384" s="1"/>
      <c r="CB384" s="1"/>
      <c r="CC384" s="1" t="str">
        <f ca="1">IFERROR(__xludf.DUMMYFUNCTION("""COMPUTED_VALUE"""),"महाकाल का चक्र और संधि बेला : Rare Book")</f>
        <v>महाकाल का चक्र और संधि बेला : Rare Book</v>
      </c>
      <c r="CD384" s="3" t="str">
        <f ca="1">IFERROR(__xludf.DUMMYFUNCTION("""COMPUTED_VALUE"""),"https://vicharkrantibooks.org/productdetail?book_name=HINP0463_MAHAKAL_KA_CHAKR_AUR_SANDHI_BELA_xxyyyy&amp;product_id=1028")</f>
        <v>https://vicharkrantibooks.org/productdetail?book_name=HINP0463_MAHAKAL_KA_CHAKR_AUR_SANDHI_BELA_xxyyyy&amp;product_id=1028</v>
      </c>
      <c r="CE384" s="1" t="str">
        <f ca="1">IFERROR(__xludf.DUMMYFUNCTION("""COMPUTED_VALUE"""),"Audiobook : महाकाल का चक्र और संधि बेला : Rare Book : druma4107@gmail.com : Recorded")</f>
        <v>Audiobook : महाकाल का चक्र और संधि बेला : Rare Book : druma4107@gmail.com : Recorded</v>
      </c>
      <c r="CF384" s="1" t="str">
        <f ca="1">IFERROR(__xludf.DUMMYFUNCTION("""COMPUTED_VALUE"""),"Audiobook : महाकाल का चक्र और संधि बेला : Rare Book : druma4107@gmail.com : Recorded")</f>
        <v>Audiobook : महाकाल का चक्र और संधि बेला : Rare Book : druma4107@gmail.com : Recorded</v>
      </c>
      <c r="CG384" s="1" t="str">
        <f ca="1">IFERROR(__xludf.DUMMYFUNCTION("""COMPUTED_VALUE"""),"Adarniya Dr Uma Agrawal ji महाकाल का चक्र और संधि बेला : Rare Book : Allocated on 01-Apr-24 Contact Number  9410861182")</f>
        <v>Adarniya Dr Uma Agrawal ji महाकाल का चक्र और संधि बेला : Rare Book : Allocated on 01-Apr-24 Contact Number  9410861182</v>
      </c>
      <c r="CH384" s="1" t="str">
        <f ca="1">IFERROR(__xludf.DUMMYFUNCTION("""COMPUTED_VALUE"""),"druma4107@gmail.com : महाकाल का चक्र और संधि बेला : Rare Book")</f>
        <v>druma4107@gmail.com : महाकाल का चक्र और संधि बेला : Rare Book</v>
      </c>
      <c r="CI384" s="5">
        <f ca="1">IFERROR(__xludf.DUMMYFUNCTION("""COMPUTED_VALUE"""),45383.9196529513)</f>
        <v>45383.919652951299</v>
      </c>
    </row>
    <row r="385" spans="1:87" x14ac:dyDescent="0.25">
      <c r="A385" s="5">
        <f ca="1">IFERROR(__xludf.DUMMYFUNCTION("""COMPUTED_VALUE"""),45383.7880793171)</f>
        <v>45383.788079317099</v>
      </c>
      <c r="B385" s="1" t="str">
        <f ca="1">IFERROR(__xludf.DUMMYFUNCTION("""COMPUTED_VALUE"""),"dave.chhaya@gmail.com")</f>
        <v>dave.chhaya@gmail.com</v>
      </c>
      <c r="C385" s="1" t="str">
        <f ca="1">IFERROR(__xludf.DUMMYFUNCTION("""COMPUTED_VALUE"""),"Chhaya Deepak Dave ")</f>
        <v xml:space="preserve">Chhaya Deepak Dave </v>
      </c>
      <c r="D385" s="1">
        <f ca="1">IFERROR(__xludf.DUMMYFUNCTION("""COMPUTED_VALUE"""),9879596556)</f>
        <v>9879596556</v>
      </c>
      <c r="E385" s="1" t="str">
        <f ca="1">IFERROR(__xludf.DUMMYFUNCTION("""COMPUTED_VALUE"""),"Not Relevant")</f>
        <v>Not Relevant</v>
      </c>
      <c r="F385" s="1" t="str">
        <f ca="1">IFERROR(__xludf.DUMMYFUNCTION("""COMPUTED_VALUE"""),"गुजराती")</f>
        <v>गुजराती</v>
      </c>
      <c r="G385" s="1" t="str">
        <f ca="1">IFERROR(__xludf.DUMMYFUNCTION("""COMPUTED_VALUE"""),"युग द्रष्टा पं. श्रीराम शर्मा आचार्यजी")</f>
        <v>युग द्रष्टा पं. श्रीराम शर्मा आचार्यजी</v>
      </c>
      <c r="H385" s="1"/>
      <c r="I385" s="1"/>
      <c r="J385" s="1"/>
      <c r="K385" s="1"/>
      <c r="L385" s="1"/>
      <c r="M385" s="1"/>
      <c r="N385" s="1"/>
      <c r="O385" s="1"/>
      <c r="P385" s="1" t="str">
        <f ca="1">IFERROR(__xludf.DUMMYFUNCTION("""COMPUTED_VALUE"""),"युगॠषी की अमृतवाणी")</f>
        <v>युगॠषी की अमृतवाणी</v>
      </c>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f ca="1">IFERROR(__xludf.DUMMYFUNCTION("""COMPUTED_VALUE"""),46)</f>
        <v>46</v>
      </c>
      <c r="BX385" s="1">
        <f ca="1">IFERROR(__xludf.DUMMYFUNCTION("""COMPUTED_VALUE"""),39)</f>
        <v>39</v>
      </c>
      <c r="BY385" s="1">
        <f ca="1">IFERROR(__xludf.DUMMYFUNCTION("""COMPUTED_VALUE"""),6)</f>
        <v>6</v>
      </c>
      <c r="BZ385" s="1">
        <f ca="1">IFERROR(__xludf.DUMMYFUNCTION("""COMPUTED_VALUE"""),16)</f>
        <v>16</v>
      </c>
      <c r="CA385" s="1"/>
      <c r="CB385" s="1"/>
      <c r="CC385" s="1" t="str">
        <f ca="1">IFERROR(__xludf.DUMMYFUNCTION("""COMPUTED_VALUE"""),"ધર્મતંત્રનો પરિષ્કાર અત્યંત જરૂરી : G_JS_09")</f>
        <v>ધર્મતંત્રનો પરિષ્કાર અત્યંત જરૂરી : G_JS_09</v>
      </c>
      <c r="CD385" s="3" t="str">
        <f ca="1">IFERROR(__xludf.DUMMYFUNCTION("""COMPUTED_VALUE"""),"https://vicharkrantibooks.org/productdetail?book_name=GUJP0244_DHARMATANTRANO_PARISHKAR_ATYANT_JARURI_XXYYYY&amp;product_id=3733")</f>
        <v>https://vicharkrantibooks.org/productdetail?book_name=GUJP0244_DHARMATANTRANO_PARISHKAR_ATYANT_JARURI_XXYYYY&amp;product_id=3733</v>
      </c>
      <c r="CE385" s="1" t="str">
        <f ca="1">IFERROR(__xludf.DUMMYFUNCTION("""COMPUTED_VALUE"""),"Audiobook : ધર્મતંત્રનો પરિષ્કાર અત્યંત જરૂરી : G_JS_09 : dave.chhaya@gmail.com : Recorded")</f>
        <v>Audiobook : ધર્મતંત્રનો પરિષ્કાર અત્યંત જરૂરી : G_JS_09 : dave.chhaya@gmail.com : Recorded</v>
      </c>
      <c r="CF385" s="1" t="str">
        <f ca="1">IFERROR(__xludf.DUMMYFUNCTION("""COMPUTED_VALUE"""),"Audiobook : ધર્મતંત્રનો પરિષ્કાર અત્યંત જરૂરી : G_JS_09 : dave.chhaya@gmail.com : Recorded")</f>
        <v>Audiobook : ધર્મતંત્રનો પરિષ્કાર અત્યંત જરૂરી : G_JS_09 : dave.chhaya@gmail.com : Recorded</v>
      </c>
      <c r="CG385" s="1" t="str">
        <f ca="1">IFERROR(__xludf.DUMMYFUNCTION("""COMPUTED_VALUE"""),"Adarniya Chhaya Deepak Dave  ji ધર્મતંત્રનો પરિષ્કાર અત્યંત જરૂરી : G_JS_09 : Allocated on 01-Apr-24 Contact Number  9879596556")</f>
        <v>Adarniya Chhaya Deepak Dave  ji ધર્મતંત્રનો પરિષ્કાર અત્યંત જરૂરી : G_JS_09 : Allocated on 01-Apr-24 Contact Number  9879596556</v>
      </c>
      <c r="CH385" s="1" t="str">
        <f ca="1">IFERROR(__xludf.DUMMYFUNCTION("""COMPUTED_VALUE"""),"dave.chhaya@gmail.com : ધર્મતંત્રનો પરિષ્કાર અત્યંત જરૂરી : G_JS_09")</f>
        <v>dave.chhaya@gmail.com : ધર્મતંત્રનો પરિષ્કાર અત્યંત જરૂરી : G_JS_09</v>
      </c>
      <c r="CI385" s="5">
        <f ca="1">IFERROR(__xludf.DUMMYFUNCTION("""COMPUTED_VALUE"""),45383.7880793171)</f>
        <v>45383.788079317099</v>
      </c>
    </row>
    <row r="386" spans="1:87" x14ac:dyDescent="0.25">
      <c r="A386" s="5">
        <f ca="1">IFERROR(__xludf.DUMMYFUNCTION("""COMPUTED_VALUE"""),45383.5884182986)</f>
        <v>45383.588418298597</v>
      </c>
      <c r="B386" s="1" t="str">
        <f ca="1">IFERROR(__xludf.DUMMYFUNCTION("""COMPUTED_VALUE"""),"tushar.pandit7686@gmail.com")</f>
        <v>tushar.pandit7686@gmail.com</v>
      </c>
      <c r="C386" s="1" t="str">
        <f ca="1">IFERROR(__xludf.DUMMYFUNCTION("""COMPUTED_VALUE"""),"Hetal")</f>
        <v>Hetal</v>
      </c>
      <c r="D386" s="1">
        <f ca="1">IFERROR(__xludf.DUMMYFUNCTION("""COMPUTED_VALUE"""),7874048920)</f>
        <v>7874048920</v>
      </c>
      <c r="E386" s="1" t="str">
        <f ca="1">IFERROR(__xludf.DUMMYFUNCTION("""COMPUTED_VALUE"""),"Yes")</f>
        <v>Yes</v>
      </c>
      <c r="F386" s="1" t="str">
        <f ca="1">IFERROR(__xludf.DUMMYFUNCTION("""COMPUTED_VALUE"""),"गुजराती")</f>
        <v>गुजराती</v>
      </c>
      <c r="G386" s="1" t="str">
        <f ca="1">IFERROR(__xludf.DUMMYFUNCTION("""COMPUTED_VALUE"""),"अध्यात्म, धर्म एवं दर्शन")</f>
        <v>अध्यात्म, धर्म एवं दर्शन</v>
      </c>
      <c r="H386" s="1" t="str">
        <f ca="1">IFERROR(__xludf.DUMMYFUNCTION("""COMPUTED_VALUE"""),"अध्यात्म, धर्म एवं आस्तिकता")</f>
        <v>अध्यात्म, धर्म एवं आस्तिकता</v>
      </c>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f ca="1">IFERROR(__xludf.DUMMYFUNCTION("""COMPUTED_VALUE"""),13)</f>
        <v>13</v>
      </c>
      <c r="BX386" s="1">
        <f ca="1">IFERROR(__xludf.DUMMYFUNCTION("""COMPUTED_VALUE"""),13)</f>
        <v>13</v>
      </c>
      <c r="BY386" s="1">
        <f ca="1">IFERROR(__xludf.DUMMYFUNCTION("""COMPUTED_VALUE"""),3)</f>
        <v>3</v>
      </c>
      <c r="BZ386" s="1">
        <f ca="1">IFERROR(__xludf.DUMMYFUNCTION("""COMPUTED_VALUE"""),0)</f>
        <v>0</v>
      </c>
      <c r="CA386" s="1"/>
      <c r="CB386" s="1"/>
      <c r="CC386" s="1" t="str">
        <f ca="1">IFERROR(__xludf.DUMMYFUNCTION("""COMPUTED_VALUE"""),"ધર્મતંત્રનો દુરુપયોગ અટકાવો : G_JS_08")</f>
        <v>ધર્મતંત્રનો દુરુપયોગ અટકાવો : G_JS_08</v>
      </c>
      <c r="CD386" s="3" t="str">
        <f ca="1">IFERROR(__xludf.DUMMYFUNCTION("""COMPUTED_VALUE"""),"https://vicharkrantibooks.org/productdetail?book_name=GUJP0243_DHARMATANTRANO_DURUPAYOG_ATKAVO_XXYYYY&amp;product_id=3732")</f>
        <v>https://vicharkrantibooks.org/productdetail?book_name=GUJP0243_DHARMATANTRANO_DURUPAYOG_ATKAVO_XXYYYY&amp;product_id=3732</v>
      </c>
      <c r="CE386" s="1" t="str">
        <f ca="1">IFERROR(__xludf.DUMMYFUNCTION("""COMPUTED_VALUE"""),"Audiobook : ધર્મતંત્રનો દુરુપયોગ અટકાવો : G_JS_08 : tushar.pandit7686@gmail.com : Recorded")</f>
        <v>Audiobook : ધર્મતંત્રનો દુરુપયોગ અટકાવો : G_JS_08 : tushar.pandit7686@gmail.com : Recorded</v>
      </c>
      <c r="CF386" s="1" t="str">
        <f ca="1">IFERROR(__xludf.DUMMYFUNCTION("""COMPUTED_VALUE"""),"Audiobook : ધર્મતંત્રનો દુરુપયોગ અટકાવો : G_JS_08 : tushar.pandit7686@gmail.com : Recorded")</f>
        <v>Audiobook : ધર્મતંત્રનો દુરુપયોગ અટકાવો : G_JS_08 : tushar.pandit7686@gmail.com : Recorded</v>
      </c>
      <c r="CG386" s="1" t="str">
        <f ca="1">IFERROR(__xludf.DUMMYFUNCTION("""COMPUTED_VALUE"""),"Adarniya Hetal ji ધર્મતંત્રનો દુરુપયોગ અટકાવો : G_JS_08 : Allocated on 01-Apr-24 Contact Number  7874048920")</f>
        <v>Adarniya Hetal ji ધર્મતંત્રનો દુરુપયોગ અટકાવો : G_JS_08 : Allocated on 01-Apr-24 Contact Number  7874048920</v>
      </c>
      <c r="CH386" s="1" t="str">
        <f ca="1">IFERROR(__xludf.DUMMYFUNCTION("""COMPUTED_VALUE"""),"tushar.pandit7686@gmail.com : ધર્મતંત્રનો દુરુપયોગ અટકાવો : G_JS_08")</f>
        <v>tushar.pandit7686@gmail.com : ધર્મતંત્રનો દુરુપયોગ અટકાવો : G_JS_08</v>
      </c>
      <c r="CI386" s="5">
        <f ca="1">IFERROR(__xludf.DUMMYFUNCTION("""COMPUTED_VALUE"""),45383.5884182986)</f>
        <v>45383.588418298597</v>
      </c>
    </row>
    <row r="387" spans="1:87" x14ac:dyDescent="0.25">
      <c r="A387" s="5">
        <f ca="1">IFERROR(__xludf.DUMMYFUNCTION("""COMPUTED_VALUE"""),45381.8454858333)</f>
        <v>45381.845485833299</v>
      </c>
      <c r="B387" s="1" t="str">
        <f ca="1">IFERROR(__xludf.DUMMYFUNCTION("""COMPUTED_VALUE"""),"dimplepatel1779@yahoo.com")</f>
        <v>dimplepatel1779@yahoo.com</v>
      </c>
      <c r="C387" s="1" t="str">
        <f ca="1">IFERROR(__xludf.DUMMYFUNCTION("""COMPUTED_VALUE"""),"Darshna Patel")</f>
        <v>Darshna Patel</v>
      </c>
      <c r="D387" s="1">
        <f ca="1">IFERROR(__xludf.DUMMYFUNCTION("""COMPUTED_VALUE"""),9824046460)</f>
        <v>9824046460</v>
      </c>
      <c r="E387" s="1" t="str">
        <f ca="1">IFERROR(__xludf.DUMMYFUNCTION("""COMPUTED_VALUE"""),"Yes")</f>
        <v>Yes</v>
      </c>
      <c r="F387" s="1" t="str">
        <f ca="1">IFERROR(__xludf.DUMMYFUNCTION("""COMPUTED_VALUE"""),"गुजराती")</f>
        <v>गुजराती</v>
      </c>
      <c r="G387" s="1" t="str">
        <f ca="1">IFERROR(__xludf.DUMMYFUNCTION("""COMPUTED_VALUE"""),"युग द्रष्टा पं. श्रीराम शर्मा आचार्यजी")</f>
        <v>युग द्रष्टा पं. श्रीराम शर्मा आचार्यजी</v>
      </c>
      <c r="H387" s="1"/>
      <c r="I387" s="1"/>
      <c r="J387" s="1"/>
      <c r="K387" s="1"/>
      <c r="L387" s="1"/>
      <c r="M387" s="1"/>
      <c r="N387" s="1"/>
      <c r="O387" s="1"/>
      <c r="P387" s="1" t="str">
        <f ca="1">IFERROR(__xludf.DUMMYFUNCTION("""COMPUTED_VALUE"""),"युगॠषी की अमृतवाणी")</f>
        <v>युगॠषी की अमृतवाणी</v>
      </c>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f ca="1">IFERROR(__xludf.DUMMYFUNCTION("""COMPUTED_VALUE"""),1)</f>
        <v>1</v>
      </c>
      <c r="BX387" s="1">
        <f ca="1">IFERROR(__xludf.DUMMYFUNCTION("""COMPUTED_VALUE"""),0)</f>
        <v>0</v>
      </c>
      <c r="BY387" s="1">
        <f ca="1">IFERROR(__xludf.DUMMYFUNCTION("""COMPUTED_VALUE"""),1)</f>
        <v>1</v>
      </c>
      <c r="BZ387" s="1">
        <f ca="1">IFERROR(__xludf.DUMMYFUNCTION("""COMPUTED_VALUE"""),0)</f>
        <v>0</v>
      </c>
      <c r="CA387" s="1"/>
      <c r="CB387" s="1"/>
      <c r="CC387" s="1" t="str">
        <f ca="1">IFERROR(__xludf.DUMMYFUNCTION("""COMPUTED_VALUE"""),"યુગઋષિની અમરવાણી ભાગ - ૧ : G_PP_76")</f>
        <v>યુગઋષિની અમરવાણી ભાગ - ૧ : G_PP_76</v>
      </c>
      <c r="CD387" s="3" t="str">
        <f ca="1">IFERROR(__xludf.DUMMYFUNCTION("""COMPUTED_VALUE"""),"https://vicharkrantibooks.org/productdetail?book_name=GUJP1059_YUGRUSHINI_AMARVANI_BHAG_1_XXYYYY&amp;product_id=3980")</f>
        <v>https://vicharkrantibooks.org/productdetail?book_name=GUJP1059_YUGRUSHINI_AMARVANI_BHAG_1_XXYYYY&amp;product_id=3980</v>
      </c>
      <c r="CE387" s="1" t="str">
        <f ca="1">IFERROR(__xludf.DUMMYFUNCTION("""COMPUTED_VALUE"""),"Audiobook : યુગઋષિની અમરવાણી ભાગ - ૧ : G_PP_76 : dimplepatel1779@yahoo.com : Recorded")</f>
        <v>Audiobook : યુગઋષિની અમરવાણી ભાગ - ૧ : G_PP_76 : dimplepatel1779@yahoo.com : Recorded</v>
      </c>
      <c r="CF387" s="1" t="str">
        <f ca="1">IFERROR(__xludf.DUMMYFUNCTION("""COMPUTED_VALUE"""),"#N/A")</f>
        <v>#N/A</v>
      </c>
      <c r="CG387" s="1" t="str">
        <f ca="1">IFERROR(__xludf.DUMMYFUNCTION("""COMPUTED_VALUE"""),"Adarniya Darshna Patel ji યુગઋષિની અમરવાણી ભાગ - ૧ : G_PP_76 : Allocated on 30-Mar-24 Contact Number  9824046460")</f>
        <v>Adarniya Darshna Patel ji યુગઋષિની અમરવાણી ભાગ - ૧ : G_PP_76 : Allocated on 30-Mar-24 Contact Number  9824046460</v>
      </c>
      <c r="CH387" s="1" t="str">
        <f ca="1">IFERROR(__xludf.DUMMYFUNCTION("""COMPUTED_VALUE"""),"dimplepatel1779@yahoo.com : યુગઋષિની અમરવાણી ભાગ - ૧ : G_PP_76")</f>
        <v>dimplepatel1779@yahoo.com : યુગઋષિની અમરવાણી ભાગ - ૧ : G_PP_76</v>
      </c>
      <c r="CI387" s="5">
        <f ca="1">IFERROR(__xludf.DUMMYFUNCTION("""COMPUTED_VALUE"""),45381.8454858333)</f>
        <v>45381.845485833299</v>
      </c>
    </row>
    <row r="388" spans="1:87" x14ac:dyDescent="0.25">
      <c r="A388" s="5">
        <f ca="1">IFERROR(__xludf.DUMMYFUNCTION("""COMPUTED_VALUE"""),45381.7181100925)</f>
        <v>45381.718110092501</v>
      </c>
      <c r="B388" s="1" t="str">
        <f ca="1">IFERROR(__xludf.DUMMYFUNCTION("""COMPUTED_VALUE"""),"shitalbenbhatt93@gmail.com")</f>
        <v>shitalbenbhatt93@gmail.com</v>
      </c>
      <c r="C388" s="1" t="str">
        <f ca="1">IFERROR(__xludf.DUMMYFUNCTION("""COMPUTED_VALUE"""),"Shital bhatt")</f>
        <v>Shital bhatt</v>
      </c>
      <c r="D388" s="1">
        <f ca="1">IFERROR(__xludf.DUMMYFUNCTION("""COMPUTED_VALUE"""),9825794109)</f>
        <v>9825794109</v>
      </c>
      <c r="E388" s="1" t="str">
        <f ca="1">IFERROR(__xludf.DUMMYFUNCTION("""COMPUTED_VALUE"""),"No")</f>
        <v>No</v>
      </c>
      <c r="F388" s="1" t="str">
        <f ca="1">IFERROR(__xludf.DUMMYFUNCTION("""COMPUTED_VALUE"""),"गुजराती")</f>
        <v>गुजराती</v>
      </c>
      <c r="G388" s="1" t="str">
        <f ca="1">IFERROR(__xludf.DUMMYFUNCTION("""COMPUTED_VALUE"""),"युग द्रष्टा पं. श्रीराम शर्मा आचार्यजी")</f>
        <v>युग द्रष्टा पं. श्रीराम शर्मा आचार्यजी</v>
      </c>
      <c r="H388" s="1"/>
      <c r="I388" s="1"/>
      <c r="J388" s="1"/>
      <c r="K388" s="1"/>
      <c r="L388" s="1"/>
      <c r="M388" s="1"/>
      <c r="N388" s="1"/>
      <c r="O388" s="1"/>
      <c r="P388" s="1" t="str">
        <f ca="1">IFERROR(__xludf.DUMMYFUNCTION("""COMPUTED_VALUE"""),"युगॠषी का जीवनदर्शन")</f>
        <v>युगॠषी का जीवनदर्शन</v>
      </c>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f ca="1">IFERROR(__xludf.DUMMYFUNCTION("""COMPUTED_VALUE"""),2)</f>
        <v>2</v>
      </c>
      <c r="BX388" s="1">
        <f ca="1">IFERROR(__xludf.DUMMYFUNCTION("""COMPUTED_VALUE"""),0)</f>
        <v>0</v>
      </c>
      <c r="BY388" s="1">
        <f ca="1">IFERROR(__xludf.DUMMYFUNCTION("""COMPUTED_VALUE"""),2)</f>
        <v>2</v>
      </c>
      <c r="BZ388" s="1">
        <f ca="1">IFERROR(__xludf.DUMMYFUNCTION("""COMPUTED_VALUE"""),0)</f>
        <v>0</v>
      </c>
      <c r="CA388" s="1"/>
      <c r="CB388" s="1"/>
      <c r="CC388" s="1" t="str">
        <f ca="1">IFERROR(__xludf.DUMMYFUNCTION("""COMPUTED_VALUE"""),"યુગ નિર્માણ પરિવારના સભ્યો આ રીતે વિચારે : G_PP_04")</f>
        <v>યુગ નિર્માણ પરિવારના સભ્યો આ રીતે વિચારે : G_PP_04</v>
      </c>
      <c r="CD388" s="3" t="str">
        <f ca="1">IFERROR(__xludf.DUMMYFUNCTION("""COMPUTED_VALUE"""),"https://vicharkrantibooks.org/productdetail?book_name=GUJP1039_YUG_NIRMAN_PARIVARANA_SABHYO_AA_RITE_VICHARE_XXYYYY&amp;product_id=3909")</f>
        <v>https://vicharkrantibooks.org/productdetail?book_name=GUJP1039_YUG_NIRMAN_PARIVARANA_SABHYO_AA_RITE_VICHARE_XXYYYY&amp;product_id=3909</v>
      </c>
      <c r="CE388" s="1" t="str">
        <f ca="1">IFERROR(__xludf.DUMMYFUNCTION("""COMPUTED_VALUE"""),"Audiobook : યુગ નિર્માણ પરિવારના સભ્યો આ રીતે વિચારે : G_PP_04 : shitalbenbhatt93@gmail.com : Recorded")</f>
        <v>Audiobook : યુગ નિર્માણ પરિવારના સભ્યો આ રીતે વિચારે : G_PP_04 : shitalbenbhatt93@gmail.com : Recorded</v>
      </c>
      <c r="CF388" s="1" t="str">
        <f ca="1">IFERROR(__xludf.DUMMYFUNCTION("""COMPUTED_VALUE"""),"#N/A")</f>
        <v>#N/A</v>
      </c>
      <c r="CG388" s="1" t="str">
        <f ca="1">IFERROR(__xludf.DUMMYFUNCTION("""COMPUTED_VALUE"""),"Adarniya Shital bhatt ji યુગ નિર્માણ પરિવારના સભ્યો આ રીતે વિચારે : G_PP_04 : Allocated on 30-Mar-24 Contact Number  9825794109")</f>
        <v>Adarniya Shital bhatt ji યુગ નિર્માણ પરિવારના સભ્યો આ રીતે વિચારે : G_PP_04 : Allocated on 30-Mar-24 Contact Number  9825794109</v>
      </c>
      <c r="CH388" s="1" t="str">
        <f ca="1">IFERROR(__xludf.DUMMYFUNCTION("""COMPUTED_VALUE"""),"shitalbenbhatt93@gmail.com : યુગ નિર્માણ પરિવારના સભ્યો આ રીતે વિચારે : G_PP_04")</f>
        <v>shitalbenbhatt93@gmail.com : યુગ નિર્માણ પરિવારના સભ્યો આ રીતે વિચારે : G_PP_04</v>
      </c>
      <c r="CI388" s="5">
        <f ca="1">IFERROR(__xludf.DUMMYFUNCTION("""COMPUTED_VALUE"""),45381.7181100925)</f>
        <v>45381.718110092501</v>
      </c>
    </row>
    <row r="389" spans="1:87" x14ac:dyDescent="0.25">
      <c r="A389" s="5">
        <f ca="1">IFERROR(__xludf.DUMMYFUNCTION("""COMPUTED_VALUE"""),45381.7049356134)</f>
        <v>45381.704935613401</v>
      </c>
      <c r="B389" s="1" t="str">
        <f ca="1">IFERROR(__xludf.DUMMYFUNCTION("""COMPUTED_VALUE"""),"anu161965@gmail.com")</f>
        <v>anu161965@gmail.com</v>
      </c>
      <c r="C389" s="1" t="str">
        <f ca="1">IFERROR(__xludf.DUMMYFUNCTION("""COMPUTED_VALUE"""),"Anureeta awadh")</f>
        <v>Anureeta awadh</v>
      </c>
      <c r="D389" s="1">
        <f ca="1">IFERROR(__xludf.DUMMYFUNCTION("""COMPUTED_VALUE"""),8860314422)</f>
        <v>8860314422</v>
      </c>
      <c r="E389" s="1" t="str">
        <f ca="1">IFERROR(__xludf.DUMMYFUNCTION("""COMPUTED_VALUE"""),"Yes")</f>
        <v>Yes</v>
      </c>
      <c r="F389" s="1" t="str">
        <f ca="1">IFERROR(__xludf.DUMMYFUNCTION("""COMPUTED_VALUE"""),"हिन्दी")</f>
        <v>हिन्दी</v>
      </c>
      <c r="G389" s="1" t="str">
        <f ca="1">IFERROR(__xludf.DUMMYFUNCTION("""COMPUTED_VALUE"""),"वैज्ञानिक अध्यात्मवाद का प्रतिपादन")</f>
        <v>वैज्ञानिक अध्यात्मवाद का प्रतिपादन</v>
      </c>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f ca="1">IFERROR(__xludf.DUMMYFUNCTION("""COMPUTED_VALUE"""),24)</f>
        <v>24</v>
      </c>
      <c r="BX389" s="1">
        <f ca="1">IFERROR(__xludf.DUMMYFUNCTION("""COMPUTED_VALUE"""),18)</f>
        <v>18</v>
      </c>
      <c r="BY389" s="1">
        <f ca="1">IFERROR(__xludf.DUMMYFUNCTION("""COMPUTED_VALUE"""),7)</f>
        <v>7</v>
      </c>
      <c r="BZ389" s="1">
        <f ca="1">IFERROR(__xludf.DUMMYFUNCTION("""COMPUTED_VALUE"""),5)</f>
        <v>5</v>
      </c>
      <c r="CA389" s="1"/>
      <c r="CB389" s="1"/>
      <c r="CC389" s="1" t="str">
        <f ca="1">IFERROR(__xludf.DUMMYFUNCTION("""COMPUTED_VALUE"""),"शब्द विद्या चमत्कारों से भरी एक अद्भुत शक्त्ति : Rare Book")</f>
        <v>शब्द विद्या चमत्कारों से भरी एक अद्भुत शक्त्ति : Rare Book</v>
      </c>
      <c r="CD389" s="3" t="str">
        <f ca="1">IFERROR(__xludf.DUMMYFUNCTION("""COMPUTED_VALUE"""),"https://vicharkrantibooks.org/productdetail?book_name=HINF0261_SHABDVIDHYA_CHAMATKARON_SE_BHARI_EK_ADBHUT_SHAKTI_xxyyyy&amp;product_id=481")</f>
        <v>https://vicharkrantibooks.org/productdetail?book_name=HINF0261_SHABDVIDHYA_CHAMATKARON_SE_BHARI_EK_ADBHUT_SHAKTI_xxyyyy&amp;product_id=481</v>
      </c>
      <c r="CE389" s="1" t="str">
        <f ca="1">IFERROR(__xludf.DUMMYFUNCTION("""COMPUTED_VALUE"""),"Audiobook : शब्द विद्या चमत्कारों से भरी एक अद्भुत शक्त्ति : Rare Book : anu161965@gmail.com : Recorded")</f>
        <v>Audiobook : शब्द विद्या चमत्कारों से भरी एक अद्भुत शक्त्ति : Rare Book : anu161965@gmail.com : Recorded</v>
      </c>
      <c r="CF389" s="1" t="str">
        <f ca="1">IFERROR(__xludf.DUMMYFUNCTION("""COMPUTED_VALUE"""),"Audiobook : शब्द विद्या चमत्कारों से भरी एक अद्भुत शक्त्ति : Rare Book : anu161965@gmail.com : Recorded")</f>
        <v>Audiobook : शब्द विद्या चमत्कारों से भरी एक अद्भुत शक्त्ति : Rare Book : anu161965@gmail.com : Recorded</v>
      </c>
      <c r="CG389" s="1" t="str">
        <f ca="1">IFERROR(__xludf.DUMMYFUNCTION("""COMPUTED_VALUE"""),"Adarniya Anureeta awadh ji शब्द विद्या चमत्कारों से भरी एक अद्भुत शक्त्ति : Rare Book : Allocated on 30-Mar-24 Contact Number  8860314422")</f>
        <v>Adarniya Anureeta awadh ji शब्द विद्या चमत्कारों से भरी एक अद्भुत शक्त्ति : Rare Book : Allocated on 30-Mar-24 Contact Number  8860314422</v>
      </c>
      <c r="CH389" s="1" t="str">
        <f ca="1">IFERROR(__xludf.DUMMYFUNCTION("""COMPUTED_VALUE"""),"anu161965@gmail.com : शब्द विद्या चमत्कारों से भरी एक अद्भुत शक्त्ति : Rare Book")</f>
        <v>anu161965@gmail.com : शब्द विद्या चमत्कारों से भरी एक अद्भुत शक्त्ति : Rare Book</v>
      </c>
      <c r="CI389" s="5">
        <f ca="1">IFERROR(__xludf.DUMMYFUNCTION("""COMPUTED_VALUE"""),45381.7049356134)</f>
        <v>45381.704935613401</v>
      </c>
    </row>
    <row r="390" spans="1:87" x14ac:dyDescent="0.25">
      <c r="A390" s="5">
        <f ca="1">IFERROR(__xludf.DUMMYFUNCTION("""COMPUTED_VALUE"""),45381.6763607175)</f>
        <v>45381.676360717502</v>
      </c>
      <c r="B390" s="1" t="str">
        <f ca="1">IFERROR(__xludf.DUMMYFUNCTION("""COMPUTED_VALUE"""),"dave.chhaya@gmail.com")</f>
        <v>dave.chhaya@gmail.com</v>
      </c>
      <c r="C390" s="1" t="str">
        <f ca="1">IFERROR(__xludf.DUMMYFUNCTION("""COMPUTED_VALUE"""),"Chhaya Deepak Dave ")</f>
        <v xml:space="preserve">Chhaya Deepak Dave </v>
      </c>
      <c r="D390" s="1">
        <f ca="1">IFERROR(__xludf.DUMMYFUNCTION("""COMPUTED_VALUE"""),9879596556)</f>
        <v>9879596556</v>
      </c>
      <c r="E390" s="1" t="str">
        <f ca="1">IFERROR(__xludf.DUMMYFUNCTION("""COMPUTED_VALUE"""),"Yes")</f>
        <v>Yes</v>
      </c>
      <c r="F390" s="1" t="str">
        <f ca="1">IFERROR(__xludf.DUMMYFUNCTION("""COMPUTED_VALUE"""),"गुजराती")</f>
        <v>गुजराती</v>
      </c>
      <c r="G390" s="1" t="str">
        <f ca="1">IFERROR(__xludf.DUMMYFUNCTION("""COMPUTED_VALUE"""),"युग द्रष्टा पं. श्रीराम शर्मा आचार्यजी")</f>
        <v>युग द्रष्टा पं. श्रीराम शर्मा आचार्यजी</v>
      </c>
      <c r="H390" s="1"/>
      <c r="I390" s="1"/>
      <c r="J390" s="1"/>
      <c r="K390" s="1"/>
      <c r="L390" s="1"/>
      <c r="M390" s="1"/>
      <c r="N390" s="1"/>
      <c r="O390" s="1"/>
      <c r="P390" s="1" t="str">
        <f ca="1">IFERROR(__xludf.DUMMYFUNCTION("""COMPUTED_VALUE"""),"युगॠषी की अमृतवाणी")</f>
        <v>युगॠषी की अमृतवाणी</v>
      </c>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f ca="1">IFERROR(__xludf.DUMMYFUNCTION("""COMPUTED_VALUE"""),46)</f>
        <v>46</v>
      </c>
      <c r="BX390" s="1">
        <f ca="1">IFERROR(__xludf.DUMMYFUNCTION("""COMPUTED_VALUE"""),39)</f>
        <v>39</v>
      </c>
      <c r="BY390" s="1">
        <f ca="1">IFERROR(__xludf.DUMMYFUNCTION("""COMPUTED_VALUE"""),6)</f>
        <v>6</v>
      </c>
      <c r="BZ390" s="1">
        <f ca="1">IFERROR(__xludf.DUMMYFUNCTION("""COMPUTED_VALUE"""),16)</f>
        <v>16</v>
      </c>
      <c r="CA390" s="1"/>
      <c r="CB390" s="1"/>
      <c r="CC390" s="1" t="str">
        <f ca="1">IFERROR(__xludf.DUMMYFUNCTION("""COMPUTED_VALUE"""),"સમયના પડકારને આપણે સ્વીકારીએ : G_PP_14")</f>
        <v>સમયના પડકારને આપણે સ્વીકારીએ : G_PP_14</v>
      </c>
      <c r="CD390" s="3" t="str">
        <f ca="1">IFERROR(__xludf.DUMMYFUNCTION("""COMPUTED_VALUE"""),"https://vicharkrantibooks.org/productdetail?book_name=GUJP0771_SAMAYANA_PADAKARANE_APANE_SVIKARIYE_XXYYYY&amp;product_id=3919")</f>
        <v>https://vicharkrantibooks.org/productdetail?book_name=GUJP0771_SAMAYANA_PADAKARANE_APANE_SVIKARIYE_XXYYYY&amp;product_id=3919</v>
      </c>
      <c r="CE390" s="1" t="str">
        <f ca="1">IFERROR(__xludf.DUMMYFUNCTION("""COMPUTED_VALUE"""),"Audiobook : સમયના પડકારને આપણે સ્વીકારીએ : G_PP_14 : dave.chhaya@gmail.com : Recorded")</f>
        <v>Audiobook : સમયના પડકારને આપણે સ્વીકારીએ : G_PP_14 : dave.chhaya@gmail.com : Recorded</v>
      </c>
      <c r="CF390" s="1" t="str">
        <f ca="1">IFERROR(__xludf.DUMMYFUNCTION("""COMPUTED_VALUE"""),"Audiobook : સમયના પડકારને આપણે સ્વીકારીએ : G_PP_14 : dave.chhaya@gmail.com : Recorded")</f>
        <v>Audiobook : સમયના પડકારને આપણે સ્વીકારીએ : G_PP_14 : dave.chhaya@gmail.com : Recorded</v>
      </c>
      <c r="CG390" s="1" t="str">
        <f ca="1">IFERROR(__xludf.DUMMYFUNCTION("""COMPUTED_VALUE"""),"Adarniya Chhaya Deepak Dave  ji સમયના પડકારને આપણે સ્વીકારીએ : G_PP_14 : Allocated on 30-Mar-24 Contact Number  9879596556")</f>
        <v>Adarniya Chhaya Deepak Dave  ji સમયના પડકારને આપણે સ્વીકારીએ : G_PP_14 : Allocated on 30-Mar-24 Contact Number  9879596556</v>
      </c>
      <c r="CH390" s="1" t="str">
        <f ca="1">IFERROR(__xludf.DUMMYFUNCTION("""COMPUTED_VALUE"""),"dave.chhaya@gmail.com : સમયના પડકારને આપણે સ્વીકારીએ : G_PP_14")</f>
        <v>dave.chhaya@gmail.com : સમયના પડકારને આપણે સ્વીકારીએ : G_PP_14</v>
      </c>
      <c r="CI390" s="5">
        <f ca="1">IFERROR(__xludf.DUMMYFUNCTION("""COMPUTED_VALUE"""),45381.6763607175)</f>
        <v>45381.676360717502</v>
      </c>
    </row>
    <row r="391" spans="1:87" x14ac:dyDescent="0.25">
      <c r="A391" s="5">
        <f ca="1">IFERROR(__xludf.DUMMYFUNCTION("""COMPUTED_VALUE"""),45381.6209649305)</f>
        <v>45381.620964930502</v>
      </c>
      <c r="B391" s="1" t="str">
        <f ca="1">IFERROR(__xludf.DUMMYFUNCTION("""COMPUTED_VALUE"""),"kalagpatel1959@gmail.com")</f>
        <v>kalagpatel1959@gmail.com</v>
      </c>
      <c r="C391" s="1" t="str">
        <f ca="1">IFERROR(__xludf.DUMMYFUNCTION("""COMPUTED_VALUE"""),"Kala Patel ")</f>
        <v xml:space="preserve">Kala Patel </v>
      </c>
      <c r="D391" s="1">
        <f ca="1">IFERROR(__xludf.DUMMYFUNCTION("""COMPUTED_VALUE"""),9016250929)</f>
        <v>9016250929</v>
      </c>
      <c r="E391" s="1" t="str">
        <f ca="1">IFERROR(__xludf.DUMMYFUNCTION("""COMPUTED_VALUE"""),"Yes")</f>
        <v>Yes</v>
      </c>
      <c r="F391" s="1" t="str">
        <f ca="1">IFERROR(__xludf.DUMMYFUNCTION("""COMPUTED_VALUE"""),"गुजराती")</f>
        <v>गुजराती</v>
      </c>
      <c r="G391" s="1" t="str">
        <f ca="1">IFERROR(__xludf.DUMMYFUNCTION("""COMPUTED_VALUE"""),"युग परिवर्तन-विचार क्रांति")</f>
        <v>युग परिवर्तन-विचार क्रांति</v>
      </c>
      <c r="H391" s="1"/>
      <c r="I391" s="1"/>
      <c r="J391" s="1"/>
      <c r="K391" s="1"/>
      <c r="L391" s="1"/>
      <c r="M391" s="1"/>
      <c r="N391" s="1"/>
      <c r="O391" s="1"/>
      <c r="P391" s="1"/>
      <c r="Q391" s="1" t="str">
        <f ca="1">IFERROR(__xludf.DUMMYFUNCTION("""COMPUTED_VALUE"""),"विचार क्रांति")</f>
        <v>विचार क्रांति</v>
      </c>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f ca="1">IFERROR(__xludf.DUMMYFUNCTION("""COMPUTED_VALUE"""),34)</f>
        <v>34</v>
      </c>
      <c r="BX391" s="1">
        <f ca="1">IFERROR(__xludf.DUMMYFUNCTION("""COMPUTED_VALUE"""),34)</f>
        <v>34</v>
      </c>
      <c r="BY391" s="1">
        <f ca="1">IFERROR(__xludf.DUMMYFUNCTION("""COMPUTED_VALUE"""),4)</f>
        <v>4</v>
      </c>
      <c r="BZ391" s="1">
        <f ca="1">IFERROR(__xludf.DUMMYFUNCTION("""COMPUTED_VALUE"""),11)</f>
        <v>11</v>
      </c>
      <c r="CA391" s="1"/>
      <c r="CB391" s="1"/>
      <c r="CC391" s="1" t="str">
        <f ca="1">IFERROR(__xludf.DUMMYFUNCTION("""COMPUTED_VALUE"""),"યુગ પરિવર્તનમાં જ્ઞાનયજ્ઞની ભૂમિકા : G_JS_06")</f>
        <v>યુગ પરિવર્તનમાં જ્ઞાનયજ્ઞની ભૂમિકા : G_JS_06</v>
      </c>
      <c r="CD391" s="3" t="str">
        <f ca="1">IFERROR(__xludf.DUMMYFUNCTION("""COMPUTED_VALUE"""),"https://vicharkrantibooks.org/productdetail?book_name=GUJP1056_YUG_PARIVARTANMA_GNANYAGNANI_BHUMIKA_XXYYYY&amp;product_id=3730")</f>
        <v>https://vicharkrantibooks.org/productdetail?book_name=GUJP1056_YUG_PARIVARTANMA_GNANYAGNANI_BHUMIKA_XXYYYY&amp;product_id=3730</v>
      </c>
      <c r="CE391" s="1" t="str">
        <f ca="1">IFERROR(__xludf.DUMMYFUNCTION("""COMPUTED_VALUE"""),"Audiobook : યુગ પરિવર્તનમાં જ્ઞાનયજ્ઞની ભૂમિકા : G_JS_06 : kalagpatel1959@gmail.com : Recorded")</f>
        <v>Audiobook : યુગ પરિવર્તનમાં જ્ઞાનયજ્ઞની ભૂમિકા : G_JS_06 : kalagpatel1959@gmail.com : Recorded</v>
      </c>
      <c r="CF391" s="1" t="str">
        <f ca="1">IFERROR(__xludf.DUMMYFUNCTION("""COMPUTED_VALUE"""),"Audiobook : યુગ પરિવર્તનમાં જ્ઞાનયજ્ઞની ભૂમિકા : G_JS_06 : kalagpatel1959@gmail.com : Recorded")</f>
        <v>Audiobook : યુગ પરિવર્તનમાં જ્ઞાનયજ્ઞની ભૂમિકા : G_JS_06 : kalagpatel1959@gmail.com : Recorded</v>
      </c>
      <c r="CG391" s="1" t="str">
        <f ca="1">IFERROR(__xludf.DUMMYFUNCTION("""COMPUTED_VALUE"""),"Adarniya Kala Patel  ji યુગ પરિવર્તનમાં જ્ઞાનયજ્ઞની ભૂમિકા : G_JS_06 : Allocated on 30-Mar-24 Contact Number  9016250929")</f>
        <v>Adarniya Kala Patel  ji યુગ પરિવર્તનમાં જ્ઞાનયજ્ઞની ભૂમિકા : G_JS_06 : Allocated on 30-Mar-24 Contact Number  9016250929</v>
      </c>
      <c r="CH391" s="1" t="str">
        <f ca="1">IFERROR(__xludf.DUMMYFUNCTION("""COMPUTED_VALUE"""),"kalagpatel1959@gmail.com : યુગ પરિવર્તનમાં જ્ઞાનયજ્ઞની ભૂમિકા : G_JS_06")</f>
        <v>kalagpatel1959@gmail.com : યુગ પરિવર્તનમાં જ્ઞાનયજ્ઞની ભૂમિકા : G_JS_06</v>
      </c>
      <c r="CI391" s="5">
        <f ca="1">IFERROR(__xludf.DUMMYFUNCTION("""COMPUTED_VALUE"""),45381.6209649305)</f>
        <v>45381.620964930502</v>
      </c>
    </row>
    <row r="392" spans="1:87" x14ac:dyDescent="0.25">
      <c r="A392" s="5">
        <f ca="1">IFERROR(__xludf.DUMMYFUNCTION("""COMPUTED_VALUE"""),45381.4101075115)</f>
        <v>45381.410107511503</v>
      </c>
      <c r="B392" s="1" t="str">
        <f ca="1">IFERROR(__xludf.DUMMYFUNCTION("""COMPUTED_VALUE"""),"jamunashukla17@gmail.com")</f>
        <v>jamunashukla17@gmail.com</v>
      </c>
      <c r="C392" s="1" t="str">
        <f ca="1">IFERROR(__xludf.DUMMYFUNCTION("""COMPUTED_VALUE"""),"Smt J S Shukla")</f>
        <v>Smt J S Shukla</v>
      </c>
      <c r="D392" s="1">
        <f ca="1">IFERROR(__xludf.DUMMYFUNCTION("""COMPUTED_VALUE"""),8390353167)</f>
        <v>8390353167</v>
      </c>
      <c r="E392" s="1" t="str">
        <f ca="1">IFERROR(__xludf.DUMMYFUNCTION("""COMPUTED_VALUE"""),"Yes")</f>
        <v>Yes</v>
      </c>
      <c r="F392" s="1" t="str">
        <f ca="1">IFERROR(__xludf.DUMMYFUNCTION("""COMPUTED_VALUE"""),"हिन्दी")</f>
        <v>हिन्दी</v>
      </c>
      <c r="G392" s="1" t="str">
        <f ca="1">IFERROR(__xludf.DUMMYFUNCTION("""COMPUTED_VALUE"""),"परिवार निर्माण")</f>
        <v>परिवार निर्माण</v>
      </c>
      <c r="H392" s="1"/>
      <c r="I392" s="1"/>
      <c r="J392" s="1"/>
      <c r="K392" s="1"/>
      <c r="L392" s="1"/>
      <c r="M392" s="1" t="str">
        <f ca="1">IFERROR(__xludf.DUMMYFUNCTION("""COMPUTED_VALUE"""),"परिवार")</f>
        <v>परिवार</v>
      </c>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f ca="1">IFERROR(__xludf.DUMMYFUNCTION("""COMPUTED_VALUE"""),53)</f>
        <v>53</v>
      </c>
      <c r="BX392" s="1">
        <f ca="1">IFERROR(__xludf.DUMMYFUNCTION("""COMPUTED_VALUE"""),53)</f>
        <v>53</v>
      </c>
      <c r="BY392" s="1">
        <f ca="1">IFERROR(__xludf.DUMMYFUNCTION("""COMPUTED_VALUE"""),9)</f>
        <v>9</v>
      </c>
      <c r="BZ392" s="1">
        <f ca="1">IFERROR(__xludf.DUMMYFUNCTION("""COMPUTED_VALUE"""),25)</f>
        <v>25</v>
      </c>
      <c r="CA392" s="1"/>
      <c r="CB392" s="1"/>
      <c r="CC392" s="1" t="str">
        <f ca="1">IFERROR(__xludf.DUMMYFUNCTION("""COMPUTED_VALUE"""),"परिवारों में भाव सम्वेदनाएँ जीवन्त रहें : Rare Book")</f>
        <v>परिवारों में भाव सम्वेदनाएँ जीवन्त रहें : Rare Book</v>
      </c>
      <c r="CD392" s="3" t="str">
        <f ca="1">IFERROR(__xludf.DUMMYFUNCTION("""COMPUTED_VALUE"""),"https://vicharkrantibooks.org/productdetail?book_name=HINP0639_PARIWARON_MEIN_BHAV_SAMVEDANAEN_JIVANT_RAHEN_xx1981&amp;product_id=1204")</f>
        <v>https://vicharkrantibooks.org/productdetail?book_name=HINP0639_PARIWARON_MEIN_BHAV_SAMVEDANAEN_JIVANT_RAHEN_xx1981&amp;product_id=1204</v>
      </c>
      <c r="CE392" s="1" t="str">
        <f ca="1">IFERROR(__xludf.DUMMYFUNCTION("""COMPUTED_VALUE"""),"Audiobook : परिवारों में भाव सम्वेदनाएँ जीवन्त रहें : Rare Book : jamunashukla17@gmail.com : Recorded")</f>
        <v>Audiobook : परिवारों में भाव सम्वेदनाएँ जीवन्त रहें : Rare Book : jamunashukla17@gmail.com : Recorded</v>
      </c>
      <c r="CF392" s="1" t="str">
        <f ca="1">IFERROR(__xludf.DUMMYFUNCTION("""COMPUTED_VALUE"""),"Audiobook : परिवारों में भाव सम्वेदनाएँ जीवन्त रहें : Rare Book : jamunashukla17@gmail.com : Recorded")</f>
        <v>Audiobook : परिवारों में भाव सम्वेदनाएँ जीवन्त रहें : Rare Book : jamunashukla17@gmail.com : Recorded</v>
      </c>
      <c r="CG392" s="1" t="str">
        <f ca="1">IFERROR(__xludf.DUMMYFUNCTION("""COMPUTED_VALUE"""),"Adarniya Smt J S Shukla ji परिवारों में भाव सम्वेदनाएँ जीवन्त रहें : Rare Book : Allocated on 30-Mar-24 Contact Number  8390353167")</f>
        <v>Adarniya Smt J S Shukla ji परिवारों में भाव सम्वेदनाएँ जीवन्त रहें : Rare Book : Allocated on 30-Mar-24 Contact Number  8390353167</v>
      </c>
      <c r="CH392" s="1" t="str">
        <f ca="1">IFERROR(__xludf.DUMMYFUNCTION("""COMPUTED_VALUE"""),"jamunashukla17@gmail.com : परिवारों में भाव सम्वेदनाएँ जीवन्त रहें : Rare Book")</f>
        <v>jamunashukla17@gmail.com : परिवारों में भाव सम्वेदनाएँ जीवन्त रहें : Rare Book</v>
      </c>
      <c r="CI392" s="5">
        <f ca="1">IFERROR(__xludf.DUMMYFUNCTION("""COMPUTED_VALUE"""),45381.4101075115)</f>
        <v>45381.410107511503</v>
      </c>
    </row>
    <row r="393" spans="1:87" x14ac:dyDescent="0.25">
      <c r="A393" s="5">
        <f ca="1">IFERROR(__xludf.DUMMYFUNCTION("""COMPUTED_VALUE"""),45380.8442603819)</f>
        <v>45380.844260381898</v>
      </c>
      <c r="B393" s="1" t="str">
        <f ca="1">IFERROR(__xludf.DUMMYFUNCTION("""COMPUTED_VALUE"""),"drbrpraj@gmail.com")</f>
        <v>drbrpraj@gmail.com</v>
      </c>
      <c r="C393" s="1" t="str">
        <f ca="1">IFERROR(__xludf.DUMMYFUNCTION("""COMPUTED_VALUE"""),"Dr.Baidyanath Ram Prajapati")</f>
        <v>Dr.Baidyanath Ram Prajapati</v>
      </c>
      <c r="D393" s="1" t="str">
        <f ca="1">IFERROR(__xludf.DUMMYFUNCTION("""COMPUTED_VALUE"""),"09811724821")</f>
        <v>09811724821</v>
      </c>
      <c r="E393" s="1" t="str">
        <f ca="1">IFERROR(__xludf.DUMMYFUNCTION("""COMPUTED_VALUE"""),"Not Relevant")</f>
        <v>Not Relevant</v>
      </c>
      <c r="F393" s="1" t="str">
        <f ca="1">IFERROR(__xludf.DUMMYFUNCTION("""COMPUTED_VALUE"""),"हिन्दी")</f>
        <v>हिन्दी</v>
      </c>
      <c r="G393" s="1" t="str">
        <f ca="1">IFERROR(__xludf.DUMMYFUNCTION("""COMPUTED_VALUE"""),"अध्यात्म, धर्म एवं दर्शन")</f>
        <v>अध्यात्म, धर्म एवं दर्शन</v>
      </c>
      <c r="H393" s="1" t="str">
        <f ca="1">IFERROR(__xludf.DUMMYFUNCTION("""COMPUTED_VALUE"""),"अध्यात्म, धर्म एवं आस्तिकता")</f>
        <v>अध्यात्म, धर्म एवं आस्तिकता</v>
      </c>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f ca="1">IFERROR(__xludf.DUMMYFUNCTION("""COMPUTED_VALUE"""),8)</f>
        <v>8</v>
      </c>
      <c r="BX393" s="1">
        <f ca="1">IFERROR(__xludf.DUMMYFUNCTION("""COMPUTED_VALUE"""),5)</f>
        <v>5</v>
      </c>
      <c r="BY393" s="1">
        <f ca="1">IFERROR(__xludf.DUMMYFUNCTION("""COMPUTED_VALUE"""),3)</f>
        <v>3</v>
      </c>
      <c r="BZ393" s="1">
        <f ca="1">IFERROR(__xludf.DUMMYFUNCTION("""COMPUTED_VALUE"""),1)</f>
        <v>1</v>
      </c>
      <c r="CA393" s="1"/>
      <c r="CB393" s="1"/>
      <c r="CC393" s="1" t="str">
        <f ca="1">IFERROR(__xludf.DUMMYFUNCTION("""COMPUTED_VALUE"""),"आत्मज्ञान का तत्वदर्शन : Rare Book")</f>
        <v>आत्मज्ञान का तत्वदर्शन : Rare Book</v>
      </c>
      <c r="CD393" s="3" t="str">
        <f ca="1">IFERROR(__xludf.DUMMYFUNCTION("""COMPUTED_VALUE"""),"https://vicharkrantibooks.org/productdetail?book_name=HINF0048_ATMAGYAN_KA_TATVADARSHAN_xxyyyy&amp;product_id=268")</f>
        <v>https://vicharkrantibooks.org/productdetail?book_name=HINF0048_ATMAGYAN_KA_TATVADARSHAN_xxyyyy&amp;product_id=268</v>
      </c>
      <c r="CE393" s="1" t="str">
        <f ca="1">IFERROR(__xludf.DUMMYFUNCTION("""COMPUTED_VALUE"""),"Audiobook : आत्मज्ञान का तत्वदर्शन : Rare Book : drbrpraj@gmail.com : Recorded")</f>
        <v>Audiobook : आत्मज्ञान का तत्वदर्शन : Rare Book : drbrpraj@gmail.com : Recorded</v>
      </c>
      <c r="CF393" s="1" t="str">
        <f ca="1">IFERROR(__xludf.DUMMYFUNCTION("""COMPUTED_VALUE"""),"Audiobook : आत्मज्ञान का तत्वदर्शन : Rare Book : drbrpraj@gmail.com : Recorded")</f>
        <v>Audiobook : आत्मज्ञान का तत्वदर्शन : Rare Book : drbrpraj@gmail.com : Recorded</v>
      </c>
      <c r="CG393" s="1" t="str">
        <f ca="1">IFERROR(__xludf.DUMMYFUNCTION("""COMPUTED_VALUE"""),"Adarniya Dr.Baidyanath Ram Prajapati ji आत्मज्ञान का तत्वदर्शन : Rare Book : Allocated on 29-Mar-24 Contact Number  09811724821")</f>
        <v>Adarniya Dr.Baidyanath Ram Prajapati ji आत्मज्ञान का तत्वदर्शन : Rare Book : Allocated on 29-Mar-24 Contact Number  09811724821</v>
      </c>
      <c r="CH393" s="1" t="str">
        <f ca="1">IFERROR(__xludf.DUMMYFUNCTION("""COMPUTED_VALUE"""),"drbrpraj@gmail.com : आत्मज्ञान का तत्वदर्शन : Rare Book")</f>
        <v>drbrpraj@gmail.com : आत्मज्ञान का तत्वदर्शन : Rare Book</v>
      </c>
      <c r="CI393" s="5">
        <f ca="1">IFERROR(__xludf.DUMMYFUNCTION("""COMPUTED_VALUE"""),45380.8442603819)</f>
        <v>45380.844260381898</v>
      </c>
    </row>
    <row r="394" spans="1:87" x14ac:dyDescent="0.25">
      <c r="A394" s="5">
        <f ca="1">IFERROR(__xludf.DUMMYFUNCTION("""COMPUTED_VALUE"""),45380.5408956597)</f>
        <v>45380.540895659702</v>
      </c>
      <c r="B394" s="1" t="str">
        <f ca="1">IFERROR(__xludf.DUMMYFUNCTION("""COMPUTED_VALUE"""),"pradnya.kinge@gmail.com")</f>
        <v>pradnya.kinge@gmail.com</v>
      </c>
      <c r="C394" s="1" t="str">
        <f ca="1">IFERROR(__xludf.DUMMYFUNCTION("""COMPUTED_VALUE"""),"Pradnya Patil (Kinge)")</f>
        <v>Pradnya Patil (Kinge)</v>
      </c>
      <c r="D394" s="1">
        <f ca="1">IFERROR(__xludf.DUMMYFUNCTION("""COMPUTED_VALUE"""),9987101492)</f>
        <v>9987101492</v>
      </c>
      <c r="E394" s="1" t="str">
        <f ca="1">IFERROR(__xludf.DUMMYFUNCTION("""COMPUTED_VALUE"""),"Yes")</f>
        <v>Yes</v>
      </c>
      <c r="F394" s="1" t="str">
        <f ca="1">IFERROR(__xludf.DUMMYFUNCTION("""COMPUTED_VALUE"""),"मराठी")</f>
        <v>मराठी</v>
      </c>
      <c r="G394" s="1" t="str">
        <f ca="1">IFERROR(__xludf.DUMMYFUNCTION("""COMPUTED_VALUE"""),"वैज्ञानिक अध्यात्मवाद का प्रतिपादन")</f>
        <v>वैज्ञानिक अध्यात्मवाद का प्रतिपादन</v>
      </c>
      <c r="H394" s="1"/>
      <c r="I394" s="1"/>
      <c r="J394" s="1"/>
      <c r="K394" s="1"/>
      <c r="L394" s="1"/>
      <c r="M394" s="1"/>
      <c r="N394" s="1"/>
      <c r="O394" s="1"/>
      <c r="P394" s="1"/>
      <c r="Q394" s="1"/>
      <c r="R394" s="1"/>
      <c r="S394" s="1" t="str">
        <f ca="1">IFERROR(__xludf.DUMMYFUNCTION("""COMPUTED_VALUE"""),"वैज्ञानिक अध्यात्मवाद का प्रतिपादन")</f>
        <v>वैज्ञानिक अध्यात्मवाद का प्रतिपादन</v>
      </c>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f ca="1">IFERROR(__xludf.DUMMYFUNCTION("""COMPUTED_VALUE"""),1)</f>
        <v>1</v>
      </c>
      <c r="BX394" s="1">
        <f ca="1">IFERROR(__xludf.DUMMYFUNCTION("""COMPUTED_VALUE"""),0)</f>
        <v>0</v>
      </c>
      <c r="BY394" s="1">
        <f ca="1">IFERROR(__xludf.DUMMYFUNCTION("""COMPUTED_VALUE"""),1)</f>
        <v>1</v>
      </c>
      <c r="BZ394" s="1">
        <f ca="1">IFERROR(__xludf.DUMMYFUNCTION("""COMPUTED_VALUE"""),0)</f>
        <v>0</v>
      </c>
      <c r="CA394" s="1"/>
      <c r="CB394" s="1"/>
      <c r="CC394" s="1" t="str">
        <f ca="1">IFERROR(__xludf.DUMMYFUNCTION("""COMPUTED_VALUE"""),"मंत्र नव्हे उच्चारण : MR_171")</f>
        <v>मंत्र नव्हे उच्चारण : MR_171</v>
      </c>
      <c r="CD394" s="3" t="str">
        <f ca="1">IFERROR(__xludf.DUMMYFUNCTION("""COMPUTED_VALUE"""),"https://vicharkrantibooks.org/productdetail?book_name=MRTP0521_MANTR_NAVHE_UCHCHARAN_1st2013&amp;product_id=4358")</f>
        <v>https://vicharkrantibooks.org/productdetail?book_name=MRTP0521_MANTR_NAVHE_UCHCHARAN_1st2013&amp;product_id=4358</v>
      </c>
      <c r="CE394" s="1" t="str">
        <f ca="1">IFERROR(__xludf.DUMMYFUNCTION("""COMPUTED_VALUE"""),"Audiobook : मंत्र नव्हे उच्चारण : MR_171 : pradnya.kinge@gmail.com : Recorded")</f>
        <v>Audiobook : मंत्र नव्हे उच्चारण : MR_171 : pradnya.kinge@gmail.com : Recorded</v>
      </c>
      <c r="CF394" s="1" t="str">
        <f ca="1">IFERROR(__xludf.DUMMYFUNCTION("""COMPUTED_VALUE"""),"#N/A")</f>
        <v>#N/A</v>
      </c>
      <c r="CG394" s="1" t="str">
        <f ca="1">IFERROR(__xludf.DUMMYFUNCTION("""COMPUTED_VALUE"""),"Adarniya Pradnya Patil (Kinge) ji मंत्र नव्हे उच्चारण : MR_171 : Allocated on 29-Mar-24 Contact Number  9987101492")</f>
        <v>Adarniya Pradnya Patil (Kinge) ji मंत्र नव्हे उच्चारण : MR_171 : Allocated on 29-Mar-24 Contact Number  9987101492</v>
      </c>
      <c r="CH394" s="1" t="str">
        <f ca="1">IFERROR(__xludf.DUMMYFUNCTION("""COMPUTED_VALUE"""),"pradnya.kinge@gmail.com : मंत्र नव्हे उच्चारण : MR_171")</f>
        <v>pradnya.kinge@gmail.com : मंत्र नव्हे उच्चारण : MR_171</v>
      </c>
      <c r="CI394" s="5">
        <f ca="1">IFERROR(__xludf.DUMMYFUNCTION("""COMPUTED_VALUE"""),45380.5408956597)</f>
        <v>45380.540895659702</v>
      </c>
    </row>
    <row r="395" spans="1:87" x14ac:dyDescent="0.25">
      <c r="A395" s="5">
        <f ca="1">IFERROR(__xludf.DUMMYFUNCTION("""COMPUTED_VALUE"""),45379.7592004861)</f>
        <v>45379.7592004861</v>
      </c>
      <c r="B395" s="1" t="str">
        <f ca="1">IFERROR(__xludf.DUMMYFUNCTION("""COMPUTED_VALUE"""),"ojhakrishna2310@gmail.com")</f>
        <v>ojhakrishna2310@gmail.com</v>
      </c>
      <c r="C395" s="1" t="str">
        <f ca="1">IFERROR(__xludf.DUMMYFUNCTION("""COMPUTED_VALUE"""),"Krishna arun kumar ojha")</f>
        <v>Krishna arun kumar ojha</v>
      </c>
      <c r="D395" s="1">
        <f ca="1">IFERROR(__xludf.DUMMYFUNCTION("""COMPUTED_VALUE"""),9637907058)</f>
        <v>9637907058</v>
      </c>
      <c r="E395" s="1" t="str">
        <f ca="1">IFERROR(__xludf.DUMMYFUNCTION("""COMPUTED_VALUE"""),"Yes")</f>
        <v>Yes</v>
      </c>
      <c r="F395" s="1" t="str">
        <f ca="1">IFERROR(__xludf.DUMMYFUNCTION("""COMPUTED_VALUE"""),"हिन्दी")</f>
        <v>हिन्दी</v>
      </c>
      <c r="G395" s="1" t="str">
        <f ca="1">IFERROR(__xludf.DUMMYFUNCTION("""COMPUTED_VALUE"""),"जीवन प्रबंध")</f>
        <v>जीवन प्रबंध</v>
      </c>
      <c r="H395" s="1"/>
      <c r="I395" s="1"/>
      <c r="J395" s="1"/>
      <c r="K395" s="1"/>
      <c r="L395" s="1" t="str">
        <f ca="1">IFERROR(__xludf.DUMMYFUNCTION("""COMPUTED_VALUE"""),"मन की शक्ति एवं मनोविज्ञान")</f>
        <v>मन की शक्ति एवं मनोविज्ञान</v>
      </c>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f ca="1">IFERROR(__xludf.DUMMYFUNCTION("""COMPUTED_VALUE"""),13)</f>
        <v>13</v>
      </c>
      <c r="BX395" s="1">
        <f ca="1">IFERROR(__xludf.DUMMYFUNCTION("""COMPUTED_VALUE"""),6)</f>
        <v>6</v>
      </c>
      <c r="BY395" s="1">
        <f ca="1">IFERROR(__xludf.DUMMYFUNCTION("""COMPUTED_VALUE"""),8)</f>
        <v>8</v>
      </c>
      <c r="BZ395" s="1">
        <f ca="1">IFERROR(__xludf.DUMMYFUNCTION("""COMPUTED_VALUE"""),0)</f>
        <v>0</v>
      </c>
      <c r="CA395" s="1"/>
      <c r="CB395" s="1"/>
      <c r="CC395" s="1" t="str">
        <f ca="1">IFERROR(__xludf.DUMMYFUNCTION("""COMPUTED_VALUE"""),"प्रसन्नता अपने भीतर से उगाइये : Rare Book")</f>
        <v>प्रसन्नता अपने भीतर से उगाइये : Rare Book</v>
      </c>
      <c r="CD395" s="3" t="str">
        <f ca="1">IFERROR(__xludf.DUMMYFUNCTION("""COMPUTED_VALUE"""),"https://vicharkrantibooks.org/productdetail?book_name=HINP0670_PRASANNATA_APANE_BHITAR_SE_UGAIYE_xx1978&amp;product_id=1235")</f>
        <v>https://vicharkrantibooks.org/productdetail?book_name=HINP0670_PRASANNATA_APANE_BHITAR_SE_UGAIYE_xx1978&amp;product_id=1235</v>
      </c>
      <c r="CE395" s="1" t="str">
        <f ca="1">IFERROR(__xludf.DUMMYFUNCTION("""COMPUTED_VALUE"""),"Audiobook : प्रसन्नता अपने भीतर से उगाइये : Rare Book : ojhakrishna2310@gmail.com : Recorded")</f>
        <v>Audiobook : प्रसन्नता अपने भीतर से उगाइये : Rare Book : ojhakrishna2310@gmail.com : Recorded</v>
      </c>
      <c r="CF395" s="1" t="str">
        <f ca="1">IFERROR(__xludf.DUMMYFUNCTION("""COMPUTED_VALUE"""),"#N/A")</f>
        <v>#N/A</v>
      </c>
      <c r="CG395" s="1" t="str">
        <f ca="1">IFERROR(__xludf.DUMMYFUNCTION("""COMPUTED_VALUE"""),"Adarniya Krishna arun kumar ojha ji प्रसन्नता अपने भीतर से उगाइये : Rare Book : Allocated on 28-Mar-24 Contact Number  9637907058")</f>
        <v>Adarniya Krishna arun kumar ojha ji प्रसन्नता अपने भीतर से उगाइये : Rare Book : Allocated on 28-Mar-24 Contact Number  9637907058</v>
      </c>
      <c r="CH395" s="1" t="str">
        <f ca="1">IFERROR(__xludf.DUMMYFUNCTION("""COMPUTED_VALUE"""),"ojhakrishna2310@gmail.com : प्रसन्नता अपने भीतर से उगाइये : Rare Book")</f>
        <v>ojhakrishna2310@gmail.com : प्रसन्नता अपने भीतर से उगाइये : Rare Book</v>
      </c>
      <c r="CI395" s="5">
        <f ca="1">IFERROR(__xludf.DUMMYFUNCTION("""COMPUTED_VALUE"""),45379.7592004861)</f>
        <v>45379.7592004861</v>
      </c>
    </row>
    <row r="396" spans="1:87" x14ac:dyDescent="0.25">
      <c r="A396" s="5">
        <f ca="1">IFERROR(__xludf.DUMMYFUNCTION("""COMPUTED_VALUE"""),45379.7152570833)</f>
        <v>45379.715257083299</v>
      </c>
      <c r="B396" s="1" t="str">
        <f ca="1">IFERROR(__xludf.DUMMYFUNCTION("""COMPUTED_VALUE"""),"manjusingh6902@gmail.com")</f>
        <v>manjusingh6902@gmail.com</v>
      </c>
      <c r="C396" s="1" t="str">
        <f ca="1">IFERROR(__xludf.DUMMYFUNCTION("""COMPUTED_VALUE"""),"Manju singh")</f>
        <v>Manju singh</v>
      </c>
      <c r="D396" s="1">
        <f ca="1">IFERROR(__xludf.DUMMYFUNCTION("""COMPUTED_VALUE"""),9468456902)</f>
        <v>9468456902</v>
      </c>
      <c r="E396" s="1" t="str">
        <f ca="1">IFERROR(__xludf.DUMMYFUNCTION("""COMPUTED_VALUE"""),"Yes")</f>
        <v>Yes</v>
      </c>
      <c r="F396" s="1" t="str">
        <f ca="1">IFERROR(__xludf.DUMMYFUNCTION("""COMPUTED_VALUE"""),"हिन्दी")</f>
        <v>हिन्दी</v>
      </c>
      <c r="G396" s="1" t="str">
        <f ca="1">IFERROR(__xludf.DUMMYFUNCTION("""COMPUTED_VALUE"""),"समग्र स्वास्थ्य")</f>
        <v>समग्र स्वास्थ्य</v>
      </c>
      <c r="H396" s="1"/>
      <c r="I396" s="1"/>
      <c r="J396" s="1"/>
      <c r="K396" s="1"/>
      <c r="L396" s="1"/>
      <c r="M396" s="1"/>
      <c r="N396" s="1"/>
      <c r="O396" s="1"/>
      <c r="P396" s="1"/>
      <c r="Q396" s="1"/>
      <c r="R396" s="1"/>
      <c r="S396" s="1"/>
      <c r="T396" s="1"/>
      <c r="U396" s="1" t="str">
        <f ca="1">IFERROR(__xludf.DUMMYFUNCTION("""COMPUTED_VALUE"""),"आहार-विहार एवं उपवास")</f>
        <v>आहार-विहार एवं उपवास</v>
      </c>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f ca="1">IFERROR(__xludf.DUMMYFUNCTION("""COMPUTED_VALUE"""),2)</f>
        <v>2</v>
      </c>
      <c r="BX396" s="1">
        <f ca="1">IFERROR(__xludf.DUMMYFUNCTION("""COMPUTED_VALUE"""),2)</f>
        <v>2</v>
      </c>
      <c r="BY396" s="1">
        <f ca="1">IFERROR(__xludf.DUMMYFUNCTION("""COMPUTED_VALUE"""),1)</f>
        <v>1</v>
      </c>
      <c r="BZ396" s="1">
        <f ca="1">IFERROR(__xludf.DUMMYFUNCTION("""COMPUTED_VALUE"""),1)</f>
        <v>1</v>
      </c>
      <c r="CA396" s="1"/>
      <c r="CB396" s="1"/>
      <c r="CC396" s="1" t="str">
        <f ca="1">IFERROR(__xludf.DUMMYFUNCTION("""COMPUTED_VALUE"""),"अचिन्त्य चिन्तन से मनोबल न गंवायें : Rare Book")</f>
        <v>अचिन्त्य चिन्तन से मनोबल न गंवायें : Rare Book</v>
      </c>
      <c r="CD396" s="3" t="str">
        <f ca="1">IFERROR(__xludf.DUMMYFUNCTION("""COMPUTED_VALUE"""),"https://vicharkrantibooks.org/productdetail?book_name=HINF0002_ACHINTY_CHINTAN_SE_MANOBAL_NA_GAVAYEN_xxyyyy&amp;product_id=222")</f>
        <v>https://vicharkrantibooks.org/productdetail?book_name=HINF0002_ACHINTY_CHINTAN_SE_MANOBAL_NA_GAVAYEN_xxyyyy&amp;product_id=222</v>
      </c>
      <c r="CE396" s="1" t="str">
        <f ca="1">IFERROR(__xludf.DUMMYFUNCTION("""COMPUTED_VALUE"""),"Audiobook : अचिन्त्य चिन्तन से मनोबल न गंवायें : Rare Book : manjusingh6902@gmail.com : Recorded")</f>
        <v>Audiobook : अचिन्त्य चिन्तन से मनोबल न गंवायें : Rare Book : manjusingh6902@gmail.com : Recorded</v>
      </c>
      <c r="CF396" s="1" t="str">
        <f ca="1">IFERROR(__xludf.DUMMYFUNCTION("""COMPUTED_VALUE"""),"#N/A")</f>
        <v>#N/A</v>
      </c>
      <c r="CG396" s="1" t="str">
        <f ca="1">IFERROR(__xludf.DUMMYFUNCTION("""COMPUTED_VALUE"""),"Adarniya Manju singh ji अचिन्त्य चिन्तन से मनोबल न गंवायें : Rare Book : Allocated on 28-Mar-24 Contact Number  9468456902")</f>
        <v>Adarniya Manju singh ji अचिन्त्य चिन्तन से मनोबल न गंवायें : Rare Book : Allocated on 28-Mar-24 Contact Number  9468456902</v>
      </c>
      <c r="CH396" s="1" t="str">
        <f ca="1">IFERROR(__xludf.DUMMYFUNCTION("""COMPUTED_VALUE"""),"manjusingh6902@gmail.com : अचिन्त्य चिन्तन से मनोबल न गंवायें : Rare Book")</f>
        <v>manjusingh6902@gmail.com : अचिन्त्य चिन्तन से मनोबल न गंवायें : Rare Book</v>
      </c>
      <c r="CI396" s="5">
        <f ca="1">IFERROR(__xludf.DUMMYFUNCTION("""COMPUTED_VALUE"""),45379.7152570833)</f>
        <v>45379.715257083299</v>
      </c>
    </row>
    <row r="397" spans="1:87" x14ac:dyDescent="0.25">
      <c r="A397" s="5">
        <f ca="1">IFERROR(__xludf.DUMMYFUNCTION("""COMPUTED_VALUE"""),45379.6687051388)</f>
        <v>45379.6687051388</v>
      </c>
      <c r="B397" s="1" t="str">
        <f ca="1">IFERROR(__xludf.DUMMYFUNCTION("""COMPUTED_VALUE"""),"tushar.pandit7686@gmail.com")</f>
        <v>tushar.pandit7686@gmail.com</v>
      </c>
      <c r="C397" s="1" t="str">
        <f ca="1">IFERROR(__xludf.DUMMYFUNCTION("""COMPUTED_VALUE"""),"Hetal pandit")</f>
        <v>Hetal pandit</v>
      </c>
      <c r="D397" s="1">
        <f ca="1">IFERROR(__xludf.DUMMYFUNCTION("""COMPUTED_VALUE"""),7874048920)</f>
        <v>7874048920</v>
      </c>
      <c r="E397" s="1"/>
      <c r="F397" s="1" t="str">
        <f ca="1">IFERROR(__xludf.DUMMYFUNCTION("""COMPUTED_VALUE"""),"गुजराती")</f>
        <v>गुजराती</v>
      </c>
      <c r="G397" s="1" t="str">
        <f ca="1">IFERROR(__xludf.DUMMYFUNCTION("""COMPUTED_VALUE"""),"अध्यात्म, धर्म एवं दर्शन")</f>
        <v>अध्यात्म, धर्म एवं दर्शन</v>
      </c>
      <c r="H397" s="1" t="str">
        <f ca="1">IFERROR(__xludf.DUMMYFUNCTION("""COMPUTED_VALUE"""),"अध्यात्म, धर्म एवं आस्तिकता")</f>
        <v>अध्यात्म, धर्म एवं आस्तिकता</v>
      </c>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f ca="1">IFERROR(__xludf.DUMMYFUNCTION("""COMPUTED_VALUE"""),13)</f>
        <v>13</v>
      </c>
      <c r="BX397" s="1">
        <f ca="1">IFERROR(__xludf.DUMMYFUNCTION("""COMPUTED_VALUE"""),13)</f>
        <v>13</v>
      </c>
      <c r="BY397" s="1">
        <f ca="1">IFERROR(__xludf.DUMMYFUNCTION("""COMPUTED_VALUE"""),3)</f>
        <v>3</v>
      </c>
      <c r="BZ397" s="1">
        <f ca="1">IFERROR(__xludf.DUMMYFUNCTION("""COMPUTED_VALUE"""),0)</f>
        <v>0</v>
      </c>
      <c r="CA397" s="1"/>
      <c r="CB397" s="1"/>
      <c r="CC397" s="1" t="str">
        <f ca="1">IFERROR(__xludf.DUMMYFUNCTION("""COMPUTED_VALUE"""),"આપત્તિકાળનું આધ્યાત્મ : G_JS_02")</f>
        <v>આપત્તિકાળનું આધ્યાત્મ : G_JS_02</v>
      </c>
      <c r="CD397" s="3" t="str">
        <f ca="1">IFERROR(__xludf.DUMMYFUNCTION("""COMPUTED_VALUE"""),"https://vicharkrantibooks.org/productdetail?book_name=GUJP0070_APATTIKALNU_ADHYATM_XXYYYY&amp;product_id=3726")</f>
        <v>https://vicharkrantibooks.org/productdetail?book_name=GUJP0070_APATTIKALNU_ADHYATM_XXYYYY&amp;product_id=3726</v>
      </c>
      <c r="CE397" s="1" t="str">
        <f ca="1">IFERROR(__xludf.DUMMYFUNCTION("""COMPUTED_VALUE"""),"Audiobook : આપત્તિકાળનું આધ્યાત્મ : G_JS_02 : tushar.pandit7686@gmail.com : Recorded")</f>
        <v>Audiobook : આપત્તિકાળનું આધ્યાત્મ : G_JS_02 : tushar.pandit7686@gmail.com : Recorded</v>
      </c>
      <c r="CF397" s="1" t="str">
        <f ca="1">IFERROR(__xludf.DUMMYFUNCTION("""COMPUTED_VALUE"""),"Audiobook : આપત્તિકાળનું આધ્યાત્મ : G_JS_02 : tushar.pandit7686@gmail.com : Recorded")</f>
        <v>Audiobook : આપત્તિકાળનું આધ્યાત્મ : G_JS_02 : tushar.pandit7686@gmail.com : Recorded</v>
      </c>
      <c r="CG397" s="1" t="str">
        <f ca="1">IFERROR(__xludf.DUMMYFUNCTION("""COMPUTED_VALUE"""),"Adarniya Hetal pandit ji આપત્તિકાળનું આધ્યાત્મ : G_JS_02 : Allocated on 28-Mar-24 Contact Number  7874048920")</f>
        <v>Adarniya Hetal pandit ji આપત્તિકાળનું આધ્યાત્મ : G_JS_02 : Allocated on 28-Mar-24 Contact Number  7874048920</v>
      </c>
      <c r="CH397" s="1" t="str">
        <f ca="1">IFERROR(__xludf.DUMMYFUNCTION("""COMPUTED_VALUE"""),"tushar.pandit7686@gmail.com : આપત્તિકાળનું આધ્યાત્મ : G_JS_02")</f>
        <v>tushar.pandit7686@gmail.com : આપત્તિકાળનું આધ્યાત્મ : G_JS_02</v>
      </c>
      <c r="CI397" s="5">
        <f ca="1">IFERROR(__xludf.DUMMYFUNCTION("""COMPUTED_VALUE"""),45379.6687051388)</f>
        <v>45379.6687051388</v>
      </c>
    </row>
    <row r="398" spans="1:87" x14ac:dyDescent="0.25">
      <c r="A398" s="5">
        <f ca="1">IFERROR(__xludf.DUMMYFUNCTION("""COMPUTED_VALUE"""),45379.6528010995)</f>
        <v>45379.652801099503</v>
      </c>
      <c r="B398" s="1" t="str">
        <f ca="1">IFERROR(__xludf.DUMMYFUNCTION("""COMPUTED_VALUE"""),"pravinathakkar15@gmail.com")</f>
        <v>pravinathakkar15@gmail.com</v>
      </c>
      <c r="C398" s="1" t="str">
        <f ca="1">IFERROR(__xludf.DUMMYFUNCTION("""COMPUTED_VALUE"""),"Pravina B Thakkar ")</f>
        <v xml:space="preserve">Pravina B Thakkar </v>
      </c>
      <c r="D398" s="1">
        <f ca="1">IFERROR(__xludf.DUMMYFUNCTION("""COMPUTED_VALUE"""),7600058001)</f>
        <v>7600058001</v>
      </c>
      <c r="E398" s="1" t="str">
        <f ca="1">IFERROR(__xludf.DUMMYFUNCTION("""COMPUTED_VALUE"""),"Yes")</f>
        <v>Yes</v>
      </c>
      <c r="F398" s="1" t="str">
        <f ca="1">IFERROR(__xludf.DUMMYFUNCTION("""COMPUTED_VALUE"""),"हिन्दी")</f>
        <v>हिन्दी</v>
      </c>
      <c r="G398" s="1" t="str">
        <f ca="1">IFERROR(__xludf.DUMMYFUNCTION("""COMPUTED_VALUE"""),"जीवन प्रबंध")</f>
        <v>जीवन प्रबंध</v>
      </c>
      <c r="H398" s="1"/>
      <c r="I398" s="1"/>
      <c r="J398" s="1"/>
      <c r="K398" s="1"/>
      <c r="L398" s="1" t="str">
        <f ca="1">IFERROR(__xludf.DUMMYFUNCTION("""COMPUTED_VALUE"""),"मन की शक्ति एवं मनोविज्ञान")</f>
        <v>मन की शक्ति एवं मनोविज्ञान</v>
      </c>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f ca="1">IFERROR(__xludf.DUMMYFUNCTION("""COMPUTED_VALUE"""),6)</f>
        <v>6</v>
      </c>
      <c r="BX398" s="1">
        <f ca="1">IFERROR(__xludf.DUMMYFUNCTION("""COMPUTED_VALUE"""),2)</f>
        <v>2</v>
      </c>
      <c r="BY398" s="1">
        <f ca="1">IFERROR(__xludf.DUMMYFUNCTION("""COMPUTED_VALUE"""),3)</f>
        <v>3</v>
      </c>
      <c r="BZ398" s="1">
        <f ca="1">IFERROR(__xludf.DUMMYFUNCTION("""COMPUTED_VALUE"""),0)</f>
        <v>0</v>
      </c>
      <c r="CA398" s="1"/>
      <c r="CB398" s="1"/>
      <c r="CC398" s="1" t="str">
        <f ca="1">IFERROR(__xludf.DUMMYFUNCTION("""COMPUTED_VALUE"""),"મનુષ્યના મૂલ્યાંકનનો આધાર- આધ્યાત્મિકતા : G_JS_33")</f>
        <v>મનુષ્યના મૂલ્યાંકનનો આધાર- આધ્યાત્મિકતા : G_JS_33</v>
      </c>
      <c r="CD398" s="3" t="str">
        <f ca="1">IFERROR(__xludf.DUMMYFUNCTION("""COMPUTED_VALUE"""),"https://vicharkrantibooks.org/productdetail?book_name=GUJP0527_MANUSHYANA_MULYANKANANO_ADHAR_ADHYATMIKATA_XXYYYY&amp;product_id=3758")</f>
        <v>https://vicharkrantibooks.org/productdetail?book_name=GUJP0527_MANUSHYANA_MULYANKANANO_ADHAR_ADHYATMIKATA_XXYYYY&amp;product_id=3758</v>
      </c>
      <c r="CE398" s="1" t="str">
        <f ca="1">IFERROR(__xludf.DUMMYFUNCTION("""COMPUTED_VALUE"""),"Audiobook : મનુષ્યના મૂલ્યાંકનનો આધાર- આધ્યાત્મિકતા : G_JS_33 : pravinathakkar15@gmail.com : Recorded")</f>
        <v>Audiobook : મનુષ્યના મૂલ્યાંકનનો આધાર- આધ્યાત્મિકતા : G_JS_33 : pravinathakkar15@gmail.com : Recorded</v>
      </c>
      <c r="CF398" s="1" t="str">
        <f ca="1">IFERROR(__xludf.DUMMYFUNCTION("""COMPUTED_VALUE"""),"Audiobook : મનુષ્યના મૂલ્યાંકનનો આધાર- આધ્યાત્મિકતા : G_JS_33 : pravinathakkar15@gmail.com : Recorded")</f>
        <v>Audiobook : મનુષ્યના મૂલ્યાંકનનો આધાર- આધ્યાત્મિકતા : G_JS_33 : pravinathakkar15@gmail.com : Recorded</v>
      </c>
      <c r="CG398" s="1" t="str">
        <f ca="1">IFERROR(__xludf.DUMMYFUNCTION("""COMPUTED_VALUE"""),"Adarniya Pravina B Thakkar  ji મનુષ્યના મૂલ્યાંકનનો આધાર- આધ્યાત્મિકતા : G_JS_33 : Allocated on 28-Mar-24 Contact Number  7600058001")</f>
        <v>Adarniya Pravina B Thakkar  ji મનુષ્યના મૂલ્યાંકનનો આધાર- આધ્યાત્મિકતા : G_JS_33 : Allocated on 28-Mar-24 Contact Number  7600058001</v>
      </c>
      <c r="CH398" s="1" t="str">
        <f ca="1">IFERROR(__xludf.DUMMYFUNCTION("""COMPUTED_VALUE"""),"pravinathakkar15@gmail.com : મનુષ્યના મૂલ્યાંકનનો આધાર- આધ્યાત્મિકતા : G_JS_33")</f>
        <v>pravinathakkar15@gmail.com : મનુષ્યના મૂલ્યાંકનનો આધાર- આધ્યાત્મિકતા : G_JS_33</v>
      </c>
      <c r="CI398" s="5">
        <f ca="1">IFERROR(__xludf.DUMMYFUNCTION("""COMPUTED_VALUE"""),45379.6528010995)</f>
        <v>45379.652801099503</v>
      </c>
    </row>
    <row r="399" spans="1:87" x14ac:dyDescent="0.25">
      <c r="A399" s="5">
        <f ca="1">IFERROR(__xludf.DUMMYFUNCTION("""COMPUTED_VALUE"""),45379.6349946527)</f>
        <v>45379.634994652697</v>
      </c>
      <c r="B399" s="1" t="str">
        <f ca="1">IFERROR(__xludf.DUMMYFUNCTION("""COMPUTED_VALUE"""),"gnpatel8438@gmail.com")</f>
        <v>gnpatel8438@gmail.com</v>
      </c>
      <c r="C399" s="1" t="str">
        <f ca="1">IFERROR(__xludf.DUMMYFUNCTION("""COMPUTED_VALUE"""),"Girishbhai Patel")</f>
        <v>Girishbhai Patel</v>
      </c>
      <c r="D399" s="1">
        <f ca="1">IFERROR(__xludf.DUMMYFUNCTION("""COMPUTED_VALUE"""),9426354539)</f>
        <v>9426354539</v>
      </c>
      <c r="E399" s="1" t="str">
        <f ca="1">IFERROR(__xludf.DUMMYFUNCTION("""COMPUTED_VALUE"""),"Yes")</f>
        <v>Yes</v>
      </c>
      <c r="F399" s="1" t="str">
        <f ca="1">IFERROR(__xludf.DUMMYFUNCTION("""COMPUTED_VALUE"""),"गुजराती")</f>
        <v>गुजराती</v>
      </c>
      <c r="G399" s="1" t="str">
        <f ca="1">IFERROR(__xludf.DUMMYFUNCTION("""COMPUTED_VALUE"""),"राष्ट्र निर्माण")</f>
        <v>राष्ट्र निर्माण</v>
      </c>
      <c r="H399" s="1"/>
      <c r="I399" s="1"/>
      <c r="J399" s="1"/>
      <c r="K399" s="1"/>
      <c r="L399" s="1"/>
      <c r="M399" s="1"/>
      <c r="N399" s="1"/>
      <c r="O399" s="1"/>
      <c r="P399" s="1"/>
      <c r="Q399" s="1"/>
      <c r="R399" s="1" t="str">
        <f ca="1">IFERROR(__xludf.DUMMYFUNCTION("""COMPUTED_VALUE"""),"राष्ट्र निर्माण")</f>
        <v>राष्ट्र निर्माण</v>
      </c>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f ca="1">IFERROR(__xludf.DUMMYFUNCTION("""COMPUTED_VALUE"""),6)</f>
        <v>6</v>
      </c>
      <c r="BX399" s="1">
        <f ca="1">IFERROR(__xludf.DUMMYFUNCTION("""COMPUTED_VALUE"""),6)</f>
        <v>6</v>
      </c>
      <c r="BY399" s="1">
        <f ca="1">IFERROR(__xludf.DUMMYFUNCTION("""COMPUTED_VALUE"""),0)</f>
        <v>0</v>
      </c>
      <c r="BZ399" s="1">
        <f ca="1">IFERROR(__xludf.DUMMYFUNCTION("""COMPUTED_VALUE"""),1)</f>
        <v>1</v>
      </c>
      <c r="CA399" s="1"/>
      <c r="CB399" s="1"/>
      <c r="CC399" s="1" t="str">
        <f ca="1">IFERROR(__xludf.DUMMYFUNCTION("""COMPUTED_VALUE"""),"શિક્ષણ વ્યવસ્થા કેવી હોય ? : G_JS_20")</f>
        <v>શિક્ષણ વ્યવસ્થા કેવી હોય ? : G_JS_20</v>
      </c>
      <c r="CD399" s="3" t="str">
        <f ca="1">IFERROR(__xludf.DUMMYFUNCTION("""COMPUTED_VALUE"""),"https://vicharkrantibooks.org/productdetail?book_name=GUJP0849_SHIKSHAN_VYAVASTHA_KEVI_HOY_XXYYYY&amp;product_id=3745")</f>
        <v>https://vicharkrantibooks.org/productdetail?book_name=GUJP0849_SHIKSHAN_VYAVASTHA_KEVI_HOY_XXYYYY&amp;product_id=3745</v>
      </c>
      <c r="CE399" s="1" t="str">
        <f ca="1">IFERROR(__xludf.DUMMYFUNCTION("""COMPUTED_VALUE"""),"Audiobook : શિક્ષણ વ્યવસ્થા કેવી હોય ? : G_JS_20 : gnpatel8438@gmail.com : Recorded")</f>
        <v>Audiobook : શિક્ષણ વ્યવસ્થા કેવી હોય ? : G_JS_20 : gnpatel8438@gmail.com : Recorded</v>
      </c>
      <c r="CF399" s="1" t="str">
        <f ca="1">IFERROR(__xludf.DUMMYFUNCTION("""COMPUTED_VALUE"""),"Audiobook : શિક્ષણ વ્યવસ્થા કેવી હોય ? : G_JS_20 : gnpatel8438@gmail.com : Recorded")</f>
        <v>Audiobook : શિક્ષણ વ્યવસ્થા કેવી હોય ? : G_JS_20 : gnpatel8438@gmail.com : Recorded</v>
      </c>
      <c r="CG399" s="1" t="str">
        <f ca="1">IFERROR(__xludf.DUMMYFUNCTION("""COMPUTED_VALUE"""),"Adarniya Girishbhai Patel ji શિક્ષણ વ્યવસ્થા કેવી હોય ? : G_JS_20 : Allocated on 28-Mar-24 Contact Number  9426354539")</f>
        <v>Adarniya Girishbhai Patel ji શિક્ષણ વ્યવસ્થા કેવી હોય ? : G_JS_20 : Allocated on 28-Mar-24 Contact Number  9426354539</v>
      </c>
      <c r="CH399" s="1" t="str">
        <f ca="1">IFERROR(__xludf.DUMMYFUNCTION("""COMPUTED_VALUE"""),"gnpatel8438@gmail.com : શિક્ષણ વ્યવસ્થા કેવી હોય ? : G_JS_20")</f>
        <v>gnpatel8438@gmail.com : શિક્ષણ વ્યવસ્થા કેવી હોય ? : G_JS_20</v>
      </c>
      <c r="CI399" s="5">
        <f ca="1">IFERROR(__xludf.DUMMYFUNCTION("""COMPUTED_VALUE"""),45379.6349946527)</f>
        <v>45379.634994652697</v>
      </c>
    </row>
    <row r="400" spans="1:87" x14ac:dyDescent="0.25">
      <c r="A400" s="5">
        <f ca="1">IFERROR(__xludf.DUMMYFUNCTION("""COMPUTED_VALUE"""),45379.6230227083)</f>
        <v>45379.6230227083</v>
      </c>
      <c r="B400" s="1" t="str">
        <f ca="1">IFERROR(__xludf.DUMMYFUNCTION("""COMPUTED_VALUE"""),"dave.chhaya@gmail.com")</f>
        <v>dave.chhaya@gmail.com</v>
      </c>
      <c r="C400" s="1" t="str">
        <f ca="1">IFERROR(__xludf.DUMMYFUNCTION("""COMPUTED_VALUE"""),"Chhaya Deepak Dave ")</f>
        <v xml:space="preserve">Chhaya Deepak Dave </v>
      </c>
      <c r="D400" s="1">
        <f ca="1">IFERROR(__xludf.DUMMYFUNCTION("""COMPUTED_VALUE"""),9879596556)</f>
        <v>9879596556</v>
      </c>
      <c r="E400" s="1" t="str">
        <f ca="1">IFERROR(__xludf.DUMMYFUNCTION("""COMPUTED_VALUE"""),"No")</f>
        <v>No</v>
      </c>
      <c r="F400" s="1" t="str">
        <f ca="1">IFERROR(__xludf.DUMMYFUNCTION("""COMPUTED_VALUE"""),"गुजराती")</f>
        <v>गुजराती</v>
      </c>
      <c r="G400" s="1" t="str">
        <f ca="1">IFERROR(__xludf.DUMMYFUNCTION("""COMPUTED_VALUE"""),"पर्यावरण संरक्षण")</f>
        <v>पर्यावरण संरक्षण</v>
      </c>
      <c r="H400" s="1"/>
      <c r="I400" s="1"/>
      <c r="J400" s="1"/>
      <c r="K400" s="1"/>
      <c r="L400" s="1"/>
      <c r="M400" s="1"/>
      <c r="N400" s="1" t="str">
        <f ca="1">IFERROR(__xludf.DUMMYFUNCTION("""COMPUTED_VALUE"""),"पर्यावरण संरक्षण")</f>
        <v>पर्यावरण संरक्षण</v>
      </c>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f ca="1">IFERROR(__xludf.DUMMYFUNCTION("""COMPUTED_VALUE"""),46)</f>
        <v>46</v>
      </c>
      <c r="BX400" s="1">
        <f ca="1">IFERROR(__xludf.DUMMYFUNCTION("""COMPUTED_VALUE"""),39)</f>
        <v>39</v>
      </c>
      <c r="BY400" s="1">
        <f ca="1">IFERROR(__xludf.DUMMYFUNCTION("""COMPUTED_VALUE"""),6)</f>
        <v>6</v>
      </c>
      <c r="BZ400" s="1">
        <f ca="1">IFERROR(__xludf.DUMMYFUNCTION("""COMPUTED_VALUE"""),16)</f>
        <v>16</v>
      </c>
      <c r="CA400" s="1"/>
      <c r="CB400" s="1"/>
      <c r="CC400" s="1" t="str">
        <f ca="1">IFERROR(__xludf.DUMMYFUNCTION("""COMPUTED_VALUE"""),"હરિયાળી ફેલાવો : G_PP_60")</f>
        <v>હરિયાળી ફેલાવો : G_PP_60</v>
      </c>
      <c r="CD400" s="3" t="str">
        <f ca="1">IFERROR(__xludf.DUMMYFUNCTION("""COMPUTED_VALUE"""),"https://vicharkrantibooks.org/productdetail?book_name=GUJP0345_HARIYALI_PHELAVO_XXYYYY&amp;product_id=3964")</f>
        <v>https://vicharkrantibooks.org/productdetail?book_name=GUJP0345_HARIYALI_PHELAVO_XXYYYY&amp;product_id=3964</v>
      </c>
      <c r="CE400" s="1" t="str">
        <f ca="1">IFERROR(__xludf.DUMMYFUNCTION("""COMPUTED_VALUE"""),"Audiobook : હરિયાળી ફેલાવો : G_PP_60 : dave.chhaya@gmail.com : Recorded")</f>
        <v>Audiobook : હરિયાળી ફેલાવો : G_PP_60 : dave.chhaya@gmail.com : Recorded</v>
      </c>
      <c r="CF400" s="1" t="str">
        <f ca="1">IFERROR(__xludf.DUMMYFUNCTION("""COMPUTED_VALUE"""),"Audiobook : હરિયાળી ફેલાવો : G_PP_60 : dave.chhaya@gmail.com : Recorded")</f>
        <v>Audiobook : હરિયાળી ફેલાવો : G_PP_60 : dave.chhaya@gmail.com : Recorded</v>
      </c>
      <c r="CG400" s="1" t="str">
        <f ca="1">IFERROR(__xludf.DUMMYFUNCTION("""COMPUTED_VALUE"""),"Adarniya Chhaya Deepak Dave  ji હરિયાળી ફેલાવો : G_PP_60 : Allocated on 28-Mar-24 Contact Number  9879596556")</f>
        <v>Adarniya Chhaya Deepak Dave  ji હરિયાળી ફેલાવો : G_PP_60 : Allocated on 28-Mar-24 Contact Number  9879596556</v>
      </c>
      <c r="CH400" s="1" t="str">
        <f ca="1">IFERROR(__xludf.DUMMYFUNCTION("""COMPUTED_VALUE"""),"dave.chhaya@gmail.com : હરિયાળી ફેલાવો : G_PP_60")</f>
        <v>dave.chhaya@gmail.com : હરિયાળી ફેલાવો : G_PP_60</v>
      </c>
      <c r="CI400" s="5">
        <f ca="1">IFERROR(__xludf.DUMMYFUNCTION("""COMPUTED_VALUE"""),45379.6230227083)</f>
        <v>45379.6230227083</v>
      </c>
    </row>
    <row r="401" spans="1:87" x14ac:dyDescent="0.25">
      <c r="A401" s="5">
        <f ca="1">IFERROR(__xludf.DUMMYFUNCTION("""COMPUTED_VALUE"""),45379.5776851157)</f>
        <v>45379.577685115699</v>
      </c>
      <c r="B401" s="1" t="str">
        <f ca="1">IFERROR(__xludf.DUMMYFUNCTION("""COMPUTED_VALUE"""),"daleshwary67@gmail.com")</f>
        <v>daleshwary67@gmail.com</v>
      </c>
      <c r="C401" s="1" t="str">
        <f ca="1">IFERROR(__xludf.DUMMYFUNCTION("""COMPUTED_VALUE"""),"daleshwary sharma")</f>
        <v>daleshwary sharma</v>
      </c>
      <c r="D401" s="1">
        <f ca="1">IFERROR(__xludf.DUMMYFUNCTION("""COMPUTED_VALUE"""),8587900034)</f>
        <v>8587900034</v>
      </c>
      <c r="E401" s="1" t="str">
        <f ca="1">IFERROR(__xludf.DUMMYFUNCTION("""COMPUTED_VALUE"""),"No")</f>
        <v>No</v>
      </c>
      <c r="F401" s="1" t="str">
        <f ca="1">IFERROR(__xludf.DUMMYFUNCTION("""COMPUTED_VALUE"""),"हिन्दी")</f>
        <v>हिन्दी</v>
      </c>
      <c r="G401" s="1" t="str">
        <f ca="1">IFERROR(__xludf.DUMMYFUNCTION("""COMPUTED_VALUE"""),"समग्र स्वास्थ्य")</f>
        <v>समग्र स्वास्थ्य</v>
      </c>
      <c r="H401" s="1"/>
      <c r="I401" s="1"/>
      <c r="J401" s="1"/>
      <c r="K401" s="1"/>
      <c r="L401" s="1"/>
      <c r="M401" s="1"/>
      <c r="N401" s="1"/>
      <c r="O401" s="1"/>
      <c r="P401" s="1"/>
      <c r="Q401" s="1"/>
      <c r="R401" s="1"/>
      <c r="S401" s="1"/>
      <c r="T401" s="1"/>
      <c r="U401" s="1" t="str">
        <f ca="1">IFERROR(__xludf.DUMMYFUNCTION("""COMPUTED_VALUE"""),"आहार-विहार एवं उपवास")</f>
        <v>आहार-विहार एवं उपवास</v>
      </c>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f ca="1">IFERROR(__xludf.DUMMYFUNCTION("""COMPUTED_VALUE"""),15)</f>
        <v>15</v>
      </c>
      <c r="BX401" s="1">
        <f ca="1">IFERROR(__xludf.DUMMYFUNCTION("""COMPUTED_VALUE"""),9)</f>
        <v>9</v>
      </c>
      <c r="BY401" s="1">
        <f ca="1">IFERROR(__xludf.DUMMYFUNCTION("""COMPUTED_VALUE"""),5)</f>
        <v>5</v>
      </c>
      <c r="BZ401" s="1">
        <f ca="1">IFERROR(__xludf.DUMMYFUNCTION("""COMPUTED_VALUE"""),5)</f>
        <v>5</v>
      </c>
      <c r="CA401" s="1"/>
      <c r="CB401" s="1"/>
      <c r="CC401" s="1" t="str">
        <f ca="1">IFERROR(__xludf.DUMMYFUNCTION("""COMPUTED_VALUE"""),"मन की शांति : Rare Book")</f>
        <v>मन की शांति : Rare Book</v>
      </c>
      <c r="CD401" s="3" t="str">
        <f ca="1">IFERROR(__xludf.DUMMYFUNCTION("""COMPUTED_VALUE"""),"https://vicharkrantibooks.org/productdetail?book_name=HINP0487_MAN_KI_SHANTI_xxyyyy&amp;product_id=1052")</f>
        <v>https://vicharkrantibooks.org/productdetail?book_name=HINP0487_MAN_KI_SHANTI_xxyyyy&amp;product_id=1052</v>
      </c>
      <c r="CE401" s="1" t="str">
        <f ca="1">IFERROR(__xludf.DUMMYFUNCTION("""COMPUTED_VALUE"""),"Audiobook : मन की शांति : Rare Book : daleshwary67@gmail.com : Recorded")</f>
        <v>Audiobook : मन की शांति : Rare Book : daleshwary67@gmail.com : Recorded</v>
      </c>
      <c r="CF401" s="1" t="str">
        <f ca="1">IFERROR(__xludf.DUMMYFUNCTION("""COMPUTED_VALUE"""),"#N/A")</f>
        <v>#N/A</v>
      </c>
      <c r="CG401" s="1" t="str">
        <f ca="1">IFERROR(__xludf.DUMMYFUNCTION("""COMPUTED_VALUE"""),"Adarniya daleshwary sharma ji मन की शांति : Rare Book : Allocated on 28-Mar-24 Contact Number  8587900034")</f>
        <v>Adarniya daleshwary sharma ji मन की शांति : Rare Book : Allocated on 28-Mar-24 Contact Number  8587900034</v>
      </c>
      <c r="CH401" s="1" t="str">
        <f ca="1">IFERROR(__xludf.DUMMYFUNCTION("""COMPUTED_VALUE"""),"daleshwary67@gmail.com : मन की शांति : Rare Book")</f>
        <v>daleshwary67@gmail.com : मन की शांति : Rare Book</v>
      </c>
      <c r="CI401" s="5">
        <f ca="1">IFERROR(__xludf.DUMMYFUNCTION("""COMPUTED_VALUE"""),45379.5776851157)</f>
        <v>45379.577685115699</v>
      </c>
    </row>
    <row r="402" spans="1:87" x14ac:dyDescent="0.25">
      <c r="A402" s="5">
        <f ca="1">IFERROR(__xludf.DUMMYFUNCTION("""COMPUTED_VALUE"""),45379.4760984837)</f>
        <v>45379.476098483698</v>
      </c>
      <c r="B402" s="1" t="str">
        <f ca="1">IFERROR(__xludf.DUMMYFUNCTION("""COMPUTED_VALUE"""),"Samalprasanta76@gmail.com")</f>
        <v>Samalprasanta76@gmail.com</v>
      </c>
      <c r="C402" s="1" t="str">
        <f ca="1">IFERROR(__xludf.DUMMYFUNCTION("""COMPUTED_VALUE"""),"Prasanta samal")</f>
        <v>Prasanta samal</v>
      </c>
      <c r="D402" s="1">
        <f ca="1">IFERROR(__xludf.DUMMYFUNCTION("""COMPUTED_VALUE"""),9937441304)</f>
        <v>9937441304</v>
      </c>
      <c r="E402" s="1" t="str">
        <f ca="1">IFERROR(__xludf.DUMMYFUNCTION("""COMPUTED_VALUE"""),"Yes")</f>
        <v>Yes</v>
      </c>
      <c r="F402" s="1" t="str">
        <f ca="1">IFERROR(__xludf.DUMMYFUNCTION("""COMPUTED_VALUE"""),"ओड़िया")</f>
        <v>ओड़िया</v>
      </c>
      <c r="G402" s="1" t="str">
        <f ca="1">IFERROR(__xludf.DUMMYFUNCTION("""COMPUTED_VALUE"""),"युग परिवर्तन-विचार क्रांति")</f>
        <v>युग परिवर्तन-विचार क्रांति</v>
      </c>
      <c r="H402" s="1"/>
      <c r="I402" s="1"/>
      <c r="J402" s="1"/>
      <c r="K402" s="1"/>
      <c r="L402" s="1"/>
      <c r="M402" s="1"/>
      <c r="N402" s="1"/>
      <c r="O402" s="1"/>
      <c r="P402" s="1"/>
      <c r="Q402" s="1" t="str">
        <f ca="1">IFERROR(__xludf.DUMMYFUNCTION("""COMPUTED_VALUE"""),"युग निर्माण योजना एवं युग परिवर्तन")</f>
        <v>युग निर्माण योजना एवं युग परिवर्तन</v>
      </c>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f ca="1">IFERROR(__xludf.DUMMYFUNCTION("""COMPUTED_VALUE"""),2)</f>
        <v>2</v>
      </c>
      <c r="BX402" s="1">
        <f ca="1">IFERROR(__xludf.DUMMYFUNCTION("""COMPUTED_VALUE"""),0)</f>
        <v>0</v>
      </c>
      <c r="BY402" s="1">
        <f ca="1">IFERROR(__xludf.DUMMYFUNCTION("""COMPUTED_VALUE"""),2)</f>
        <v>2</v>
      </c>
      <c r="BZ402" s="1">
        <f ca="1">IFERROR(__xludf.DUMMYFUNCTION("""COMPUTED_VALUE"""),0)</f>
        <v>0</v>
      </c>
      <c r="CA402" s="1"/>
      <c r="CB402" s="1"/>
      <c r="CC402" s="1" t="str">
        <f ca="1">IFERROR(__xludf.DUMMYFUNCTION("""COMPUTED_VALUE"""),"ସାହାସ ହରାନ୍ତୁ ନାହିଁ : TBD")</f>
        <v>ସାହାସ ହରାନ୍ତୁ ନାହିଁ : TBD</v>
      </c>
      <c r="CD402" s="3" t="str">
        <f ca="1">IFERROR(__xludf.DUMMYFUNCTION("""COMPUTED_VALUE"""),"http://literature.awgp.org/book/Lose_Not_Your_Heart/v5")</f>
        <v>http://literature.awgp.org/book/Lose_Not_Your_Heart/v5</v>
      </c>
      <c r="CE402" s="1" t="str">
        <f ca="1">IFERROR(__xludf.DUMMYFUNCTION("""COMPUTED_VALUE"""),"Audiobook : ସାହାସ ହରାନ୍ତୁ ନାହିଁ : TBD : Samalprasanta76@gmail.com : Recorded")</f>
        <v>Audiobook : ସାହାସ ହରାନ୍ତୁ ନାହିଁ : TBD : Samalprasanta76@gmail.com : Recorded</v>
      </c>
      <c r="CF402" s="1" t="str">
        <f ca="1">IFERROR(__xludf.DUMMYFUNCTION("""COMPUTED_VALUE"""),"#N/A")</f>
        <v>#N/A</v>
      </c>
      <c r="CG402" s="1" t="str">
        <f ca="1">IFERROR(__xludf.DUMMYFUNCTION("""COMPUTED_VALUE"""),"Adarniya Prasanta samal ji ସାହାସ ହରାନ୍ତୁ ନାହିଁ : TBD : Allocated on 28-Mar-24 Contact Number  9937441304")</f>
        <v>Adarniya Prasanta samal ji ସାହାସ ହରାନ୍ତୁ ନାହିଁ : TBD : Allocated on 28-Mar-24 Contact Number  9937441304</v>
      </c>
      <c r="CH402" s="1" t="str">
        <f ca="1">IFERROR(__xludf.DUMMYFUNCTION("""COMPUTED_VALUE"""),"Samalprasanta76@gmail.com : ସାହାସ ହରାନ୍ତୁ ନାହିଁ : TBD")</f>
        <v>Samalprasanta76@gmail.com : ସାହାସ ହରାନ୍ତୁ ନାହିଁ : TBD</v>
      </c>
      <c r="CI402" s="5">
        <f ca="1">IFERROR(__xludf.DUMMYFUNCTION("""COMPUTED_VALUE"""),45379.4760984837)</f>
        <v>45379.476098483698</v>
      </c>
    </row>
    <row r="403" spans="1:87" x14ac:dyDescent="0.25">
      <c r="A403" s="5">
        <f ca="1">IFERROR(__xludf.DUMMYFUNCTION("""COMPUTED_VALUE"""),45379.4258692129)</f>
        <v>45379.425869212901</v>
      </c>
      <c r="B403" s="1" t="str">
        <f ca="1">IFERROR(__xludf.DUMMYFUNCTION("""COMPUTED_VALUE"""),"patilyogitaj@gmail.com")</f>
        <v>patilyogitaj@gmail.com</v>
      </c>
      <c r="C403" s="1" t="str">
        <f ca="1">IFERROR(__xludf.DUMMYFUNCTION("""COMPUTED_VALUE"""),"Dr Yogita Sanjaykumar Patil ")</f>
        <v xml:space="preserve">Dr Yogita Sanjaykumar Patil </v>
      </c>
      <c r="D403" s="1" t="str">
        <f ca="1">IFERROR(__xludf.DUMMYFUNCTION("""COMPUTED_VALUE"""),"09403837133")</f>
        <v>09403837133</v>
      </c>
      <c r="E403" s="1" t="str">
        <f ca="1">IFERROR(__xludf.DUMMYFUNCTION("""COMPUTED_VALUE"""),"Yes")</f>
        <v>Yes</v>
      </c>
      <c r="F403" s="1" t="str">
        <f ca="1">IFERROR(__xludf.DUMMYFUNCTION("""COMPUTED_VALUE"""),"मराठी")</f>
        <v>मराठी</v>
      </c>
      <c r="G403" s="1" t="str">
        <f ca="1">IFERROR(__xludf.DUMMYFUNCTION("""COMPUTED_VALUE"""),"व्यक्ति निर्माण, युवा/विद्यार्थी एवं शिक्षक")</f>
        <v>व्यक्ति निर्माण, युवा/विद्यार्थी एवं शिक्षक</v>
      </c>
      <c r="H403" s="1"/>
      <c r="I403" s="1"/>
      <c r="J403" s="1"/>
      <c r="K403" s="1"/>
      <c r="L403" s="1"/>
      <c r="M403" s="1"/>
      <c r="N403" s="1"/>
      <c r="O403" s="1"/>
      <c r="P403" s="1"/>
      <c r="Q403" s="1"/>
      <c r="R403" s="1"/>
      <c r="S403" s="1"/>
      <c r="T403" s="1" t="str">
        <f ca="1">IFERROR(__xludf.DUMMYFUNCTION("""COMPUTED_VALUE"""),"व्यक्तित्व परिष्कार")</f>
        <v>व्यक्तित्व परिष्कार</v>
      </c>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f ca="1">IFERROR(__xludf.DUMMYFUNCTION("""COMPUTED_VALUE"""),4)</f>
        <v>4</v>
      </c>
      <c r="BX403" s="1">
        <f ca="1">IFERROR(__xludf.DUMMYFUNCTION("""COMPUTED_VALUE"""),1)</f>
        <v>1</v>
      </c>
      <c r="BY403" s="1">
        <f ca="1">IFERROR(__xludf.DUMMYFUNCTION("""COMPUTED_VALUE"""),3)</f>
        <v>3</v>
      </c>
      <c r="BZ403" s="1">
        <f ca="1">IFERROR(__xludf.DUMMYFUNCTION("""COMPUTED_VALUE"""),0)</f>
        <v>0</v>
      </c>
      <c r="CA403" s="1"/>
      <c r="CB403" s="1"/>
      <c r="CC403" s="1" t="str">
        <f ca="1">IFERROR(__xludf.DUMMYFUNCTION("""COMPUTED_VALUE"""),"प्रतिभा संवर्धनाचे विज्ञान संमत प्रयोग : MR_159")</f>
        <v>प्रतिभा संवर्धनाचे विज्ञान संमत प्रयोग : MR_159</v>
      </c>
      <c r="CD403" s="3" t="str">
        <f ca="1">IFERROR(__xludf.DUMMYFUNCTION("""COMPUTED_VALUE"""),"https://vicharkrantibooks.org/productdetail?book_name=MRTP0676_PRATIBHA_SANVARDHANACHE_VIGYAN_SAMMAT_PRAYOG_XXYYYY&amp;product_id=4355")</f>
        <v>https://vicharkrantibooks.org/productdetail?book_name=MRTP0676_PRATIBHA_SANVARDHANACHE_VIGYAN_SAMMAT_PRAYOG_XXYYYY&amp;product_id=4355</v>
      </c>
      <c r="CE403" s="1" t="str">
        <f ca="1">IFERROR(__xludf.DUMMYFUNCTION("""COMPUTED_VALUE"""),"Audiobook : प्रतिभा संवर्धनाचे विज्ञान संमत प्रयोग : MR_159 : patilyogitaj@gmail.com : Recorded")</f>
        <v>Audiobook : प्रतिभा संवर्धनाचे विज्ञान संमत प्रयोग : MR_159 : patilyogitaj@gmail.com : Recorded</v>
      </c>
      <c r="CF403" s="1" t="str">
        <f ca="1">IFERROR(__xludf.DUMMYFUNCTION("""COMPUTED_VALUE"""),"Audiobook : प्रतिभा संवर्धनाचे विज्ञान संमत प्रयोग : MR_159 : patilyogitaj@gmail.com : Recorded")</f>
        <v>Audiobook : प्रतिभा संवर्धनाचे विज्ञान संमत प्रयोग : MR_159 : patilyogitaj@gmail.com : Recorded</v>
      </c>
      <c r="CG403" s="1" t="str">
        <f ca="1">IFERROR(__xludf.DUMMYFUNCTION("""COMPUTED_VALUE"""),"Adarniya Dr Yogita Sanjaykumar Patil  ji प्रतिभा संवर्धनाचे विज्ञान संमत प्रयोग : MR_159 : Allocated on 28-Mar-24 Contact Number  09403837133")</f>
        <v>Adarniya Dr Yogita Sanjaykumar Patil  ji प्रतिभा संवर्धनाचे विज्ञान संमत प्रयोग : MR_159 : Allocated on 28-Mar-24 Contact Number  09403837133</v>
      </c>
      <c r="CH403" s="1" t="str">
        <f ca="1">IFERROR(__xludf.DUMMYFUNCTION("""COMPUTED_VALUE"""),"patilyogitaj@gmail.com : प्रतिभा संवर्धनाचे विज्ञान संमत प्रयोग : MR_159")</f>
        <v>patilyogitaj@gmail.com : प्रतिभा संवर्धनाचे विज्ञान संमत प्रयोग : MR_159</v>
      </c>
      <c r="CI403" s="5">
        <f ca="1">IFERROR(__xludf.DUMMYFUNCTION("""COMPUTED_VALUE"""),45379.4258692129)</f>
        <v>45379.425869212901</v>
      </c>
    </row>
    <row r="404" spans="1:87" x14ac:dyDescent="0.25">
      <c r="A404" s="5">
        <f ca="1">IFERROR(__xludf.DUMMYFUNCTION("""COMPUTED_VALUE"""),45379.408276655)</f>
        <v>45379.408276654998</v>
      </c>
      <c r="B404" s="1" t="str">
        <f ca="1">IFERROR(__xludf.DUMMYFUNCTION("""COMPUTED_VALUE"""),"pragyapaliwal78@gmail.com")</f>
        <v>pragyapaliwal78@gmail.com</v>
      </c>
      <c r="C404" s="1" t="str">
        <f ca="1">IFERROR(__xludf.DUMMYFUNCTION("""COMPUTED_VALUE"""),"Pragya Paliwal")</f>
        <v>Pragya Paliwal</v>
      </c>
      <c r="D404" s="1">
        <f ca="1">IFERROR(__xludf.DUMMYFUNCTION("""COMPUTED_VALUE"""),8696296388)</f>
        <v>8696296388</v>
      </c>
      <c r="E404" s="1" t="str">
        <f ca="1">IFERROR(__xludf.DUMMYFUNCTION("""COMPUTED_VALUE"""),"Yes")</f>
        <v>Yes</v>
      </c>
      <c r="F404" s="1" t="str">
        <f ca="1">IFERROR(__xludf.DUMMYFUNCTION("""COMPUTED_VALUE"""),"हिन्दी")</f>
        <v>हिन्दी</v>
      </c>
      <c r="G404" s="1" t="str">
        <f ca="1">IFERROR(__xludf.DUMMYFUNCTION("""COMPUTED_VALUE"""),"English")</f>
        <v>English</v>
      </c>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f ca="1">IFERROR(__xludf.DUMMYFUNCTION("""COMPUTED_VALUE"""),11)</f>
        <v>11</v>
      </c>
      <c r="BX404" s="1">
        <f ca="1">IFERROR(__xludf.DUMMYFUNCTION("""COMPUTED_VALUE"""),3)</f>
        <v>3</v>
      </c>
      <c r="BY404" s="1">
        <f ca="1">IFERROR(__xludf.DUMMYFUNCTION("""COMPUTED_VALUE"""),8)</f>
        <v>8</v>
      </c>
      <c r="BZ404" s="1">
        <f ca="1">IFERROR(__xludf.DUMMYFUNCTION("""COMPUTED_VALUE"""),0)</f>
        <v>0</v>
      </c>
      <c r="CA404" s="1"/>
      <c r="CB404" s="1"/>
      <c r="CC404" s="1" t="str">
        <f ca="1">IFERROR(__xludf.DUMMYFUNCTION("""COMPUTED_VALUE"""),"Fight Your Weaknesses Be Strong : EP_127")</f>
        <v>Fight Your Weaknesses Be Strong : EP_127</v>
      </c>
      <c r="CD404" s="3" t="str">
        <f ca="1">IFERROR(__xludf.DUMMYFUNCTION("""COMPUTED_VALUE"""),"https://vicharkrantibooks.org/productdetail?book_name=ENGP0069_FIGHT_YOUR_WEAKNESSES_BE_STRONG_xxyyyy&amp;product_id=3512")</f>
        <v>https://vicharkrantibooks.org/productdetail?book_name=ENGP0069_FIGHT_YOUR_WEAKNESSES_BE_STRONG_xxyyyy&amp;product_id=3512</v>
      </c>
      <c r="CE404" s="1" t="str">
        <f ca="1">IFERROR(__xludf.DUMMYFUNCTION("""COMPUTED_VALUE"""),"Audiobook : Fight Your Weaknesses Be Strong : EP_127 : pragyapaliwal78@gmail.com : Recorded")</f>
        <v>Audiobook : Fight Your Weaknesses Be Strong : EP_127 : pragyapaliwal78@gmail.com : Recorded</v>
      </c>
      <c r="CF404" s="1" t="str">
        <f ca="1">IFERROR(__xludf.DUMMYFUNCTION("""COMPUTED_VALUE"""),"#N/A")</f>
        <v>#N/A</v>
      </c>
      <c r="CG404" s="1" t="str">
        <f ca="1">IFERROR(__xludf.DUMMYFUNCTION("""COMPUTED_VALUE"""),"Adarniya Pragya Paliwal ji Fight Your Weaknesses Be Strong : EP_127 : Allocated on 28-Mar-24 Contact Number  8696296388")</f>
        <v>Adarniya Pragya Paliwal ji Fight Your Weaknesses Be Strong : EP_127 : Allocated on 28-Mar-24 Contact Number  8696296388</v>
      </c>
      <c r="CH404" s="1" t="str">
        <f ca="1">IFERROR(__xludf.DUMMYFUNCTION("""COMPUTED_VALUE"""),"pragyapaliwal78@gmail.com : Fight Your Weaknesses Be Strong : EP_127")</f>
        <v>pragyapaliwal78@gmail.com : Fight Your Weaknesses Be Strong : EP_127</v>
      </c>
      <c r="CI404" s="5">
        <f ca="1">IFERROR(__xludf.DUMMYFUNCTION("""COMPUTED_VALUE"""),45379.408276655)</f>
        <v>45379.408276654998</v>
      </c>
    </row>
    <row r="405" spans="1:87" x14ac:dyDescent="0.25">
      <c r="A405" s="5">
        <f ca="1">IFERROR(__xludf.DUMMYFUNCTION("""COMPUTED_VALUE"""),45378.9398112268)</f>
        <v>45378.939811226803</v>
      </c>
      <c r="B405" s="1" t="str">
        <f ca="1">IFERROR(__xludf.DUMMYFUNCTION("""COMPUTED_VALUE"""),"ojhakrishna2310@gmail.com")</f>
        <v>ojhakrishna2310@gmail.com</v>
      </c>
      <c r="C405" s="1" t="str">
        <f ca="1">IFERROR(__xludf.DUMMYFUNCTION("""COMPUTED_VALUE"""),"Krishna arunkumar ojha")</f>
        <v>Krishna arunkumar ojha</v>
      </c>
      <c r="D405" s="1">
        <f ca="1">IFERROR(__xludf.DUMMYFUNCTION("""COMPUTED_VALUE"""),9637907058)</f>
        <v>9637907058</v>
      </c>
      <c r="E405" s="1" t="str">
        <f ca="1">IFERROR(__xludf.DUMMYFUNCTION("""COMPUTED_VALUE"""),"Yes")</f>
        <v>Yes</v>
      </c>
      <c r="F405" s="1" t="str">
        <f ca="1">IFERROR(__xludf.DUMMYFUNCTION("""COMPUTED_VALUE"""),"हिन्दी")</f>
        <v>हिन्दी</v>
      </c>
      <c r="G405" s="1" t="str">
        <f ca="1">IFERROR(__xludf.DUMMYFUNCTION("""COMPUTED_VALUE"""),"जीवन प्रबंध")</f>
        <v>जीवन प्रबंध</v>
      </c>
      <c r="H405" s="1"/>
      <c r="I405" s="1"/>
      <c r="J405" s="1"/>
      <c r="K405" s="1"/>
      <c r="L405" s="1" t="str">
        <f ca="1">IFERROR(__xludf.DUMMYFUNCTION("""COMPUTED_VALUE"""),"मन की शक्ति एवं मनोविज्ञान")</f>
        <v>मन की शक्ति एवं मनोविज्ञान</v>
      </c>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f ca="1">IFERROR(__xludf.DUMMYFUNCTION("""COMPUTED_VALUE"""),13)</f>
        <v>13</v>
      </c>
      <c r="BX405" s="1">
        <f ca="1">IFERROR(__xludf.DUMMYFUNCTION("""COMPUTED_VALUE"""),6)</f>
        <v>6</v>
      </c>
      <c r="BY405" s="1">
        <f ca="1">IFERROR(__xludf.DUMMYFUNCTION("""COMPUTED_VALUE"""),8)</f>
        <v>8</v>
      </c>
      <c r="BZ405" s="1">
        <f ca="1">IFERROR(__xludf.DUMMYFUNCTION("""COMPUTED_VALUE"""),0)</f>
        <v>0</v>
      </c>
      <c r="CA405" s="1"/>
      <c r="CB405" s="1"/>
      <c r="CC405" s="1" t="str">
        <f ca="1">IFERROR(__xludf.DUMMYFUNCTION("""COMPUTED_VALUE"""),"प्रभु समर्पित जीवन : Rare Book")</f>
        <v>प्रभु समर्पित जीवन : Rare Book</v>
      </c>
      <c r="CD405" s="3" t="str">
        <f ca="1">IFERROR(__xludf.DUMMYFUNCTION("""COMPUTED_VALUE"""),"https://vicharkrantibooks.org/productdetail?book_name=HINP0648_PRABHU_SAMARPIT_JIVAN_xxyyyy&amp;product_id=1213")</f>
        <v>https://vicharkrantibooks.org/productdetail?book_name=HINP0648_PRABHU_SAMARPIT_JIVAN_xxyyyy&amp;product_id=1213</v>
      </c>
      <c r="CE405" s="1" t="str">
        <f ca="1">IFERROR(__xludf.DUMMYFUNCTION("""COMPUTED_VALUE"""),"Audiobook : प्रभु समर्पित जीवन : Rare Book : ojhakrishna2310@gmail.com : Recorded")</f>
        <v>Audiobook : प्रभु समर्पित जीवन : Rare Book : ojhakrishna2310@gmail.com : Recorded</v>
      </c>
      <c r="CF405" s="1" t="str">
        <f ca="1">IFERROR(__xludf.DUMMYFUNCTION("""COMPUTED_VALUE"""),"Audiobook : प्रभु समर्पित जीवन : Rare Book : ojhakrishna2310@gmail.com : Recorded")</f>
        <v>Audiobook : प्रभु समर्पित जीवन : Rare Book : ojhakrishna2310@gmail.com : Recorded</v>
      </c>
      <c r="CG405" s="1" t="str">
        <f ca="1">IFERROR(__xludf.DUMMYFUNCTION("""COMPUTED_VALUE"""),"Adarniya Krishna arunkumar ojha ji प्रभु समर्पित जीवन : Rare Book : Allocated on 27-Mar-24 Contact Number  9637907058")</f>
        <v>Adarniya Krishna arunkumar ojha ji प्रभु समर्पित जीवन : Rare Book : Allocated on 27-Mar-24 Contact Number  9637907058</v>
      </c>
      <c r="CH405" s="1" t="str">
        <f ca="1">IFERROR(__xludf.DUMMYFUNCTION("""COMPUTED_VALUE"""),"ojhakrishna2310@gmail.com : प्रभु समर्पित जीवन : Rare Book")</f>
        <v>ojhakrishna2310@gmail.com : प्रभु समर्पित जीवन : Rare Book</v>
      </c>
      <c r="CI405" s="5">
        <f ca="1">IFERROR(__xludf.DUMMYFUNCTION("""COMPUTED_VALUE"""),45378.9398112268)</f>
        <v>45378.939811226803</v>
      </c>
    </row>
    <row r="406" spans="1:87" x14ac:dyDescent="0.25">
      <c r="A406" s="5">
        <f ca="1">IFERROR(__xludf.DUMMYFUNCTION("""COMPUTED_VALUE"""),45378.5924759606)</f>
        <v>45378.592475960599</v>
      </c>
      <c r="B406" s="1" t="str">
        <f ca="1">IFERROR(__xludf.DUMMYFUNCTION("""COMPUTED_VALUE"""),"kalagpatel1959@gmail.com")</f>
        <v>kalagpatel1959@gmail.com</v>
      </c>
      <c r="C406" s="1" t="str">
        <f ca="1">IFERROR(__xludf.DUMMYFUNCTION("""COMPUTED_VALUE"""),"Kala Patel ")</f>
        <v xml:space="preserve">Kala Patel </v>
      </c>
      <c r="D406" s="1">
        <f ca="1">IFERROR(__xludf.DUMMYFUNCTION("""COMPUTED_VALUE"""),9016250929)</f>
        <v>9016250929</v>
      </c>
      <c r="E406" s="1" t="str">
        <f ca="1">IFERROR(__xludf.DUMMYFUNCTION("""COMPUTED_VALUE"""),"Yes")</f>
        <v>Yes</v>
      </c>
      <c r="F406" s="1" t="str">
        <f ca="1">IFERROR(__xludf.DUMMYFUNCTION("""COMPUTED_VALUE"""),"गुजराती")</f>
        <v>गुजराती</v>
      </c>
      <c r="G406" s="1" t="str">
        <f ca="1">IFERROR(__xludf.DUMMYFUNCTION("""COMPUTED_VALUE"""),"भारतीय संस्कृति")</f>
        <v>भारतीय संस्कृति</v>
      </c>
      <c r="H406" s="1"/>
      <c r="I406" s="1"/>
      <c r="J406" s="1"/>
      <c r="K406" s="1"/>
      <c r="L406" s="1"/>
      <c r="M406" s="1"/>
      <c r="N406" s="1"/>
      <c r="O406" s="1" t="str">
        <f ca="1">IFERROR(__xludf.DUMMYFUNCTION("""COMPUTED_VALUE"""),"भारतीय संस्कृति")</f>
        <v>भारतीय संस्कृति</v>
      </c>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f ca="1">IFERROR(__xludf.DUMMYFUNCTION("""COMPUTED_VALUE"""),34)</f>
        <v>34</v>
      </c>
      <c r="BX406" s="1">
        <f ca="1">IFERROR(__xludf.DUMMYFUNCTION("""COMPUTED_VALUE"""),34)</f>
        <v>34</v>
      </c>
      <c r="BY406" s="1">
        <f ca="1">IFERROR(__xludf.DUMMYFUNCTION("""COMPUTED_VALUE"""),4)</f>
        <v>4</v>
      </c>
      <c r="BZ406" s="1">
        <f ca="1">IFERROR(__xludf.DUMMYFUNCTION("""COMPUTED_VALUE"""),11)</f>
        <v>11</v>
      </c>
      <c r="CA406" s="1"/>
      <c r="CB406" s="1"/>
      <c r="CC406" s="1" t="str">
        <f ca="1">IFERROR(__xludf.DUMMYFUNCTION("""COMPUTED_VALUE"""),"ગાયત્રી ઉપાસના કેમ અને શા માટે ? : G_PP_51")</f>
        <v>ગાયત્રી ઉપાસના કેમ અને શા માટે ? : G_PP_51</v>
      </c>
      <c r="CD406" s="3" t="str">
        <f ca="1">IFERROR(__xludf.DUMMYFUNCTION("""COMPUTED_VALUE"""),"https://vicharkrantibooks.org/productdetail?book_name=GUJP0298_GAYATRI_UPASANA_KEM_ANE_SHA_MATE_XXYYYY&amp;product_id=3956")</f>
        <v>https://vicharkrantibooks.org/productdetail?book_name=GUJP0298_GAYATRI_UPASANA_KEM_ANE_SHA_MATE_XXYYYY&amp;product_id=3956</v>
      </c>
      <c r="CE406" s="1"/>
      <c r="CF406" s="1" t="str">
        <f ca="1">IFERROR(__xludf.DUMMYFUNCTION("""COMPUTED_VALUE"""),"#N/A")</f>
        <v>#N/A</v>
      </c>
      <c r="CG406" s="1" t="str">
        <f ca="1">IFERROR(__xludf.DUMMYFUNCTION("""COMPUTED_VALUE"""),"Adarniya Kala Patel  ji ગાયત્રી ઉપાસના કેમ અને શા માટે ? : G_PP_51 : Allocated on 27-Mar-24 Contact Number  9016250929")</f>
        <v>Adarniya Kala Patel  ji ગાયત્રી ઉપાસના કેમ અને શા માટે ? : G_PP_51 : Allocated on 27-Mar-24 Contact Number  9016250929</v>
      </c>
      <c r="CH406" s="1" t="str">
        <f ca="1">IFERROR(__xludf.DUMMYFUNCTION("""COMPUTED_VALUE"""),"kalagpatel1959@gmail.com : ગાયત્રી ઉપાસના કેમ અને શા માટે ? : G_PP_51")</f>
        <v>kalagpatel1959@gmail.com : ગાયત્રી ઉપાસના કેમ અને શા માટે ? : G_PP_51</v>
      </c>
      <c r="CI406" s="5">
        <f ca="1">IFERROR(__xludf.DUMMYFUNCTION("""COMPUTED_VALUE"""),45378.5924759606)</f>
        <v>45378.592475960599</v>
      </c>
    </row>
    <row r="407" spans="1:87" x14ac:dyDescent="0.25">
      <c r="A407" s="5">
        <f ca="1">IFERROR(__xludf.DUMMYFUNCTION("""COMPUTED_VALUE"""),45378.5255779976)</f>
        <v>45378.5255779976</v>
      </c>
      <c r="B407" s="1" t="str">
        <f ca="1">IFERROR(__xludf.DUMMYFUNCTION("""COMPUTED_VALUE"""),"hinap775@gmail.com")</f>
        <v>hinap775@gmail.com</v>
      </c>
      <c r="C407" s="1" t="str">
        <f ca="1">IFERROR(__xludf.DUMMYFUNCTION("""COMPUTED_VALUE"""),"Hina")</f>
        <v>Hina</v>
      </c>
      <c r="D407" s="1">
        <f ca="1">IFERROR(__xludf.DUMMYFUNCTION("""COMPUTED_VALUE"""),9921772176)</f>
        <v>9921772176</v>
      </c>
      <c r="E407" s="1" t="str">
        <f ca="1">IFERROR(__xludf.DUMMYFUNCTION("""COMPUTED_VALUE"""),"No")</f>
        <v>No</v>
      </c>
      <c r="F407" s="1" t="str">
        <f ca="1">IFERROR(__xludf.DUMMYFUNCTION("""COMPUTED_VALUE"""),"गुजराती")</f>
        <v>गुजराती</v>
      </c>
      <c r="G407" s="1" t="str">
        <f ca="1">IFERROR(__xludf.DUMMYFUNCTION("""COMPUTED_VALUE"""),"वैज्ञानिक अध्यात्मवाद का प्रतिपादन")</f>
        <v>वैज्ञानिक अध्यात्मवाद का प्रतिपादन</v>
      </c>
      <c r="H407" s="1"/>
      <c r="I407" s="1"/>
      <c r="J407" s="1"/>
      <c r="K407" s="1"/>
      <c r="L407" s="1"/>
      <c r="M407" s="1"/>
      <c r="N407" s="1"/>
      <c r="O407" s="1"/>
      <c r="P407" s="1"/>
      <c r="Q407" s="1"/>
      <c r="R407" s="1"/>
      <c r="S407" s="1" t="str">
        <f ca="1">IFERROR(__xludf.DUMMYFUNCTION("""COMPUTED_VALUE"""),"वैज्ञानिक अध्यात्मवाद का प्रतिपादन")</f>
        <v>वैज्ञानिक अध्यात्मवाद का प्रतिपादन</v>
      </c>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f ca="1">IFERROR(__xludf.DUMMYFUNCTION("""COMPUTED_VALUE"""),6)</f>
        <v>6</v>
      </c>
      <c r="BX407" s="1">
        <f ca="1">IFERROR(__xludf.DUMMYFUNCTION("""COMPUTED_VALUE"""),6)</f>
        <v>6</v>
      </c>
      <c r="BY407" s="1">
        <f ca="1">IFERROR(__xludf.DUMMYFUNCTION("""COMPUTED_VALUE"""),2)</f>
        <v>2</v>
      </c>
      <c r="BZ407" s="1">
        <f ca="1">IFERROR(__xludf.DUMMYFUNCTION("""COMPUTED_VALUE"""),0)</f>
        <v>0</v>
      </c>
      <c r="CA407" s="1"/>
      <c r="CB407" s="1"/>
      <c r="CC407" s="1" t="str">
        <f ca="1">IFERROR(__xludf.DUMMYFUNCTION("""COMPUTED_VALUE"""),"મંત્રના નામે માત્ર ઉચ્ચારણ : G_JS_40")</f>
        <v>મંત્રના નામે માત્ર ઉચ્ચારણ : G_JS_40</v>
      </c>
      <c r="CD407" s="3" t="str">
        <f ca="1">IFERROR(__xludf.DUMMYFUNCTION("""COMPUTED_VALUE"""),"https://vicharkrantibooks.org/productdetail?book_name=GUJP0521_MANTRANA_NAME_MATRA_UCHCHARAN_XXYYYY&amp;product_id=3765")</f>
        <v>https://vicharkrantibooks.org/productdetail?book_name=GUJP0521_MANTRANA_NAME_MATRA_UCHCHARAN_XXYYYY&amp;product_id=3765</v>
      </c>
      <c r="CE407" s="1"/>
      <c r="CF407" s="1" t="str">
        <f ca="1">IFERROR(__xludf.DUMMYFUNCTION("""COMPUTED_VALUE"""),"#N/A")</f>
        <v>#N/A</v>
      </c>
      <c r="CG407" s="1" t="str">
        <f ca="1">IFERROR(__xludf.DUMMYFUNCTION("""COMPUTED_VALUE"""),"Adarniya Hina ji મંત્રના નામે માત્ર ઉચ્ચારણ : G_JS_40 : Allocated on 27-Mar-24 Contact Number  9921772176")</f>
        <v>Adarniya Hina ji મંત્રના નામે માત્ર ઉચ્ચારણ : G_JS_40 : Allocated on 27-Mar-24 Contact Number  9921772176</v>
      </c>
      <c r="CH407" s="1" t="str">
        <f ca="1">IFERROR(__xludf.DUMMYFUNCTION("""COMPUTED_VALUE"""),"hinap775@gmail.com : મંત્રના નામે માત્ર ઉચ્ચારણ : G_JS_40")</f>
        <v>hinap775@gmail.com : મંત્રના નામે માત્ર ઉચ્ચારણ : G_JS_40</v>
      </c>
      <c r="CI407" s="5">
        <f ca="1">IFERROR(__xludf.DUMMYFUNCTION("""COMPUTED_VALUE"""),45378.5255779976)</f>
        <v>45378.5255779976</v>
      </c>
    </row>
    <row r="408" spans="1:87" x14ac:dyDescent="0.25">
      <c r="A408" s="5">
        <f ca="1">IFERROR(__xludf.DUMMYFUNCTION("""COMPUTED_VALUE"""),45378.4766873842)</f>
        <v>45378.476687384202</v>
      </c>
      <c r="B408" s="1" t="str">
        <f ca="1">IFERROR(__xludf.DUMMYFUNCTION("""COMPUTED_VALUE"""),"patelbela1971@gmail.com")</f>
        <v>patelbela1971@gmail.com</v>
      </c>
      <c r="C408" s="1" t="str">
        <f ca="1">IFERROR(__xludf.DUMMYFUNCTION("""COMPUTED_VALUE"""),"BELA PATEL")</f>
        <v>BELA PATEL</v>
      </c>
      <c r="D408" s="1">
        <f ca="1">IFERROR(__xludf.DUMMYFUNCTION("""COMPUTED_VALUE"""),9924470725)</f>
        <v>9924470725</v>
      </c>
      <c r="E408" s="1" t="str">
        <f ca="1">IFERROR(__xludf.DUMMYFUNCTION("""COMPUTED_VALUE"""),"Yes")</f>
        <v>Yes</v>
      </c>
      <c r="F408" s="1" t="str">
        <f ca="1">IFERROR(__xludf.DUMMYFUNCTION("""COMPUTED_VALUE"""),"गुजराती")</f>
        <v>गुजराती</v>
      </c>
      <c r="G408" s="1" t="str">
        <f ca="1">IFERROR(__xludf.DUMMYFUNCTION("""COMPUTED_VALUE"""),"अध्यात्म, धर्म एवं दर्शन")</f>
        <v>अध्यात्म, धर्म एवं दर्शन</v>
      </c>
      <c r="H408" s="1" t="str">
        <f ca="1">IFERROR(__xludf.DUMMYFUNCTION("""COMPUTED_VALUE"""),"अध्यात्म, धर्म एवं आस्तिकता")</f>
        <v>अध्यात्म, धर्म एवं आस्तिकता</v>
      </c>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f ca="1">IFERROR(__xludf.DUMMYFUNCTION("""COMPUTED_VALUE"""),1)</f>
        <v>1</v>
      </c>
      <c r="BX408" s="1">
        <f ca="1">IFERROR(__xludf.DUMMYFUNCTION("""COMPUTED_VALUE"""),1)</f>
        <v>1</v>
      </c>
      <c r="BY408" s="1">
        <f ca="1">IFERROR(__xludf.DUMMYFUNCTION("""COMPUTED_VALUE"""),1)</f>
        <v>1</v>
      </c>
      <c r="BZ408" s="1">
        <f ca="1">IFERROR(__xludf.DUMMYFUNCTION("""COMPUTED_VALUE"""),0)</f>
        <v>0</v>
      </c>
      <c r="CA408" s="1"/>
      <c r="CB408" s="1"/>
      <c r="CC408" s="1" t="str">
        <f ca="1">IFERROR(__xludf.DUMMYFUNCTION("""COMPUTED_VALUE"""),"સંભવામિ યુગે યુગે : G_JS_93")</f>
        <v>સંભવામિ યુગે યુગે : G_JS_93</v>
      </c>
      <c r="CD408" s="3" t="str">
        <f ca="1">IFERROR(__xludf.DUMMYFUNCTION("""COMPUTED_VALUE"""),"https://vicharkrantibooks.org/productdetail?book_name=GUJP0775_SAMBHVAMI_YUGE_YUGE_XXYYYY&amp;product_id=3818")</f>
        <v>https://vicharkrantibooks.org/productdetail?book_name=GUJP0775_SAMBHVAMI_YUGE_YUGE_XXYYYY&amp;product_id=3818</v>
      </c>
      <c r="CE408" s="1"/>
      <c r="CF408" s="1" t="str">
        <f ca="1">IFERROR(__xludf.DUMMYFUNCTION("""COMPUTED_VALUE"""),"#N/A")</f>
        <v>#N/A</v>
      </c>
      <c r="CG408" s="1" t="str">
        <f ca="1">IFERROR(__xludf.DUMMYFUNCTION("""COMPUTED_VALUE"""),"Adarniya BELA PATEL ji સંભવામિ યુગે યુગે : G_JS_93 : Allocated on 27-Mar-24 Contact Number  9924470725")</f>
        <v>Adarniya BELA PATEL ji સંભવામિ યુગે યુગે : G_JS_93 : Allocated on 27-Mar-24 Contact Number  9924470725</v>
      </c>
      <c r="CH408" s="1" t="str">
        <f ca="1">IFERROR(__xludf.DUMMYFUNCTION("""COMPUTED_VALUE"""),"patelbela1971@gmail.com : સંભવામિ યુગે યુગે : G_JS_93")</f>
        <v>patelbela1971@gmail.com : સંભવામિ યુગે યુગે : G_JS_93</v>
      </c>
      <c r="CI408" s="5">
        <f ca="1">IFERROR(__xludf.DUMMYFUNCTION("""COMPUTED_VALUE"""),45378.4766873842)</f>
        <v>45378.476687384202</v>
      </c>
    </row>
    <row r="409" spans="1:87" x14ac:dyDescent="0.25">
      <c r="A409" s="5">
        <f ca="1">IFERROR(__xludf.DUMMYFUNCTION("""COMPUTED_VALUE"""),45378.2254652662)</f>
        <v>45378.225465266201</v>
      </c>
      <c r="B409" s="1" t="str">
        <f ca="1">IFERROR(__xludf.DUMMYFUNCTION("""COMPUTED_VALUE"""),"sunitaster@gmail.com")</f>
        <v>sunitaster@gmail.com</v>
      </c>
      <c r="C409" s="1" t="str">
        <f ca="1">IFERROR(__xludf.DUMMYFUNCTION("""COMPUTED_VALUE"""),"Sunita Gupta")</f>
        <v>Sunita Gupta</v>
      </c>
      <c r="D409" s="1">
        <f ca="1">IFERROR(__xludf.DUMMYFUNCTION("""COMPUTED_VALUE"""),6318822791)</f>
        <v>6318822791</v>
      </c>
      <c r="E409" s="1" t="str">
        <f ca="1">IFERROR(__xludf.DUMMYFUNCTION("""COMPUTED_VALUE"""),"Yes")</f>
        <v>Yes</v>
      </c>
      <c r="F409" s="1" t="str">
        <f ca="1">IFERROR(__xludf.DUMMYFUNCTION("""COMPUTED_VALUE"""),"हिन्दी")</f>
        <v>हिन्दी</v>
      </c>
      <c r="G409" s="1" t="str">
        <f ca="1">IFERROR(__xludf.DUMMYFUNCTION("""COMPUTED_VALUE"""),"युग परिवर्तन-विचार क्रांति")</f>
        <v>युग परिवर्तन-विचार क्रांति</v>
      </c>
      <c r="H409" s="1"/>
      <c r="I409" s="1"/>
      <c r="J409" s="1"/>
      <c r="K409" s="1"/>
      <c r="L409" s="1"/>
      <c r="M409" s="1"/>
      <c r="N409" s="1"/>
      <c r="O409" s="1"/>
      <c r="P409" s="1"/>
      <c r="Q409" s="1" t="str">
        <f ca="1">IFERROR(__xludf.DUMMYFUNCTION("""COMPUTED_VALUE"""),"विचार क्रांति")</f>
        <v>विचार क्रांति</v>
      </c>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f ca="1">IFERROR(__xludf.DUMMYFUNCTION("""COMPUTED_VALUE"""),5)</f>
        <v>5</v>
      </c>
      <c r="BX409" s="1">
        <f ca="1">IFERROR(__xludf.DUMMYFUNCTION("""COMPUTED_VALUE"""),1)</f>
        <v>1</v>
      </c>
      <c r="BY409" s="1">
        <f ca="1">IFERROR(__xludf.DUMMYFUNCTION("""COMPUTED_VALUE"""),4)</f>
        <v>4</v>
      </c>
      <c r="BZ409" s="1">
        <f ca="1">IFERROR(__xludf.DUMMYFUNCTION("""COMPUTED_VALUE"""),0)</f>
        <v>0</v>
      </c>
      <c r="CA409" s="1"/>
      <c r="CB409" s="1"/>
      <c r="CC409" s="1" t="str">
        <f ca="1">IFERROR(__xludf.DUMMYFUNCTION("""COMPUTED_VALUE"""),"प्रतिभा परिष्कार बनाम युग परिवर्तन : Rare Book")</f>
        <v>प्रतिभा परिष्कार बनाम युग परिवर्तन : Rare Book</v>
      </c>
      <c r="CD409" s="3" t="str">
        <f ca="1">IFERROR(__xludf.DUMMYFUNCTION("""COMPUTED_VALUE"""),"https://vicharkrantibooks.org/productdetail?book_name=HINP0675_PRATIBHA_PARISHKAR_BANAM_YUG_PARIVARTAN_xxyyyy&amp;product_id=1240")</f>
        <v>https://vicharkrantibooks.org/productdetail?book_name=HINP0675_PRATIBHA_PARISHKAR_BANAM_YUG_PARIVARTAN_xxyyyy&amp;product_id=1240</v>
      </c>
      <c r="CE409" s="1" t="str">
        <f ca="1">IFERROR(__xludf.DUMMYFUNCTION("""COMPUTED_VALUE"""),"Audiobook : प्रतिभा परिष्कार बनाम युग परिवर्तन : Rare Book : sunitaster@gmail.com : Recorded")</f>
        <v>Audiobook : प्रतिभा परिष्कार बनाम युग परिवर्तन : Rare Book : sunitaster@gmail.com : Recorded</v>
      </c>
      <c r="CF409" s="1" t="str">
        <f ca="1">IFERROR(__xludf.DUMMYFUNCTION("""COMPUTED_VALUE"""),"#N/A")</f>
        <v>#N/A</v>
      </c>
      <c r="CG409" s="1" t="str">
        <f ca="1">IFERROR(__xludf.DUMMYFUNCTION("""COMPUTED_VALUE"""),"Adarniya Sunita Gupta ji प्रतिभा परिष्कार बनाम युग परिवर्तन : Rare Book : Allocated on 27-Mar-24 Contact Number  6318822791")</f>
        <v>Adarniya Sunita Gupta ji प्रतिभा परिष्कार बनाम युग परिवर्तन : Rare Book : Allocated on 27-Mar-24 Contact Number  6318822791</v>
      </c>
      <c r="CH409" s="1" t="str">
        <f ca="1">IFERROR(__xludf.DUMMYFUNCTION("""COMPUTED_VALUE"""),"sunitaster@gmail.com : प्रतिभा परिष्कार बनाम युग परिवर्तन : Rare Book")</f>
        <v>sunitaster@gmail.com : प्रतिभा परिष्कार बनाम युग परिवर्तन : Rare Book</v>
      </c>
      <c r="CI409" s="5">
        <f ca="1">IFERROR(__xludf.DUMMYFUNCTION("""COMPUTED_VALUE"""),45378.2254652662)</f>
        <v>45378.225465266201</v>
      </c>
    </row>
    <row r="410" spans="1:87" x14ac:dyDescent="0.25">
      <c r="A410" s="5">
        <f ca="1">IFERROR(__xludf.DUMMYFUNCTION("""COMPUTED_VALUE"""),45377.6685636574)</f>
        <v>45377.668563657397</v>
      </c>
      <c r="B410" s="1" t="str">
        <f ca="1">IFERROR(__xludf.DUMMYFUNCTION("""COMPUTED_VALUE"""),"anu161965@gmail.com")</f>
        <v>anu161965@gmail.com</v>
      </c>
      <c r="C410" s="1" t="str">
        <f ca="1">IFERROR(__xludf.DUMMYFUNCTION("""COMPUTED_VALUE"""),"Anureeta awadh")</f>
        <v>Anureeta awadh</v>
      </c>
      <c r="D410" s="1">
        <f ca="1">IFERROR(__xludf.DUMMYFUNCTION("""COMPUTED_VALUE"""),8860314422)</f>
        <v>8860314422</v>
      </c>
      <c r="E410" s="1" t="str">
        <f ca="1">IFERROR(__xludf.DUMMYFUNCTION("""COMPUTED_VALUE"""),"Yes")</f>
        <v>Yes</v>
      </c>
      <c r="F410" s="1" t="str">
        <f ca="1">IFERROR(__xludf.DUMMYFUNCTION("""COMPUTED_VALUE"""),"हिन्दी")</f>
        <v>हिन्दी</v>
      </c>
      <c r="G410" s="1" t="str">
        <f ca="1">IFERROR(__xludf.DUMMYFUNCTION("""COMPUTED_VALUE"""),"आलोक भैया आप ने मैसेज में लिखा था कि शांति कुंज की वेबसाईट फिर से बहाल हो गया है  इसलिए हमने ऐप डाउनलोड नहीं किया और आप को फिर से बुक रिकॉर्ड करने के लिए आप को ईमेल कर दिया")</f>
        <v>आलोक भैया आप ने मैसेज में लिखा था कि शांति कुंज की वेबसाईट फिर से बहाल हो गया है  इसलिए हमने ऐप डाउनलोड नहीं किया और आप को फिर से बुक रिकॉर्ड करने के लिए आप को ईमेल कर दिया</v>
      </c>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f ca="1">IFERROR(__xludf.DUMMYFUNCTION("""COMPUTED_VALUE"""),24)</f>
        <v>24</v>
      </c>
      <c r="BX410" s="1">
        <f ca="1">IFERROR(__xludf.DUMMYFUNCTION("""COMPUTED_VALUE"""),18)</f>
        <v>18</v>
      </c>
      <c r="BY410" s="1">
        <f ca="1">IFERROR(__xludf.DUMMYFUNCTION("""COMPUTED_VALUE"""),7)</f>
        <v>7</v>
      </c>
      <c r="BZ410" s="1">
        <f ca="1">IFERROR(__xludf.DUMMYFUNCTION("""COMPUTED_VALUE"""),5)</f>
        <v>5</v>
      </c>
      <c r="CA410" s="1"/>
      <c r="CB410" s="1"/>
      <c r="CC410" s="1" t="str">
        <f ca="1">IFERROR(__xludf.DUMMYFUNCTION("""COMPUTED_VALUE"""),"इक्कीसवीं सदी मानवीय बुद्धि को चुनौती : Rare Book")</f>
        <v>इक्कीसवीं सदी मानवीय बुद्धि को चुनौती : Rare Book</v>
      </c>
      <c r="CD410" s="3" t="str">
        <f ca="1">IFERROR(__xludf.DUMMYFUNCTION("""COMPUTED_VALUE"""),"https://vicharkrantibooks.org/productdetail?book_name=HINF0120_IKKISAVI_SADI_MANAVIY_BUDDHI_KO_CHUNAUTI_xxyyyy&amp;product_id=340")</f>
        <v>https://vicharkrantibooks.org/productdetail?book_name=HINF0120_IKKISAVI_SADI_MANAVIY_BUDDHI_KO_CHUNAUTI_xxyyyy&amp;product_id=340</v>
      </c>
      <c r="CE410" s="1" t="str">
        <f ca="1">IFERROR(__xludf.DUMMYFUNCTION("""COMPUTED_VALUE"""),"Audiobook : इक्कीसवीं सदी मानवीय बुद्धि को चुनौती : Rare Book : anu161965@gmail.com : Recorded")</f>
        <v>Audiobook : इक्कीसवीं सदी मानवीय बुद्धि को चुनौती : Rare Book : anu161965@gmail.com : Recorded</v>
      </c>
      <c r="CF410" s="1" t="str">
        <f ca="1">IFERROR(__xludf.DUMMYFUNCTION("""COMPUTED_VALUE"""),"Audiobook : इक्कीसवीं सदी मानवीय बुद्धि को चुनौती : Rare Book : anu161965@gmail.com : Recorded")</f>
        <v>Audiobook : इक्कीसवीं सदी मानवीय बुद्धि को चुनौती : Rare Book : anu161965@gmail.com : Recorded</v>
      </c>
      <c r="CG410" s="1" t="str">
        <f ca="1">IFERROR(__xludf.DUMMYFUNCTION("""COMPUTED_VALUE"""),"Adarniya Anureeta awadh ji इक्कीसवीं सदी मानवीय बुद्धि को चुनौती : Rare Book : Allocated on 26-Mar-24 Contact Number  8860314422")</f>
        <v>Adarniya Anureeta awadh ji इक्कीसवीं सदी मानवीय बुद्धि को चुनौती : Rare Book : Allocated on 26-Mar-24 Contact Number  8860314422</v>
      </c>
      <c r="CH410" s="1" t="str">
        <f ca="1">IFERROR(__xludf.DUMMYFUNCTION("""COMPUTED_VALUE"""),"anu161965@gmail.com : इक्कीसवीं सदी मानवीय बुद्धि को चुनौती : Rare Book")</f>
        <v>anu161965@gmail.com : इक्कीसवीं सदी मानवीय बुद्धि को चुनौती : Rare Book</v>
      </c>
      <c r="CI410" s="5">
        <f ca="1">IFERROR(__xludf.DUMMYFUNCTION("""COMPUTED_VALUE"""),45377.6685636574)</f>
        <v>45377.668563657397</v>
      </c>
    </row>
    <row r="411" spans="1:87" x14ac:dyDescent="0.25">
      <c r="A411" s="5">
        <f ca="1">IFERROR(__xludf.DUMMYFUNCTION("""COMPUTED_VALUE"""),45377.3641806944)</f>
        <v>45377.3641806944</v>
      </c>
      <c r="B411" s="1" t="str">
        <f ca="1">IFERROR(__xludf.DUMMYFUNCTION("""COMPUTED_VALUE"""),"druma4107@gmail.com")</f>
        <v>druma4107@gmail.com</v>
      </c>
      <c r="C411" s="1" t="str">
        <f ca="1">IFERROR(__xludf.DUMMYFUNCTION("""COMPUTED_VALUE"""),"Dr Uma Agrawal ")</f>
        <v xml:space="preserve">Dr Uma Agrawal </v>
      </c>
      <c r="D411" s="1">
        <f ca="1">IFERROR(__xludf.DUMMYFUNCTION("""COMPUTED_VALUE"""),9410861182)</f>
        <v>9410861182</v>
      </c>
      <c r="E411" s="1" t="str">
        <f ca="1">IFERROR(__xludf.DUMMYFUNCTION("""COMPUTED_VALUE"""),"Yes")</f>
        <v>Yes</v>
      </c>
      <c r="F411" s="1" t="str">
        <f ca="1">IFERROR(__xludf.DUMMYFUNCTION("""COMPUTED_VALUE"""),"हिन्दी")</f>
        <v>हिन्दी</v>
      </c>
      <c r="G411" s="1" t="str">
        <f ca="1">IFERROR(__xludf.DUMMYFUNCTION("""COMPUTED_VALUE"""),"युग परिवर्तन-विचार क्रांति")</f>
        <v>युग परिवर्तन-विचार क्रांति</v>
      </c>
      <c r="H411" s="1"/>
      <c r="I411" s="1"/>
      <c r="J411" s="1"/>
      <c r="K411" s="1"/>
      <c r="L411" s="1"/>
      <c r="M411" s="1"/>
      <c r="N411" s="1"/>
      <c r="O411" s="1"/>
      <c r="P411" s="1"/>
      <c r="Q411" s="1" t="str">
        <f ca="1">IFERROR(__xludf.DUMMYFUNCTION("""COMPUTED_VALUE"""),"ज्ञानयज्ञ")</f>
        <v>ज्ञानयज्ञ</v>
      </c>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f ca="1">IFERROR(__xludf.DUMMYFUNCTION("""COMPUTED_VALUE"""),104)</f>
        <v>104</v>
      </c>
      <c r="BX411" s="1">
        <f ca="1">IFERROR(__xludf.DUMMYFUNCTION("""COMPUTED_VALUE"""),106)</f>
        <v>106</v>
      </c>
      <c r="BY411" s="1">
        <f ca="1">IFERROR(__xludf.DUMMYFUNCTION("""COMPUTED_VALUE"""),9)</f>
        <v>9</v>
      </c>
      <c r="BZ411" s="1">
        <f ca="1">IFERROR(__xludf.DUMMYFUNCTION("""COMPUTED_VALUE"""),43)</f>
        <v>43</v>
      </c>
      <c r="CA411" s="1"/>
      <c r="CB411" s="1"/>
      <c r="CC411" s="1" t="str">
        <f ca="1">IFERROR(__xludf.DUMMYFUNCTION("""COMPUTED_VALUE"""),"इक्कीसवीं सदी बनाम उज्जवल भविष्य : Rare Book")</f>
        <v>इक्कीसवीं सदी बनाम उज्जवल भविष्य : Rare Book</v>
      </c>
      <c r="CD411" s="3" t="str">
        <f ca="1">IFERROR(__xludf.DUMMYFUNCTION("""COMPUTED_VALUE"""),"https://vicharkrantibooks.org/productdetail?book_name=HINF0118_IKKISAVI_SADI_BANAM_UJJAVAL_BHAVISHY_1st1988&amp;product_id=338")</f>
        <v>https://vicharkrantibooks.org/productdetail?book_name=HINF0118_IKKISAVI_SADI_BANAM_UJJAVAL_BHAVISHY_1st1988&amp;product_id=338</v>
      </c>
      <c r="CE411" s="1" t="str">
        <f ca="1">IFERROR(__xludf.DUMMYFUNCTION("""COMPUTED_VALUE"""),"Audiobook : इक्कीसवीं सदी बनाम उज्जवल भविष्य : Rare Book : druma4107@gmail.com : Recorded")</f>
        <v>Audiobook : इक्कीसवीं सदी बनाम उज्जवल भविष्य : Rare Book : druma4107@gmail.com : Recorded</v>
      </c>
      <c r="CF411" s="1" t="str">
        <f ca="1">IFERROR(__xludf.DUMMYFUNCTION("""COMPUTED_VALUE"""),"Audiobook : इक्कीसवीं सदी बनाम उज्जवल भविष्य : Rare Book : druma4107@gmail.com : Recorded")</f>
        <v>Audiobook : इक्कीसवीं सदी बनाम उज्जवल भविष्य : Rare Book : druma4107@gmail.com : Recorded</v>
      </c>
      <c r="CG411" s="1" t="str">
        <f ca="1">IFERROR(__xludf.DUMMYFUNCTION("""COMPUTED_VALUE"""),"Adarniya Dr Uma Agrawal  ji इक्कीसवीं सदी बनाम उज्जवल भविष्य : Rare Book : Allocated on 26-Mar-24 Contact Number  9410861182")</f>
        <v>Adarniya Dr Uma Agrawal  ji इक्कीसवीं सदी बनाम उज्जवल भविष्य : Rare Book : Allocated on 26-Mar-24 Contact Number  9410861182</v>
      </c>
      <c r="CH411" s="1" t="str">
        <f ca="1">IFERROR(__xludf.DUMMYFUNCTION("""COMPUTED_VALUE"""),"druma4107@gmail.com : इक्कीसवीं सदी बनाम उज्जवल भविष्य : Rare Book")</f>
        <v>druma4107@gmail.com : इक्कीसवीं सदी बनाम उज्जवल भविष्य : Rare Book</v>
      </c>
      <c r="CI411" s="5">
        <f ca="1">IFERROR(__xludf.DUMMYFUNCTION("""COMPUTED_VALUE"""),45377.3641806944)</f>
        <v>45377.3641806944</v>
      </c>
    </row>
    <row r="412" spans="1:87" x14ac:dyDescent="0.25">
      <c r="A412" s="5">
        <f ca="1">IFERROR(__xludf.DUMMYFUNCTION("""COMPUTED_VALUE"""),45375.9349236689)</f>
        <v>45375.934923668901</v>
      </c>
      <c r="B412" s="1" t="str">
        <f ca="1">IFERROR(__xludf.DUMMYFUNCTION("""COMPUTED_VALUE"""),"daleshwary67@gmail.com")</f>
        <v>daleshwary67@gmail.com</v>
      </c>
      <c r="C412" s="1" t="str">
        <f ca="1">IFERROR(__xludf.DUMMYFUNCTION("""COMPUTED_VALUE"""),"daleshwary sharma")</f>
        <v>daleshwary sharma</v>
      </c>
      <c r="D412" s="1">
        <f ca="1">IFERROR(__xludf.DUMMYFUNCTION("""COMPUTED_VALUE"""),8587900034)</f>
        <v>8587900034</v>
      </c>
      <c r="E412" s="1" t="str">
        <f ca="1">IFERROR(__xludf.DUMMYFUNCTION("""COMPUTED_VALUE"""),"No")</f>
        <v>No</v>
      </c>
      <c r="F412" s="1" t="str">
        <f ca="1">IFERROR(__xludf.DUMMYFUNCTION("""COMPUTED_VALUE"""),"हिन्दी")</f>
        <v>हिन्दी</v>
      </c>
      <c r="G412" s="1" t="str">
        <f ca="1">IFERROR(__xludf.DUMMYFUNCTION("""COMPUTED_VALUE"""),"I want to re-record my earlier book")</f>
        <v>I want to re-record my earlier book</v>
      </c>
      <c r="H412" s="1" t="str">
        <f ca="1">IFERROR(__xludf.DUMMYFUNCTION("""COMPUTED_VALUE"""),"उपासना")</f>
        <v>उपासना</v>
      </c>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f ca="1">IFERROR(__xludf.DUMMYFUNCTION("""COMPUTED_VALUE"""),15)</f>
        <v>15</v>
      </c>
      <c r="BX412" s="1">
        <f ca="1">IFERROR(__xludf.DUMMYFUNCTION("""COMPUTED_VALUE"""),9)</f>
        <v>9</v>
      </c>
      <c r="BY412" s="1">
        <f ca="1">IFERROR(__xludf.DUMMYFUNCTION("""COMPUTED_VALUE"""),5)</f>
        <v>5</v>
      </c>
      <c r="BZ412" s="1">
        <f ca="1">IFERROR(__xludf.DUMMYFUNCTION("""COMPUTED_VALUE"""),5)</f>
        <v>5</v>
      </c>
      <c r="CA412" s="1"/>
      <c r="CB412" s="1"/>
      <c r="CC412" s="1" t="str">
        <f ca="1">IFERROR(__xludf.DUMMYFUNCTION("""COMPUTED_VALUE"""),"युग परिवर्तन इस्लामीक दृष्टिकोण : H_BD_23")</f>
        <v>युग परिवर्तन इस्लामीक दृष्टिकोण : H_BD_23</v>
      </c>
      <c r="CD412" s="3" t="str">
        <f ca="1">IFERROR(__xludf.DUMMYFUNCTION("""COMPUTED_VALUE"""),"https://vicharkrantibooks.org/productdetail?book_name=HINP1050_YUG_PARIVARTAN_ISLAMIK_DRUSHTIKON_xx2013&amp;product_id=1615")</f>
        <v>https://vicharkrantibooks.org/productdetail?book_name=HINP1050_YUG_PARIVARTAN_ISLAMIK_DRUSHTIKON_xx2013&amp;product_id=1615</v>
      </c>
      <c r="CE412" s="1" t="str">
        <f ca="1">IFERROR(__xludf.DUMMYFUNCTION("""COMPUTED_VALUE"""),"Audiobook : युग परिवर्तन इस्लामीक दृष्टिकोण : H_BD_23 : daleshwary67@gmail.com : Recorded")</f>
        <v>Audiobook : युग परिवर्तन इस्लामीक दृष्टिकोण : H_BD_23 : daleshwary67@gmail.com : Recorded</v>
      </c>
      <c r="CF412" s="1" t="str">
        <f ca="1">IFERROR(__xludf.DUMMYFUNCTION("""COMPUTED_VALUE"""),"Audiobook : युग परिवर्तन इस्लामीक दृष्टिकोण : H_BD_23 : daleshwary67@gmail.com : Recorded")</f>
        <v>Audiobook : युग परिवर्तन इस्लामीक दृष्टिकोण : H_BD_23 : daleshwary67@gmail.com : Recorded</v>
      </c>
      <c r="CG412" s="1" t="str">
        <f ca="1">IFERROR(__xludf.DUMMYFUNCTION("""COMPUTED_VALUE"""),"Adarniya daleshwary sharma ji युग परिवर्तन इस्लामीक दृष्टिकोण : H_BD_23 : Allocated on 24-Mar-24 Contact Number  8587900034")</f>
        <v>Adarniya daleshwary sharma ji युग परिवर्तन इस्लामीक दृष्टिकोण : H_BD_23 : Allocated on 24-Mar-24 Contact Number  8587900034</v>
      </c>
      <c r="CH412" s="1" t="str">
        <f ca="1">IFERROR(__xludf.DUMMYFUNCTION("""COMPUTED_VALUE"""),"daleshwary67@gmail.com : युग परिवर्तन इस्लामीक दृष्टिकोण : H_BD_23")</f>
        <v>daleshwary67@gmail.com : युग परिवर्तन इस्लामीक दृष्टिकोण : H_BD_23</v>
      </c>
      <c r="CI412" s="5">
        <f ca="1">IFERROR(__xludf.DUMMYFUNCTION("""COMPUTED_VALUE"""),45375.9349236689)</f>
        <v>45375.934923668901</v>
      </c>
    </row>
    <row r="413" spans="1:87" x14ac:dyDescent="0.25">
      <c r="A413" s="5">
        <f ca="1">IFERROR(__xludf.DUMMYFUNCTION("""COMPUTED_VALUE"""),45375.2315142361)</f>
        <v>45375.231514236097</v>
      </c>
      <c r="B413" s="1" t="str">
        <f ca="1">IFERROR(__xludf.DUMMYFUNCTION("""COMPUTED_VALUE"""),"sanjayneha1@yahoo.com")</f>
        <v>sanjayneha1@yahoo.com</v>
      </c>
      <c r="C413" s="1" t="str">
        <f ca="1">IFERROR(__xludf.DUMMYFUNCTION("""COMPUTED_VALUE"""),"Neha Manocha")</f>
        <v>Neha Manocha</v>
      </c>
      <c r="D413" s="1">
        <f ca="1">IFERROR(__xludf.DUMMYFUNCTION("""COMPUTED_VALUE"""),16174130446)</f>
        <v>16174130446</v>
      </c>
      <c r="E413" s="1" t="str">
        <f ca="1">IFERROR(__xludf.DUMMYFUNCTION("""COMPUTED_VALUE"""),"Yes")</f>
        <v>Yes</v>
      </c>
      <c r="F413" s="1" t="str">
        <f ca="1">IFERROR(__xludf.DUMMYFUNCTION("""COMPUTED_VALUE"""),"हिन्दी or English")</f>
        <v>हिन्दी or English</v>
      </c>
      <c r="G413" s="1" t="str">
        <f ca="1">IFERROR(__xludf.DUMMYFUNCTION("""COMPUTED_VALUE"""),"युग द्रष्टा पं. श्रीराम शर्मा आचार्यजी")</f>
        <v>युग द्रष्टा पं. श्रीराम शर्मा आचार्यजी</v>
      </c>
      <c r="H413" s="1"/>
      <c r="I413" s="1"/>
      <c r="J413" s="1"/>
      <c r="K413" s="1"/>
      <c r="L413" s="1"/>
      <c r="M413" s="1"/>
      <c r="N413" s="1"/>
      <c r="O413" s="1"/>
      <c r="P413" s="1" t="str">
        <f ca="1">IFERROR(__xludf.DUMMYFUNCTION("""COMPUTED_VALUE"""),"युगॠषी का जीवनदर्शन")</f>
        <v>युगॠषी का जीवनदर्शन</v>
      </c>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f ca="1">IFERROR(__xludf.DUMMYFUNCTION("""COMPUTED_VALUE"""),33)</f>
        <v>33</v>
      </c>
      <c r="BX413" s="1">
        <f ca="1">IFERROR(__xludf.DUMMYFUNCTION("""COMPUTED_VALUE"""),40)</f>
        <v>40</v>
      </c>
      <c r="BY413" s="1">
        <f ca="1">IFERROR(__xludf.DUMMYFUNCTION("""COMPUTED_VALUE"""),3)</f>
        <v>3</v>
      </c>
      <c r="BZ413" s="1">
        <f ca="1">IFERROR(__xludf.DUMMYFUNCTION("""COMPUTED_VALUE"""),22)</f>
        <v>22</v>
      </c>
      <c r="CA413" s="1"/>
      <c r="CB413" s="1"/>
      <c r="CC413" s="1" t="str">
        <f ca="1">IFERROR(__xludf.DUMMYFUNCTION("""COMPUTED_VALUE"""),"Observe And Enforce In Life : EP_124")</f>
        <v>Observe And Enforce In Life : EP_124</v>
      </c>
      <c r="CD413" s="3" t="str">
        <f ca="1">IFERROR(__xludf.DUMMYFUNCTION("""COMPUTED_VALUE"""),"https://vicharkrantibooks.org/productdetail?book_name=ENGP0609_OBSERVE_AND_ENFORCE_IN_LIFE_xxyyyy&amp;product_id=3509")</f>
        <v>https://vicharkrantibooks.org/productdetail?book_name=ENGP0609_OBSERVE_AND_ENFORCE_IN_LIFE_xxyyyy&amp;product_id=3509</v>
      </c>
      <c r="CE413" s="1" t="str">
        <f ca="1">IFERROR(__xludf.DUMMYFUNCTION("""COMPUTED_VALUE"""),"Audiobook : Observe And Enforce In Life : EP_124 : sanjayneha1@yahoo.com : Recorded")</f>
        <v>Audiobook : Observe And Enforce In Life : EP_124 : sanjayneha1@yahoo.com : Recorded</v>
      </c>
      <c r="CF413" s="1" t="str">
        <f ca="1">IFERROR(__xludf.DUMMYFUNCTION("""COMPUTED_VALUE"""),"Audiobook : Observe And Enforce In Life : EP_124 : sanjayneha1@yahoo.com : Recorded")</f>
        <v>Audiobook : Observe And Enforce In Life : EP_124 : sanjayneha1@yahoo.com : Recorded</v>
      </c>
      <c r="CG413" s="1" t="str">
        <f ca="1">IFERROR(__xludf.DUMMYFUNCTION("""COMPUTED_VALUE"""),"Adarniya Neha Manocha ji Observe And Enforce In Life : EP_124 : Allocated on 24-Mar-24 Contact Number  16174130446")</f>
        <v>Adarniya Neha Manocha ji Observe And Enforce In Life : EP_124 : Allocated on 24-Mar-24 Contact Number  16174130446</v>
      </c>
      <c r="CH413" s="1" t="str">
        <f ca="1">IFERROR(__xludf.DUMMYFUNCTION("""COMPUTED_VALUE"""),"sanjayneha1@yahoo.com : Observe And Enforce In Life : EP_124")</f>
        <v>sanjayneha1@yahoo.com : Observe And Enforce In Life : EP_124</v>
      </c>
      <c r="CI413" s="5">
        <f ca="1">IFERROR(__xludf.DUMMYFUNCTION("""COMPUTED_VALUE"""),45375.2315142361)</f>
        <v>45375.231514236097</v>
      </c>
    </row>
    <row r="414" spans="1:87" x14ac:dyDescent="0.25">
      <c r="A414" s="5">
        <f ca="1">IFERROR(__xludf.DUMMYFUNCTION("""COMPUTED_VALUE"""),45373.2907889467)</f>
        <v>45373.290788946702</v>
      </c>
      <c r="B414" s="1" t="str">
        <f ca="1">IFERROR(__xludf.DUMMYFUNCTION("""COMPUTED_VALUE"""),"sneha09.here@gmail.com")</f>
        <v>sneha09.here@gmail.com</v>
      </c>
      <c r="C414" s="1" t="str">
        <f ca="1">IFERROR(__xludf.DUMMYFUNCTION("""COMPUTED_VALUE"""),"Sneha Chaudhari")</f>
        <v>Sneha Chaudhari</v>
      </c>
      <c r="D414" s="1" t="str">
        <f ca="1">IFERROR(__xludf.DUMMYFUNCTION("""COMPUTED_VALUE"""),"+12243245848")</f>
        <v>+12243245848</v>
      </c>
      <c r="E414" s="1" t="str">
        <f ca="1">IFERROR(__xludf.DUMMYFUNCTION("""COMPUTED_VALUE"""),"Not Relevant")</f>
        <v>Not Relevant</v>
      </c>
      <c r="F414" s="1" t="str">
        <f ca="1">IFERROR(__xludf.DUMMYFUNCTION("""COMPUTED_VALUE"""),"गुजराती")</f>
        <v>गुजराती</v>
      </c>
      <c r="G414" s="1" t="str">
        <f ca="1">IFERROR(__xludf.DUMMYFUNCTION("""COMPUTED_VALUE"""),"युग द्रष्टा पं. श्रीराम शर्मा आचार्यजी")</f>
        <v>युग द्रष्टा पं. श्रीराम शर्मा आचार्यजी</v>
      </c>
      <c r="H414" s="1"/>
      <c r="I414" s="1"/>
      <c r="J414" s="1"/>
      <c r="K414" s="1"/>
      <c r="L414" s="1"/>
      <c r="M414" s="1"/>
      <c r="N414" s="1"/>
      <c r="O414" s="1"/>
      <c r="P414" s="1" t="str">
        <f ca="1">IFERROR(__xludf.DUMMYFUNCTION("""COMPUTED_VALUE"""),"युगॠषी की अमृतवाणी")</f>
        <v>युगॠषी की अमृतवाणी</v>
      </c>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f ca="1">IFERROR(__xludf.DUMMYFUNCTION("""COMPUTED_VALUE"""),3)</f>
        <v>3</v>
      </c>
      <c r="BX414" s="1">
        <f ca="1">IFERROR(__xludf.DUMMYFUNCTION("""COMPUTED_VALUE"""),3)</f>
        <v>3</v>
      </c>
      <c r="BY414" s="1">
        <f ca="1">IFERROR(__xludf.DUMMYFUNCTION("""COMPUTED_VALUE"""),1)</f>
        <v>1</v>
      </c>
      <c r="BZ414" s="1">
        <f ca="1">IFERROR(__xludf.DUMMYFUNCTION("""COMPUTED_VALUE"""),0)</f>
        <v>0</v>
      </c>
      <c r="CA414" s="1"/>
      <c r="CB414" s="1"/>
      <c r="CC414" s="1" t="str">
        <f ca="1">IFERROR(__xludf.DUMMYFUNCTION("""COMPUTED_VALUE"""),"યુગઋષિની જન્મશતાબ્દી : G_PP_74")</f>
        <v>યુગઋષિની જન્મશતાબ્દી : G_PP_74</v>
      </c>
      <c r="CD414" s="3" t="str">
        <f ca="1">IFERROR(__xludf.DUMMYFUNCTION("""COMPUTED_VALUE"""),"https://vicharkrantibooks.org/productdetail?book_name=GUJP1068_YUGRUSHINI_JANMASHATABDI_XXYYYY&amp;product_id=3978")</f>
        <v>https://vicharkrantibooks.org/productdetail?book_name=GUJP1068_YUGRUSHINI_JANMASHATABDI_XXYYYY&amp;product_id=3978</v>
      </c>
      <c r="CE414" s="1"/>
      <c r="CF414" s="1" t="str">
        <f ca="1">IFERROR(__xludf.DUMMYFUNCTION("""COMPUTED_VALUE"""),"#N/A")</f>
        <v>#N/A</v>
      </c>
      <c r="CG414" s="1" t="str">
        <f ca="1">IFERROR(__xludf.DUMMYFUNCTION("""COMPUTED_VALUE"""),"Adarniya Sneha Chaudhari ji યુગઋષિની જન્મશતાબ્દી : G_PP_74 : Allocated on 22-Mar-24 Contact Number  +12243245848")</f>
        <v>Adarniya Sneha Chaudhari ji યુગઋષિની જન્મશતાબ્દી : G_PP_74 : Allocated on 22-Mar-24 Contact Number  +12243245848</v>
      </c>
      <c r="CH414" s="1" t="str">
        <f ca="1">IFERROR(__xludf.DUMMYFUNCTION("""COMPUTED_VALUE"""),"sneha09.here@gmail.com : યુગઋષિની જન્મશતાબ્દી : G_PP_74")</f>
        <v>sneha09.here@gmail.com : યુગઋષિની જન્મશતાબ્દી : G_PP_74</v>
      </c>
      <c r="CI414" s="5">
        <f ca="1">IFERROR(__xludf.DUMMYFUNCTION("""COMPUTED_VALUE"""),45373.2907889467)</f>
        <v>45373.290788946702</v>
      </c>
    </row>
    <row r="415" spans="1:87" x14ac:dyDescent="0.25">
      <c r="A415" s="5">
        <f ca="1">IFERROR(__xludf.DUMMYFUNCTION("""COMPUTED_VALUE"""),45372.9880275115)</f>
        <v>45372.988027511499</v>
      </c>
      <c r="B415" s="1" t="str">
        <f ca="1">IFERROR(__xludf.DUMMYFUNCTION("""COMPUTED_VALUE"""),"druma4107@gmail.com")</f>
        <v>druma4107@gmail.com</v>
      </c>
      <c r="C415" s="1" t="str">
        <f ca="1">IFERROR(__xludf.DUMMYFUNCTION("""COMPUTED_VALUE"""),"Dr Uma Agrawal ")</f>
        <v xml:space="preserve">Dr Uma Agrawal </v>
      </c>
      <c r="D415" s="1">
        <f ca="1">IFERROR(__xludf.DUMMYFUNCTION("""COMPUTED_VALUE"""),9410861182)</f>
        <v>9410861182</v>
      </c>
      <c r="E415" s="1" t="str">
        <f ca="1">IFERROR(__xludf.DUMMYFUNCTION("""COMPUTED_VALUE"""),"Yes")</f>
        <v>Yes</v>
      </c>
      <c r="F415" s="1" t="str">
        <f ca="1">IFERROR(__xludf.DUMMYFUNCTION("""COMPUTED_VALUE"""),"हिन्दी")</f>
        <v>हिन्दी</v>
      </c>
      <c r="G415" s="1" t="str">
        <f ca="1">IFERROR(__xludf.DUMMYFUNCTION("""COMPUTED_VALUE"""),"युग परिवर्तन-विचार क्रांति")</f>
        <v>युग परिवर्तन-विचार क्रांति</v>
      </c>
      <c r="H415" s="1"/>
      <c r="I415" s="1"/>
      <c r="J415" s="1"/>
      <c r="K415" s="1"/>
      <c r="L415" s="1"/>
      <c r="M415" s="1"/>
      <c r="N415" s="1"/>
      <c r="O415" s="1"/>
      <c r="P415" s="1"/>
      <c r="Q415" s="1" t="str">
        <f ca="1">IFERROR(__xludf.DUMMYFUNCTION("""COMPUTED_VALUE"""),"ज्ञानयज्ञ")</f>
        <v>ज्ञानयज्ञ</v>
      </c>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f ca="1">IFERROR(__xludf.DUMMYFUNCTION("""COMPUTED_VALUE"""),104)</f>
        <v>104</v>
      </c>
      <c r="BX415" s="1">
        <f ca="1">IFERROR(__xludf.DUMMYFUNCTION("""COMPUTED_VALUE"""),106)</f>
        <v>106</v>
      </c>
      <c r="BY415" s="1">
        <f ca="1">IFERROR(__xludf.DUMMYFUNCTION("""COMPUTED_VALUE"""),9)</f>
        <v>9</v>
      </c>
      <c r="BZ415" s="1">
        <f ca="1">IFERROR(__xludf.DUMMYFUNCTION("""COMPUTED_VALUE"""),43)</f>
        <v>43</v>
      </c>
      <c r="CA415" s="1"/>
      <c r="CB415" s="1"/>
      <c r="CC415" s="1" t="str">
        <f ca="1">IFERROR(__xludf.DUMMYFUNCTION("""COMPUTED_VALUE"""),"ज्ञानदान इस युग का सबसे बड़ा परोपकार : Rare Book")</f>
        <v>ज्ञानदान इस युग का सबसे बड़ा परोपकार : Rare Book</v>
      </c>
      <c r="CD415" s="3" t="str">
        <f ca="1">IFERROR(__xludf.DUMMYFUNCTION("""COMPUTED_VALUE"""),"https://vicharkrantibooks.org/productdetail?book_name=HINP0324_GYANADAN_IS_YUG_KA_SABASE_BADA_PAROPAKAR_xxyyyy&amp;product_id=889")</f>
        <v>https://vicharkrantibooks.org/productdetail?book_name=HINP0324_GYANADAN_IS_YUG_KA_SABASE_BADA_PAROPAKAR_xxyyyy&amp;product_id=889</v>
      </c>
      <c r="CE415" s="1" t="str">
        <f ca="1">IFERROR(__xludf.DUMMYFUNCTION("""COMPUTED_VALUE"""),"Audiobook : ज्ञानदान इस युग का सबसे बड़ा परोपकार : Rare Book : druma4107@gmail.com : Recorded")</f>
        <v>Audiobook : ज्ञानदान इस युग का सबसे बड़ा परोपकार : Rare Book : druma4107@gmail.com : Recorded</v>
      </c>
      <c r="CF415" s="1" t="str">
        <f ca="1">IFERROR(__xludf.DUMMYFUNCTION("""COMPUTED_VALUE"""),"Audiobook : ज्ञानदान इस युग का सबसे बड़ा परोपकार : Rare Book : druma4107@gmail.com : Recorded")</f>
        <v>Audiobook : ज्ञानदान इस युग का सबसे बड़ा परोपकार : Rare Book : druma4107@gmail.com : Recorded</v>
      </c>
      <c r="CG415" s="1" t="str">
        <f ca="1">IFERROR(__xludf.DUMMYFUNCTION("""COMPUTED_VALUE"""),"Adarniya Dr Uma Agrawal  ji ज्ञानदान इस युग का सबसे बड़ा परोपकार : Rare Book : Allocated on 21-Mar-24 Contact Number  9410861182")</f>
        <v>Adarniya Dr Uma Agrawal  ji ज्ञानदान इस युग का सबसे बड़ा परोपकार : Rare Book : Allocated on 21-Mar-24 Contact Number  9410861182</v>
      </c>
      <c r="CH415" s="1" t="str">
        <f ca="1">IFERROR(__xludf.DUMMYFUNCTION("""COMPUTED_VALUE"""),"druma4107@gmail.com : ज्ञानदान इस युग का सबसे बड़ा परोपकार : Rare Book")</f>
        <v>druma4107@gmail.com : ज्ञानदान इस युग का सबसे बड़ा परोपकार : Rare Book</v>
      </c>
      <c r="CI415" s="5">
        <f ca="1">IFERROR(__xludf.DUMMYFUNCTION("""COMPUTED_VALUE"""),45372.9880275115)</f>
        <v>45372.988027511499</v>
      </c>
    </row>
    <row r="416" spans="1:87" x14ac:dyDescent="0.25">
      <c r="A416" s="5">
        <f ca="1">IFERROR(__xludf.DUMMYFUNCTION("""COMPUTED_VALUE"""),45372.9628625231)</f>
        <v>45372.962862523098</v>
      </c>
      <c r="B416" s="1" t="str">
        <f ca="1">IFERROR(__xludf.DUMMYFUNCTION("""COMPUTED_VALUE"""),"madhuindia194@gmail.com")</f>
        <v>madhuindia194@gmail.com</v>
      </c>
      <c r="C416" s="1" t="str">
        <f ca="1">IFERROR(__xludf.DUMMYFUNCTION("""COMPUTED_VALUE"""),"Madhu Akshay Sharma ")</f>
        <v xml:space="preserve">Madhu Akshay Sharma </v>
      </c>
      <c r="D416" s="1">
        <f ca="1">IFERROR(__xludf.DUMMYFUNCTION("""COMPUTED_VALUE"""),9425084445)</f>
        <v>9425084445</v>
      </c>
      <c r="E416" s="1"/>
      <c r="F416" s="1" t="str">
        <f ca="1">IFERROR(__xludf.DUMMYFUNCTION("""COMPUTED_VALUE"""),"English")</f>
        <v>English</v>
      </c>
      <c r="G416" s="1" t="str">
        <f ca="1">IFERROR(__xludf.DUMMYFUNCTION("""COMPUTED_VALUE"""),"English")</f>
        <v>English</v>
      </c>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f ca="1">IFERROR(__xludf.DUMMYFUNCTION("""COMPUTED_VALUE"""),1)</f>
        <v>1</v>
      </c>
      <c r="BX416" s="1">
        <f ca="1">IFERROR(__xludf.DUMMYFUNCTION("""COMPUTED_VALUE"""),0)</f>
        <v>0</v>
      </c>
      <c r="BY416" s="1">
        <f ca="1">IFERROR(__xludf.DUMMYFUNCTION("""COMPUTED_VALUE"""),1)</f>
        <v>1</v>
      </c>
      <c r="BZ416" s="1">
        <f ca="1">IFERROR(__xludf.DUMMYFUNCTION("""COMPUTED_VALUE"""),0)</f>
        <v>0</v>
      </c>
      <c r="CA416" s="1"/>
      <c r="CB416" s="1"/>
      <c r="CC416" s="1" t="str">
        <f ca="1">IFERROR(__xludf.DUMMYFUNCTION("""COMPUTED_VALUE"""),"No Other Way Except Women Evolution : EP_116")</f>
        <v>No Other Way Except Women Evolution : EP_116</v>
      </c>
      <c r="CD416" s="3" t="str">
        <f ca="1">IFERROR(__xludf.DUMMYFUNCTION("""COMPUTED_VALUE"""),"https://vicharkrantibooks.org/productdetail?book_name=ENGP0584_NO_OTHER_WAY_EXCEPT_WOMEN_EVOLUTION_xxyyyy&amp;product_id=3501")</f>
        <v>https://vicharkrantibooks.org/productdetail?book_name=ENGP0584_NO_OTHER_WAY_EXCEPT_WOMEN_EVOLUTION_xxyyyy&amp;product_id=3501</v>
      </c>
      <c r="CE416" s="1" t="str">
        <f ca="1">IFERROR(__xludf.DUMMYFUNCTION("""COMPUTED_VALUE"""),"Audiobook : No Other Way Except Women Evolution : EP_116 : madhuindia194@gmail.com : Recorded")</f>
        <v>Audiobook : No Other Way Except Women Evolution : EP_116 : madhuindia194@gmail.com : Recorded</v>
      </c>
      <c r="CF416" s="1" t="str">
        <f ca="1">IFERROR(__xludf.DUMMYFUNCTION("""COMPUTED_VALUE"""),"#N/A")</f>
        <v>#N/A</v>
      </c>
      <c r="CG416" s="1" t="str">
        <f ca="1">IFERROR(__xludf.DUMMYFUNCTION("""COMPUTED_VALUE"""),"Adarniya Madhu Akshay Sharma  ji No Other Way Except Women Evolution : EP_116 : Allocated on 21-Mar-24 Contact Number  9425084445")</f>
        <v>Adarniya Madhu Akshay Sharma  ji No Other Way Except Women Evolution : EP_116 : Allocated on 21-Mar-24 Contact Number  9425084445</v>
      </c>
      <c r="CH416" s="1" t="str">
        <f ca="1">IFERROR(__xludf.DUMMYFUNCTION("""COMPUTED_VALUE"""),"madhuindia194@gmail.com : No Other Way Except Women Evolution : EP_116")</f>
        <v>madhuindia194@gmail.com : No Other Way Except Women Evolution : EP_116</v>
      </c>
      <c r="CI416" s="5">
        <f ca="1">IFERROR(__xludf.DUMMYFUNCTION("""COMPUTED_VALUE"""),45372.9628625231)</f>
        <v>45372.962862523098</v>
      </c>
    </row>
    <row r="417" spans="1:87" x14ac:dyDescent="0.25">
      <c r="A417" s="5">
        <f ca="1">IFERROR(__xludf.DUMMYFUNCTION("""COMPUTED_VALUE"""),45372.7048469213)</f>
        <v>45372.704846921297</v>
      </c>
      <c r="B417" s="1" t="str">
        <f ca="1">IFERROR(__xludf.DUMMYFUNCTION("""COMPUTED_VALUE"""),"guptarakhi072@gmail.com")</f>
        <v>guptarakhi072@gmail.com</v>
      </c>
      <c r="C417" s="1" t="str">
        <f ca="1">IFERROR(__xludf.DUMMYFUNCTION("""COMPUTED_VALUE"""),"राखी गुप्ता ")</f>
        <v xml:space="preserve">राखी गुप्ता </v>
      </c>
      <c r="D417" s="1">
        <f ca="1">IFERROR(__xludf.DUMMYFUNCTION("""COMPUTED_VALUE"""),8128540757)</f>
        <v>8128540757</v>
      </c>
      <c r="E417" s="1"/>
      <c r="F417" s="1" t="str">
        <f ca="1">IFERROR(__xludf.DUMMYFUNCTION("""COMPUTED_VALUE"""),"हिन्दी")</f>
        <v>हिन्दी</v>
      </c>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f ca="1">IFERROR(__xludf.DUMMYFUNCTION("""COMPUTED_VALUE"""),21)</f>
        <v>21</v>
      </c>
      <c r="BX417" s="1">
        <f ca="1">IFERROR(__xludf.DUMMYFUNCTION("""COMPUTED_VALUE"""),20)</f>
        <v>20</v>
      </c>
      <c r="BY417" s="1">
        <f ca="1">IFERROR(__xludf.DUMMYFUNCTION("""COMPUTED_VALUE"""),2)</f>
        <v>2</v>
      </c>
      <c r="BZ417" s="1">
        <f ca="1">IFERROR(__xludf.DUMMYFUNCTION("""COMPUTED_VALUE"""),14)</f>
        <v>14</v>
      </c>
      <c r="CA417" s="1"/>
      <c r="CB417" s="1"/>
      <c r="CC417" s="1" t="str">
        <f ca="1">IFERROR(__xludf.DUMMYFUNCTION("""COMPUTED_VALUE"""),"संस्कृति की सीता को वापस लाएँ : H_JS_99")</f>
        <v>संस्कृति की सीता को वापस लाएँ : H_JS_99</v>
      </c>
      <c r="CD417" s="3" t="str">
        <f ca="1">IFERROR(__xludf.DUMMYFUNCTION("""COMPUTED_VALUE"""),"https://vicharkrantibooks.org/productdetail?book_name=HINP0791_SANSKRUTI_KI_SITA_KO_VAPAS_LAEN_xx2011&amp;product_id=1356")</f>
        <v>https://vicharkrantibooks.org/productdetail?book_name=HINP0791_SANSKRUTI_KI_SITA_KO_VAPAS_LAEN_xx2011&amp;product_id=1356</v>
      </c>
      <c r="CE417" s="1" t="str">
        <f ca="1">IFERROR(__xludf.DUMMYFUNCTION("""COMPUTED_VALUE"""),"Audiobook : संस्कृति की सीता को वापस लाएँ : H_JS_99 : guptarakhi072@gmail.com : Recorded")</f>
        <v>Audiobook : संस्कृति की सीता को वापस लाएँ : H_JS_99 : guptarakhi072@gmail.com : Recorded</v>
      </c>
      <c r="CF417" s="1" t="str">
        <f ca="1">IFERROR(__xludf.DUMMYFUNCTION("""COMPUTED_VALUE"""),"Audiobook : संस्कृति की सीता को वापस लाएँ : H_JS_99 : guptarakhi072@gmail.com : Recorded")</f>
        <v>Audiobook : संस्कृति की सीता को वापस लाएँ : H_JS_99 : guptarakhi072@gmail.com : Recorded</v>
      </c>
      <c r="CG417" s="1" t="str">
        <f ca="1">IFERROR(__xludf.DUMMYFUNCTION("""COMPUTED_VALUE"""),"Adarniya राखी गुप्ता  ji संस्कृति की सीता को वापस लाएँ : H_JS_99 : Allocated on 21-Mar-24 Contact Number  8128540757")</f>
        <v>Adarniya राखी गुप्ता  ji संस्कृति की सीता को वापस लाएँ : H_JS_99 : Allocated on 21-Mar-24 Contact Number  8128540757</v>
      </c>
      <c r="CH417" s="1" t="str">
        <f ca="1">IFERROR(__xludf.DUMMYFUNCTION("""COMPUTED_VALUE"""),"guptarakhi072@gmail.com : संस्कृति की सीता को वापस लाएँ : H_JS_99")</f>
        <v>guptarakhi072@gmail.com : संस्कृति की सीता को वापस लाएँ : H_JS_99</v>
      </c>
      <c r="CI417" s="5">
        <f ca="1">IFERROR(__xludf.DUMMYFUNCTION("""COMPUTED_VALUE"""),45372.7048469213)</f>
        <v>45372.704846921297</v>
      </c>
    </row>
    <row r="418" spans="1:87" x14ac:dyDescent="0.25">
      <c r="A418" s="5">
        <f ca="1">IFERROR(__xludf.DUMMYFUNCTION("""COMPUTED_VALUE"""),45372.6532745949)</f>
        <v>45372.653274594901</v>
      </c>
      <c r="B418" s="1" t="str">
        <f ca="1">IFERROR(__xludf.DUMMYFUNCTION("""COMPUTED_VALUE"""),"rajniverma24.vns@gmail.com")</f>
        <v>rajniverma24.vns@gmail.com</v>
      </c>
      <c r="C418" s="1" t="str">
        <f ca="1">IFERROR(__xludf.DUMMYFUNCTION("""COMPUTED_VALUE"""),"Rajni varma")</f>
        <v>Rajni varma</v>
      </c>
      <c r="D418" s="1">
        <f ca="1">IFERROR(__xludf.DUMMYFUNCTION("""COMPUTED_VALUE"""),9335661433)</f>
        <v>9335661433</v>
      </c>
      <c r="E418" s="1"/>
      <c r="F418" s="1" t="str">
        <f ca="1">IFERROR(__xludf.DUMMYFUNCTION("""COMPUTED_VALUE"""),"हिन्दी")</f>
        <v>हिन्दी</v>
      </c>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f ca="1">IFERROR(__xludf.DUMMYFUNCTION("""COMPUTED_VALUE"""),9)</f>
        <v>9</v>
      </c>
      <c r="BX418" s="1">
        <f ca="1">IFERROR(__xludf.DUMMYFUNCTION("""COMPUTED_VALUE"""),6)</f>
        <v>6</v>
      </c>
      <c r="BY418" s="1">
        <f ca="1">IFERROR(__xludf.DUMMYFUNCTION("""COMPUTED_VALUE"""),3)</f>
        <v>3</v>
      </c>
      <c r="BZ418" s="1">
        <f ca="1">IFERROR(__xludf.DUMMYFUNCTION("""COMPUTED_VALUE"""),1)</f>
        <v>1</v>
      </c>
      <c r="CA418" s="1"/>
      <c r="CB418" s="1"/>
      <c r="CC418" s="1" t="str">
        <f ca="1">IFERROR(__xludf.DUMMYFUNCTION("""COMPUTED_VALUE"""),"एकाग्रता का अर्थ स्थिरता नहीं तन्मयता : Rare Book")</f>
        <v>एकाग्रता का अर्थ स्थिरता नहीं तन्मयता : Rare Book</v>
      </c>
      <c r="CD418" s="3" t="str">
        <f ca="1">IFERROR(__xludf.DUMMYFUNCTION("""COMPUTED_VALUE"""),"https://vicharkrantibooks.org/productdetail?book_name=HINP0270_EKAGRATA_KA_ARTH_STHIRATA_NAHIN_TANMAYATA_xx1979&amp;product_id=835")</f>
        <v>https://vicharkrantibooks.org/productdetail?book_name=HINP0270_EKAGRATA_KA_ARTH_STHIRATA_NAHIN_TANMAYATA_xx1979&amp;product_id=835</v>
      </c>
      <c r="CE418" s="1" t="str">
        <f ca="1">IFERROR(__xludf.DUMMYFUNCTION("""COMPUTED_VALUE"""),"Audiobook : एकाग्रता का अर्थ स्थिरता नहीं तन्मयता : Rare Book : rajniverma24.vns@gmail.com : Recorded")</f>
        <v>Audiobook : एकाग्रता का अर्थ स्थिरता नहीं तन्मयता : Rare Book : rajniverma24.vns@gmail.com : Recorded</v>
      </c>
      <c r="CF418" s="1" t="str">
        <f ca="1">IFERROR(__xludf.DUMMYFUNCTION("""COMPUTED_VALUE"""),"#N/A")</f>
        <v>#N/A</v>
      </c>
      <c r="CG418" s="1" t="str">
        <f ca="1">IFERROR(__xludf.DUMMYFUNCTION("""COMPUTED_VALUE"""),"Adarniya Rajni varma ji एकाग्रता का अर्थ स्थिरता नहीं तन्मयता : Rare Book : Allocated on 21-Mar-24 Contact Number  9335661433")</f>
        <v>Adarniya Rajni varma ji एकाग्रता का अर्थ स्थिरता नहीं तन्मयता : Rare Book : Allocated on 21-Mar-24 Contact Number  9335661433</v>
      </c>
      <c r="CH418" s="1" t="str">
        <f ca="1">IFERROR(__xludf.DUMMYFUNCTION("""COMPUTED_VALUE"""),"rajniverma24.vns@gmail.com : एकाग्रता का अर्थ स्थिरता नहीं तन्मयता : Rare Book")</f>
        <v>rajniverma24.vns@gmail.com : एकाग्रता का अर्थ स्थिरता नहीं तन्मयता : Rare Book</v>
      </c>
      <c r="CI418" s="5">
        <f ca="1">IFERROR(__xludf.DUMMYFUNCTION("""COMPUTED_VALUE"""),45372.6532745949)</f>
        <v>45372.653274594901</v>
      </c>
    </row>
    <row r="419" spans="1:87" x14ac:dyDescent="0.25">
      <c r="A419" s="5">
        <f ca="1">IFERROR(__xludf.DUMMYFUNCTION("""COMPUTED_VALUE"""),45372.6474661342)</f>
        <v>45372.6474661342</v>
      </c>
      <c r="B419" s="1" t="str">
        <f ca="1">IFERROR(__xludf.DUMMYFUNCTION("""COMPUTED_VALUE"""),"vishalkumaryadav20101996@gmail.com")</f>
        <v>vishalkumaryadav20101996@gmail.com</v>
      </c>
      <c r="C419" s="1" t="str">
        <f ca="1">IFERROR(__xludf.DUMMYFUNCTION("""COMPUTED_VALUE"""),"Vishal Kumar ")</f>
        <v xml:space="preserve">Vishal Kumar </v>
      </c>
      <c r="D419" s="1">
        <f ca="1">IFERROR(__xludf.DUMMYFUNCTION("""COMPUTED_VALUE"""),8540833545)</f>
        <v>8540833545</v>
      </c>
      <c r="E419" s="1"/>
      <c r="F419" s="1" t="str">
        <f ca="1">IFERROR(__xludf.DUMMYFUNCTION("""COMPUTED_VALUE"""),"हिन्दी")</f>
        <v>हिन्दी</v>
      </c>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f ca="1">IFERROR(__xludf.DUMMYFUNCTION("""COMPUTED_VALUE"""),1)</f>
        <v>1</v>
      </c>
      <c r="BX419" s="1">
        <f ca="1">IFERROR(__xludf.DUMMYFUNCTION("""COMPUTED_VALUE"""),0)</f>
        <v>0</v>
      </c>
      <c r="BY419" s="1">
        <f ca="1">IFERROR(__xludf.DUMMYFUNCTION("""COMPUTED_VALUE"""),1)</f>
        <v>1</v>
      </c>
      <c r="BZ419" s="1">
        <f ca="1">IFERROR(__xludf.DUMMYFUNCTION("""COMPUTED_VALUE"""),0)</f>
        <v>0</v>
      </c>
      <c r="CA419" s="1"/>
      <c r="CB419" s="1"/>
      <c r="CC419" s="1" t="str">
        <f ca="1">IFERROR(__xludf.DUMMYFUNCTION("""COMPUTED_VALUE"""),"कठिनाइयाँ व्यक्तित्व को प्रखर बनाती है : Rare Book")</f>
        <v>कठिनाइयाँ व्यक्तित्व को प्रखर बनाती है : Rare Book</v>
      </c>
      <c r="CD419" s="3" t="str">
        <f ca="1">IFERROR(__xludf.DUMMYFUNCTION("""COMPUTED_VALUE"""),"https://vicharkrantibooks.org/productdetail?book_name=HINP0431_KATHINAIYAN_VYAKTITV_KO_PRAKHAR_BANATI_HAI_xx1978&amp;product_id=996")</f>
        <v>https://vicharkrantibooks.org/productdetail?book_name=HINP0431_KATHINAIYAN_VYAKTITV_KO_PRAKHAR_BANATI_HAI_xx1978&amp;product_id=996</v>
      </c>
      <c r="CE419" s="1" t="str">
        <f ca="1">IFERROR(__xludf.DUMMYFUNCTION("""COMPUTED_VALUE"""),"Audiobook : कठिनाइयाँ व्यक्तित्व को प्रखर बनाती है : Rare Book : vishalkumaryadav20101996@gmail.com : Recorded")</f>
        <v>Audiobook : कठिनाइयाँ व्यक्तित्व को प्रखर बनाती है : Rare Book : vishalkumaryadav20101996@gmail.com : Recorded</v>
      </c>
      <c r="CF419" s="1" t="str">
        <f ca="1">IFERROR(__xludf.DUMMYFUNCTION("""COMPUTED_VALUE"""),"#N/A")</f>
        <v>#N/A</v>
      </c>
      <c r="CG419" s="1" t="str">
        <f ca="1">IFERROR(__xludf.DUMMYFUNCTION("""COMPUTED_VALUE"""),"Adarniya Vishal Kumar  ji कठिनाइयाँ व्यक्तित्व को प्रखर बनाती है : Rare Book : Allocated on 21-Mar-24 Contact Number  8540833545")</f>
        <v>Adarniya Vishal Kumar  ji कठिनाइयाँ व्यक्तित्व को प्रखर बनाती है : Rare Book : Allocated on 21-Mar-24 Contact Number  8540833545</v>
      </c>
      <c r="CH419" s="1" t="str">
        <f ca="1">IFERROR(__xludf.DUMMYFUNCTION("""COMPUTED_VALUE"""),"vishalkumaryadav20101996@gmail.com : कठिनाइयाँ व्यक्तित्व को प्रखर बनाती है : Rare Book")</f>
        <v>vishalkumaryadav20101996@gmail.com : कठिनाइयाँ व्यक्तित्व को प्रखर बनाती है : Rare Book</v>
      </c>
      <c r="CI419" s="5">
        <f ca="1">IFERROR(__xludf.DUMMYFUNCTION("""COMPUTED_VALUE"""),45372.6474661342)</f>
        <v>45372.6474661342</v>
      </c>
    </row>
    <row r="420" spans="1:87" x14ac:dyDescent="0.25">
      <c r="A420" s="5">
        <f ca="1">IFERROR(__xludf.DUMMYFUNCTION("""COMPUTED_VALUE"""),45372.6310001851)</f>
        <v>45372.631000185102</v>
      </c>
      <c r="B420" s="1" t="str">
        <f ca="1">IFERROR(__xludf.DUMMYFUNCTION("""COMPUTED_VALUE"""),"shwetalirane26@gmail.com")</f>
        <v>shwetalirane26@gmail.com</v>
      </c>
      <c r="C420" s="1" t="str">
        <f ca="1">IFERROR(__xludf.DUMMYFUNCTION("""COMPUTED_VALUE"""),"Shwetali Rane ")</f>
        <v xml:space="preserve">Shwetali Rane </v>
      </c>
      <c r="D420" s="1">
        <f ca="1">IFERROR(__xludf.DUMMYFUNCTION("""COMPUTED_VALUE"""),9930999578)</f>
        <v>9930999578</v>
      </c>
      <c r="E420" s="1"/>
      <c r="F420" s="1" t="str">
        <f ca="1">IFERROR(__xludf.DUMMYFUNCTION("""COMPUTED_VALUE"""),"हिन्दी, मराठी")</f>
        <v>हिन्दी, मराठी</v>
      </c>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f ca="1">IFERROR(__xludf.DUMMYFUNCTION("""COMPUTED_VALUE"""),2)</f>
        <v>2</v>
      </c>
      <c r="BX420" s="1">
        <f ca="1">IFERROR(__xludf.DUMMYFUNCTION("""COMPUTED_VALUE"""),3)</f>
        <v>3</v>
      </c>
      <c r="BY420" s="1">
        <f ca="1">IFERROR(__xludf.DUMMYFUNCTION("""COMPUTED_VALUE"""),1)</f>
        <v>1</v>
      </c>
      <c r="BZ420" s="1">
        <f ca="1">IFERROR(__xludf.DUMMYFUNCTION("""COMPUTED_VALUE"""),0)</f>
        <v>0</v>
      </c>
      <c r="CA420" s="1"/>
      <c r="CB420" s="1"/>
      <c r="CC420" s="1" t="str">
        <f ca="1">IFERROR(__xludf.DUMMYFUNCTION("""COMPUTED_VALUE"""),"सफलतेची जननी संकल्प शक्ती : MR_150")</f>
        <v>सफलतेची जननी संकल्प शक्ती : MR_150</v>
      </c>
      <c r="CD420" s="3" t="str">
        <f ca="1">IFERROR(__xludf.DUMMYFUNCTION("""COMPUTED_VALUE"""),"https://vicharkrantibooks.org/productdetail?book_name=MRTP0810_SAPHALATECHI_JANANI_SANKALP_SHAKTI_XXYYYY&amp;product_id=4346")</f>
        <v>https://vicharkrantibooks.org/productdetail?book_name=MRTP0810_SAPHALATECHI_JANANI_SANKALP_SHAKTI_XXYYYY&amp;product_id=4346</v>
      </c>
      <c r="CE420" s="1"/>
      <c r="CF420" s="1" t="str">
        <f ca="1">IFERROR(__xludf.DUMMYFUNCTION("""COMPUTED_VALUE"""),"#N/A")</f>
        <v>#N/A</v>
      </c>
      <c r="CG420" s="1" t="str">
        <f ca="1">IFERROR(__xludf.DUMMYFUNCTION("""COMPUTED_VALUE"""),"Adarniya Shwetali Rane  ji सफलतेची जननी संकल्प शक्ती : MR_150 : Allocated on 21-Mar-24 Contact Number  9930999578")</f>
        <v>Adarniya Shwetali Rane  ji सफलतेची जननी संकल्प शक्ती : MR_150 : Allocated on 21-Mar-24 Contact Number  9930999578</v>
      </c>
      <c r="CH420" s="1" t="str">
        <f ca="1">IFERROR(__xludf.DUMMYFUNCTION("""COMPUTED_VALUE"""),"shwetalirane26@gmail.com : सफलतेची जननी संकल्प शक्ती : MR_150")</f>
        <v>shwetalirane26@gmail.com : सफलतेची जननी संकल्प शक्ती : MR_150</v>
      </c>
      <c r="CI420" s="5">
        <f ca="1">IFERROR(__xludf.DUMMYFUNCTION("""COMPUTED_VALUE"""),45372.6310001851)</f>
        <v>45372.631000185102</v>
      </c>
    </row>
    <row r="421" spans="1:87" x14ac:dyDescent="0.25">
      <c r="A421" s="5">
        <f ca="1">IFERROR(__xludf.DUMMYFUNCTION("""COMPUTED_VALUE"""),45372.5773200463)</f>
        <v>45372.577320046301</v>
      </c>
      <c r="B421" s="1" t="str">
        <f ca="1">IFERROR(__xludf.DUMMYFUNCTION("""COMPUTED_VALUE"""),"samalprasanta76@gmail.com")</f>
        <v>samalprasanta76@gmail.com</v>
      </c>
      <c r="C421" s="1" t="str">
        <f ca="1">IFERROR(__xludf.DUMMYFUNCTION("""COMPUTED_VALUE"""),"Prasanta samal")</f>
        <v>Prasanta samal</v>
      </c>
      <c r="D421" s="1">
        <f ca="1">IFERROR(__xludf.DUMMYFUNCTION("""COMPUTED_VALUE"""),9937441304)</f>
        <v>9937441304</v>
      </c>
      <c r="E421" s="1"/>
      <c r="F421" s="1" t="str">
        <f ca="1">IFERROR(__xludf.DUMMYFUNCTION("""COMPUTED_VALUE"""),"ओड़िया")</f>
        <v>ओड़िया</v>
      </c>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f ca="1">IFERROR(__xludf.DUMMYFUNCTION("""COMPUTED_VALUE"""),2)</f>
        <v>2</v>
      </c>
      <c r="BX421" s="1">
        <f ca="1">IFERROR(__xludf.DUMMYFUNCTION("""COMPUTED_VALUE"""),0)</f>
        <v>0</v>
      </c>
      <c r="BY421" s="1">
        <f ca="1">IFERROR(__xludf.DUMMYFUNCTION("""COMPUTED_VALUE"""),2)</f>
        <v>2</v>
      </c>
      <c r="BZ421" s="1">
        <f ca="1">IFERROR(__xludf.DUMMYFUNCTION("""COMPUTED_VALUE"""),0)</f>
        <v>0</v>
      </c>
      <c r="CA421" s="1"/>
      <c r="CB421" s="1"/>
      <c r="CC421" s="1"/>
      <c r="CD421" s="1"/>
      <c r="CE421" s="1"/>
      <c r="CF421" s="1" t="str">
        <f ca="1">IFERROR(__xludf.DUMMYFUNCTION("""COMPUTED_VALUE"""),"#N/A")</f>
        <v>#N/A</v>
      </c>
      <c r="CG421" s="1" t="str">
        <f ca="1">IFERROR(__xludf.DUMMYFUNCTION("""COMPUTED_VALUE"""),"Adarniya Prasanta samal ji  : Allocated on 21-Mar-24 Contact Number  9937441304")</f>
        <v>Adarniya Prasanta samal ji  : Allocated on 21-Mar-24 Contact Number  9937441304</v>
      </c>
      <c r="CH421" s="1" t="str">
        <f ca="1">IFERROR(__xludf.DUMMYFUNCTION("""COMPUTED_VALUE"""),"samalprasanta76@gmail.com : ")</f>
        <v xml:space="preserve">samalprasanta76@gmail.com : </v>
      </c>
      <c r="CI421" s="5">
        <f ca="1">IFERROR(__xludf.DUMMYFUNCTION("""COMPUTED_VALUE"""),45372.5773200463)</f>
        <v>45372.577320046301</v>
      </c>
    </row>
    <row r="422" spans="1:87" x14ac:dyDescent="0.25">
      <c r="A422" s="5">
        <f ca="1">IFERROR(__xludf.DUMMYFUNCTION("""COMPUTED_VALUE"""),45372.5471373726)</f>
        <v>45372.547137372603</v>
      </c>
      <c r="B422" s="1" t="str">
        <f ca="1">IFERROR(__xludf.DUMMYFUNCTION("""COMPUTED_VALUE"""),"sangeetakumarisingh0@gmail.com")</f>
        <v>sangeetakumarisingh0@gmail.com</v>
      </c>
      <c r="C422" s="1" t="str">
        <f ca="1">IFERROR(__xludf.DUMMYFUNCTION("""COMPUTED_VALUE"""),"Sangeeta Kumari Singh ")</f>
        <v xml:space="preserve">Sangeeta Kumari Singh </v>
      </c>
      <c r="D422" s="1">
        <f ca="1">IFERROR(__xludf.DUMMYFUNCTION("""COMPUTED_VALUE"""),6201382987)</f>
        <v>6201382987</v>
      </c>
      <c r="E422" s="1"/>
      <c r="F422" s="1" t="str">
        <f ca="1">IFERROR(__xludf.DUMMYFUNCTION("""COMPUTED_VALUE"""),"हिन्दी")</f>
        <v>हिन्दी</v>
      </c>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f ca="1">IFERROR(__xludf.DUMMYFUNCTION("""COMPUTED_VALUE"""),1)</f>
        <v>1</v>
      </c>
      <c r="BX422" s="1">
        <f ca="1">IFERROR(__xludf.DUMMYFUNCTION("""COMPUTED_VALUE"""),0)</f>
        <v>0</v>
      </c>
      <c r="BY422" s="1">
        <f ca="1">IFERROR(__xludf.DUMMYFUNCTION("""COMPUTED_VALUE"""),1)</f>
        <v>1</v>
      </c>
      <c r="BZ422" s="1">
        <f ca="1">IFERROR(__xludf.DUMMYFUNCTION("""COMPUTED_VALUE"""),0)</f>
        <v>0</v>
      </c>
      <c r="CA422" s="1"/>
      <c r="CB422" s="1"/>
      <c r="CC422" s="1" t="str">
        <f ca="1">IFERROR(__xludf.DUMMYFUNCTION("""COMPUTED_VALUE"""),"कपड़े कैसे पहनें ? : Rare Book")</f>
        <v>कपड़े कैसे पहनें ? : Rare Book</v>
      </c>
      <c r="CD422" s="3" t="str">
        <f ca="1">IFERROR(__xludf.DUMMYFUNCTION("""COMPUTED_VALUE"""),"https://vicharkrantibooks.org/productdetail?book_name=HINP0421_KAPADE_KAISE_PAHANE_xxyyyy&amp;product_id=986")</f>
        <v>https://vicharkrantibooks.org/productdetail?book_name=HINP0421_KAPADE_KAISE_PAHANE_xxyyyy&amp;product_id=986</v>
      </c>
      <c r="CE422" s="1" t="str">
        <f ca="1">IFERROR(__xludf.DUMMYFUNCTION("""COMPUTED_VALUE"""),"Audiobook : कपड़े कैसे पहनें ? : Rare Book : sangeetakumarisingh0@gmail.com : Recorded")</f>
        <v>Audiobook : कपड़े कैसे पहनें ? : Rare Book : sangeetakumarisingh0@gmail.com : Recorded</v>
      </c>
      <c r="CF422" s="1" t="str">
        <f ca="1">IFERROR(__xludf.DUMMYFUNCTION("""COMPUTED_VALUE"""),"#N/A")</f>
        <v>#N/A</v>
      </c>
      <c r="CG422" s="1" t="str">
        <f ca="1">IFERROR(__xludf.DUMMYFUNCTION("""COMPUTED_VALUE"""),"Adarniya Sangeeta Kumari Singh  ji कपड़े कैसे पहनें ? : Rare Book : Allocated on 21-Mar-24 Contact Number  6201382987")</f>
        <v>Adarniya Sangeeta Kumari Singh  ji कपड़े कैसे पहनें ? : Rare Book : Allocated on 21-Mar-24 Contact Number  6201382987</v>
      </c>
      <c r="CH422" s="1" t="str">
        <f ca="1">IFERROR(__xludf.DUMMYFUNCTION("""COMPUTED_VALUE"""),"sangeetakumarisingh0@gmail.com : कपड़े कैसे पहनें ? : Rare Book")</f>
        <v>sangeetakumarisingh0@gmail.com : कपड़े कैसे पहनें ? : Rare Book</v>
      </c>
      <c r="CI422" s="5">
        <f ca="1">IFERROR(__xludf.DUMMYFUNCTION("""COMPUTED_VALUE"""),45372.5471373726)</f>
        <v>45372.547137372603</v>
      </c>
    </row>
    <row r="423" spans="1:87" x14ac:dyDescent="0.25">
      <c r="A423" s="5">
        <f ca="1">IFERROR(__xludf.DUMMYFUNCTION("""COMPUTED_VALUE"""),45372.5438663194)</f>
        <v>45372.5438663194</v>
      </c>
      <c r="B423" s="1" t="str">
        <f ca="1">IFERROR(__xludf.DUMMYFUNCTION("""COMPUTED_VALUE"""),"premlatadevi4669@gmail.com")</f>
        <v>premlatadevi4669@gmail.com</v>
      </c>
      <c r="C423" s="1" t="str">
        <f ca="1">IFERROR(__xludf.DUMMYFUNCTION("""COMPUTED_VALUE"""),"Premlata barnwal")</f>
        <v>Premlata barnwal</v>
      </c>
      <c r="D423" s="1">
        <f ca="1">IFERROR(__xludf.DUMMYFUNCTION("""COMPUTED_VALUE"""),9372282030)</f>
        <v>9372282030</v>
      </c>
      <c r="E423" s="1"/>
      <c r="F423" s="1" t="str">
        <f ca="1">IFERROR(__xludf.DUMMYFUNCTION("""COMPUTED_VALUE"""),"हिन्दी")</f>
        <v>हिन्दी</v>
      </c>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f ca="1">IFERROR(__xludf.DUMMYFUNCTION("""COMPUTED_VALUE"""),13)</f>
        <v>13</v>
      </c>
      <c r="BX423" s="1">
        <f ca="1">IFERROR(__xludf.DUMMYFUNCTION("""COMPUTED_VALUE"""),10)</f>
        <v>10</v>
      </c>
      <c r="BY423" s="1">
        <f ca="1">IFERROR(__xludf.DUMMYFUNCTION("""COMPUTED_VALUE"""),7)</f>
        <v>7</v>
      </c>
      <c r="BZ423" s="1">
        <f ca="1">IFERROR(__xludf.DUMMYFUNCTION("""COMPUTED_VALUE"""),2)</f>
        <v>2</v>
      </c>
      <c r="CA423" s="1"/>
      <c r="CB423" s="1"/>
      <c r="CC423" s="1" t="str">
        <f ca="1">IFERROR(__xludf.DUMMYFUNCTION("""COMPUTED_VALUE"""),"काम क्रीडा न बनने पाये : Rare Book")</f>
        <v>काम क्रीडा न बनने पाये : Rare Book</v>
      </c>
      <c r="CD423" s="3" t="str">
        <f ca="1">IFERROR(__xludf.DUMMYFUNCTION("""COMPUTED_VALUE"""),"https://vicharkrantibooks.org/productdetail?book_name=HINP0413_KAM_KRIDA_NA_BANANE_PAYE_xx1982&amp;product_id=978")</f>
        <v>https://vicharkrantibooks.org/productdetail?book_name=HINP0413_KAM_KRIDA_NA_BANANE_PAYE_xx1982&amp;product_id=978</v>
      </c>
      <c r="CE423" s="1" t="str">
        <f ca="1">IFERROR(__xludf.DUMMYFUNCTION("""COMPUTED_VALUE"""),"Audiobook : काम क्रीडा न बनने पाये : Rare Book : premlatadevi4669@gmail.com : Recorded")</f>
        <v>Audiobook : काम क्रीडा न बनने पाये : Rare Book : premlatadevi4669@gmail.com : Recorded</v>
      </c>
      <c r="CF423" s="1" t="str">
        <f ca="1">IFERROR(__xludf.DUMMYFUNCTION("""COMPUTED_VALUE"""),"Audiobook : काम क्रीडा न बनने पाये : Rare Book : premlatadevi4669@gmail.com : Recorded")</f>
        <v>Audiobook : काम क्रीडा न बनने पाये : Rare Book : premlatadevi4669@gmail.com : Recorded</v>
      </c>
      <c r="CG423" s="1" t="str">
        <f ca="1">IFERROR(__xludf.DUMMYFUNCTION("""COMPUTED_VALUE"""),"Adarniya Premlata barnwal ji काम क्रीडा न बनने पाये : Rare Book : Allocated on 21-Mar-24 Contact Number  9372282030")</f>
        <v>Adarniya Premlata barnwal ji काम क्रीडा न बनने पाये : Rare Book : Allocated on 21-Mar-24 Contact Number  9372282030</v>
      </c>
      <c r="CH423" s="1" t="str">
        <f ca="1">IFERROR(__xludf.DUMMYFUNCTION("""COMPUTED_VALUE"""),"premlatadevi4669@gmail.com : काम क्रीडा न बनने पाये : Rare Book")</f>
        <v>premlatadevi4669@gmail.com : काम क्रीडा न बनने पाये : Rare Book</v>
      </c>
      <c r="CI423" s="5">
        <f ca="1">IFERROR(__xludf.DUMMYFUNCTION("""COMPUTED_VALUE"""),45372.5438663194)</f>
        <v>45372.5438663194</v>
      </c>
    </row>
    <row r="424" spans="1:87" x14ac:dyDescent="0.25">
      <c r="A424" s="5">
        <f ca="1">IFERROR(__xludf.DUMMYFUNCTION("""COMPUTED_VALUE"""),45372.5249508101)</f>
        <v>45372.524950810097</v>
      </c>
      <c r="B424" s="1" t="str">
        <f ca="1">IFERROR(__xludf.DUMMYFUNCTION("""COMPUTED_VALUE"""),"gaurimantri07@gmail.com")</f>
        <v>gaurimantri07@gmail.com</v>
      </c>
      <c r="C424" s="1" t="str">
        <f ca="1">IFERROR(__xludf.DUMMYFUNCTION("""COMPUTED_VALUE"""),"Gauri ")</f>
        <v xml:space="preserve">Gauri </v>
      </c>
      <c r="D424" s="1">
        <f ca="1">IFERROR(__xludf.DUMMYFUNCTION("""COMPUTED_VALUE"""),9529492150)</f>
        <v>9529492150</v>
      </c>
      <c r="E424" s="1"/>
      <c r="F424" s="1" t="str">
        <f ca="1">IFERROR(__xludf.DUMMYFUNCTION("""COMPUTED_VALUE"""),"हिन्दी, English")</f>
        <v>हिन्दी, English</v>
      </c>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f ca="1">IFERROR(__xludf.DUMMYFUNCTION("""COMPUTED_VALUE"""),1)</f>
        <v>1</v>
      </c>
      <c r="BX424" s="1">
        <f ca="1">IFERROR(__xludf.DUMMYFUNCTION("""COMPUTED_VALUE"""),2)</f>
        <v>2</v>
      </c>
      <c r="BY424" s="1">
        <f ca="1">IFERROR(__xludf.DUMMYFUNCTION("""COMPUTED_VALUE"""),0)</f>
        <v>0</v>
      </c>
      <c r="BZ424" s="1">
        <f ca="1">IFERROR(__xludf.DUMMYFUNCTION("""COMPUTED_VALUE"""),0)</f>
        <v>0</v>
      </c>
      <c r="CA424" s="1"/>
      <c r="CB424" s="1"/>
      <c r="CC424" s="1" t="str">
        <f ca="1">IFERROR(__xludf.DUMMYFUNCTION("""COMPUTED_VALUE"""),"Assign Your Goals In Student Life : EP_122")</f>
        <v>Assign Your Goals In Student Life : EP_122</v>
      </c>
      <c r="CD424" s="3" t="str">
        <f ca="1">IFERROR(__xludf.DUMMYFUNCTION("""COMPUTED_VALUE"""),"https://vicharkrantibooks.org/productdetail?book_name=ENGP0968_ASSIGN_YOUR_GOALS_IN_STUDENT_LIFE_xxyyyy&amp;product_id=3507")</f>
        <v>https://vicharkrantibooks.org/productdetail?book_name=ENGP0968_ASSIGN_YOUR_GOALS_IN_STUDENT_LIFE_xxyyyy&amp;product_id=3507</v>
      </c>
      <c r="CE424" s="1" t="str">
        <f ca="1">IFERROR(__xludf.DUMMYFUNCTION("""COMPUTED_VALUE"""),"Audiobook : Assign Your Goals In Student Life : EP_122 : gaurimantri07@gmail.com : Recorded")</f>
        <v>Audiobook : Assign Your Goals In Student Life : EP_122 : gaurimantri07@gmail.com : Recorded</v>
      </c>
      <c r="CF424" s="1" t="str">
        <f ca="1">IFERROR(__xludf.DUMMYFUNCTION("""COMPUTED_VALUE"""),"Audiobook : Assign Your Goals In Student Life : EP_122 : gaurimantri07@gmail.com : Recorded")</f>
        <v>Audiobook : Assign Your Goals In Student Life : EP_122 : gaurimantri07@gmail.com : Recorded</v>
      </c>
      <c r="CG424" s="1" t="str">
        <f ca="1">IFERROR(__xludf.DUMMYFUNCTION("""COMPUTED_VALUE"""),"Adarniya Gauri  ji Assign Your Goals In Student Life : EP_122 : Allocated on 21-Mar-24 Contact Number  9529492150")</f>
        <v>Adarniya Gauri  ji Assign Your Goals In Student Life : EP_122 : Allocated on 21-Mar-24 Contact Number  9529492150</v>
      </c>
      <c r="CH424" s="1" t="str">
        <f ca="1">IFERROR(__xludf.DUMMYFUNCTION("""COMPUTED_VALUE"""),"gaurimantri07@gmail.com : Assign Your Goals In Student Life : EP_122")</f>
        <v>gaurimantri07@gmail.com : Assign Your Goals In Student Life : EP_122</v>
      </c>
      <c r="CI424" s="5">
        <f ca="1">IFERROR(__xludf.DUMMYFUNCTION("""COMPUTED_VALUE"""),45372.5249508101)</f>
        <v>45372.524950810097</v>
      </c>
    </row>
    <row r="425" spans="1:87" x14ac:dyDescent="0.25">
      <c r="A425" s="5">
        <f ca="1">IFERROR(__xludf.DUMMYFUNCTION("""COMPUTED_VALUE"""),45372.507463287)</f>
        <v>45372.507463287002</v>
      </c>
      <c r="B425" s="1" t="str">
        <f ca="1">IFERROR(__xludf.DUMMYFUNCTION("""COMPUTED_VALUE"""),"rekhadivyanshu27@gmail.com")</f>
        <v>rekhadivyanshu27@gmail.com</v>
      </c>
      <c r="C425" s="1" t="str">
        <f ca="1">IFERROR(__xludf.DUMMYFUNCTION("""COMPUTED_VALUE"""),"Rekha Srivastava ")</f>
        <v xml:space="preserve">Rekha Srivastava </v>
      </c>
      <c r="D425" s="1">
        <f ca="1">IFERROR(__xludf.DUMMYFUNCTION("""COMPUTED_VALUE"""),8318706774)</f>
        <v>8318706774</v>
      </c>
      <c r="E425" s="1"/>
      <c r="F425" s="1" t="str">
        <f ca="1">IFERROR(__xludf.DUMMYFUNCTION("""COMPUTED_VALUE"""),"हिन्दी")</f>
        <v>हिन्दी</v>
      </c>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f ca="1">IFERROR(__xludf.DUMMYFUNCTION("""COMPUTED_VALUE"""),1)</f>
        <v>1</v>
      </c>
      <c r="BX425" s="1">
        <f ca="1">IFERROR(__xludf.DUMMYFUNCTION("""COMPUTED_VALUE"""),0)</f>
        <v>0</v>
      </c>
      <c r="BY425" s="1">
        <f ca="1">IFERROR(__xludf.DUMMYFUNCTION("""COMPUTED_VALUE"""),1)</f>
        <v>1</v>
      </c>
      <c r="BZ425" s="1">
        <f ca="1">IFERROR(__xludf.DUMMYFUNCTION("""COMPUTED_VALUE"""),0)</f>
        <v>0</v>
      </c>
      <c r="CA425" s="1"/>
      <c r="CB425" s="1"/>
      <c r="CC425" s="1" t="str">
        <f ca="1">IFERROR(__xludf.DUMMYFUNCTION("""COMPUTED_VALUE"""),"अध्यात्म उर्जा के प्रकटीकरण की साधना : Rare Book")</f>
        <v>अध्यात्म उर्जा के प्रकटीकरण की साधना : Rare Book</v>
      </c>
      <c r="CD425" s="3" t="str">
        <f ca="1">IFERROR(__xludf.DUMMYFUNCTION("""COMPUTED_VALUE"""),"https://vicharkrantibooks.org/productdetail?book_name=HINP0020_ADHYATM_URJA_KE_PRAKATIKARAN_KI_SADHANA_xx1981&amp;product_id=585")</f>
        <v>https://vicharkrantibooks.org/productdetail?book_name=HINP0020_ADHYATM_URJA_KE_PRAKATIKARAN_KI_SADHANA_xx1981&amp;product_id=585</v>
      </c>
      <c r="CE425" s="1" t="str">
        <f ca="1">IFERROR(__xludf.DUMMYFUNCTION("""COMPUTED_VALUE"""),"Audiobook : अध्यात्म उर्जा के प्रकटीकरण की साधना : Rare Book : rekhadivyanshu27@gmail.com : Recorded")</f>
        <v>Audiobook : अध्यात्म उर्जा के प्रकटीकरण की साधना : Rare Book : rekhadivyanshu27@gmail.com : Recorded</v>
      </c>
      <c r="CF425" s="1" t="str">
        <f ca="1">IFERROR(__xludf.DUMMYFUNCTION("""COMPUTED_VALUE"""),"#N/A")</f>
        <v>#N/A</v>
      </c>
      <c r="CG425" s="1" t="str">
        <f ca="1">IFERROR(__xludf.DUMMYFUNCTION("""COMPUTED_VALUE"""),"Adarniya Rekha Srivastava  ji अध्यात्म उर्जा के प्रकटीकरण की साधना : Rare Book : Allocated on 21-Mar-24 Contact Number  8318706774")</f>
        <v>Adarniya Rekha Srivastava  ji अध्यात्म उर्जा के प्रकटीकरण की साधना : Rare Book : Allocated on 21-Mar-24 Contact Number  8318706774</v>
      </c>
      <c r="CH425" s="1" t="str">
        <f ca="1">IFERROR(__xludf.DUMMYFUNCTION("""COMPUTED_VALUE"""),"rekhadivyanshu27@gmail.com : अध्यात्म उर्जा के प्रकटीकरण की साधना : Rare Book")</f>
        <v>rekhadivyanshu27@gmail.com : अध्यात्म उर्जा के प्रकटीकरण की साधना : Rare Book</v>
      </c>
      <c r="CI425" s="5">
        <f ca="1">IFERROR(__xludf.DUMMYFUNCTION("""COMPUTED_VALUE"""),45372.507463287)</f>
        <v>45372.507463287002</v>
      </c>
    </row>
    <row r="426" spans="1:87" x14ac:dyDescent="0.25">
      <c r="A426" s="5">
        <f ca="1">IFERROR(__xludf.DUMMYFUNCTION("""COMPUTED_VALUE"""),45372.4941117361)</f>
        <v>45372.494111736101</v>
      </c>
      <c r="B426" s="1" t="str">
        <f ca="1">IFERROR(__xludf.DUMMYFUNCTION("""COMPUTED_VALUE"""),"mohapatrarp.prasad@gmail.com")</f>
        <v>mohapatrarp.prasad@gmail.com</v>
      </c>
      <c r="C426" s="1" t="str">
        <f ca="1">IFERROR(__xludf.DUMMYFUNCTION("""COMPUTED_VALUE"""),"Rajendra Prasad Mohapatra ")</f>
        <v xml:space="preserve">Rajendra Prasad Mohapatra </v>
      </c>
      <c r="D426" s="1">
        <f ca="1">IFERROR(__xludf.DUMMYFUNCTION("""COMPUTED_VALUE"""),7978249407)</f>
        <v>7978249407</v>
      </c>
      <c r="E426" s="1"/>
      <c r="F426" s="1" t="str">
        <f ca="1">IFERROR(__xludf.DUMMYFUNCTION("""COMPUTED_VALUE"""),"ओड़िया")</f>
        <v>ओड़िया</v>
      </c>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f ca="1">IFERROR(__xludf.DUMMYFUNCTION("""COMPUTED_VALUE"""),1)</f>
        <v>1</v>
      </c>
      <c r="BX426" s="1">
        <f ca="1">IFERROR(__xludf.DUMMYFUNCTION("""COMPUTED_VALUE"""),0)</f>
        <v>0</v>
      </c>
      <c r="BY426" s="1">
        <f ca="1">IFERROR(__xludf.DUMMYFUNCTION("""COMPUTED_VALUE"""),1)</f>
        <v>1</v>
      </c>
      <c r="BZ426" s="1">
        <f ca="1">IFERROR(__xludf.DUMMYFUNCTION("""COMPUTED_VALUE"""),0)</f>
        <v>0</v>
      </c>
      <c r="CA426" s="1"/>
      <c r="CB426" s="1"/>
      <c r="CC426" s="1"/>
      <c r="CD426" s="1"/>
      <c r="CE426" s="1"/>
      <c r="CF426" s="1" t="str">
        <f ca="1">IFERROR(__xludf.DUMMYFUNCTION("""COMPUTED_VALUE"""),"#N/A")</f>
        <v>#N/A</v>
      </c>
      <c r="CG426" s="1" t="str">
        <f ca="1">IFERROR(__xludf.DUMMYFUNCTION("""COMPUTED_VALUE"""),"Adarniya Rajendra Prasad Mohapatra  ji  : Allocated on 21-Mar-24 Contact Number  7978249407")</f>
        <v>Adarniya Rajendra Prasad Mohapatra  ji  : Allocated on 21-Mar-24 Contact Number  7978249407</v>
      </c>
      <c r="CH426" s="1" t="str">
        <f ca="1">IFERROR(__xludf.DUMMYFUNCTION("""COMPUTED_VALUE"""),"mohapatrarp.prasad@gmail.com : ")</f>
        <v xml:space="preserve">mohapatrarp.prasad@gmail.com : </v>
      </c>
      <c r="CI426" s="5">
        <f ca="1">IFERROR(__xludf.DUMMYFUNCTION("""COMPUTED_VALUE"""),45372.4941117361)</f>
        <v>45372.494111736101</v>
      </c>
    </row>
    <row r="427" spans="1:87" x14ac:dyDescent="0.25">
      <c r="A427" s="5">
        <f ca="1">IFERROR(__xludf.DUMMYFUNCTION("""COMPUTED_VALUE"""),45372.4906607638)</f>
        <v>45372.490660763797</v>
      </c>
      <c r="B427" s="1" t="str">
        <f ca="1">IFERROR(__xludf.DUMMYFUNCTION("""COMPUTED_VALUE"""),"purnima.bharadwaj.24@gmail.com")</f>
        <v>purnima.bharadwaj.24@gmail.com</v>
      </c>
      <c r="C427" s="1" t="str">
        <f ca="1">IFERROR(__xludf.DUMMYFUNCTION("""COMPUTED_VALUE"""),"पूर्णिमा भारद्वाज ")</f>
        <v xml:space="preserve">पूर्णिमा भारद्वाज </v>
      </c>
      <c r="D427" s="1">
        <f ca="1">IFERROR(__xludf.DUMMYFUNCTION("""COMPUTED_VALUE"""),9415389032)</f>
        <v>9415389032</v>
      </c>
      <c r="E427" s="1"/>
      <c r="F427" s="1" t="str">
        <f ca="1">IFERROR(__xludf.DUMMYFUNCTION("""COMPUTED_VALUE"""),"हिन्दी")</f>
        <v>हिन्दी</v>
      </c>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f ca="1">IFERROR(__xludf.DUMMYFUNCTION("""COMPUTED_VALUE"""),43)</f>
        <v>43</v>
      </c>
      <c r="BX427" s="1">
        <f ca="1">IFERROR(__xludf.DUMMYFUNCTION("""COMPUTED_VALUE"""),36)</f>
        <v>36</v>
      </c>
      <c r="BY427" s="1">
        <f ca="1">IFERROR(__xludf.DUMMYFUNCTION("""COMPUTED_VALUE"""),9)</f>
        <v>9</v>
      </c>
      <c r="BZ427" s="1">
        <f ca="1">IFERROR(__xludf.DUMMYFUNCTION("""COMPUTED_VALUE"""),30)</f>
        <v>30</v>
      </c>
      <c r="CA427" s="1"/>
      <c r="CB427" s="1"/>
      <c r="CC427" s="1" t="str">
        <f ca="1">IFERROR(__xludf.DUMMYFUNCTION("""COMPUTED_VALUE"""),"ऋषि चिंतन के सान्निध्य में ०५ (पोकेट) : H_SJ_28_5")</f>
        <v>ऋषि चिंतन के सान्निध्य में ०५ (पोकेट) : H_SJ_28_5</v>
      </c>
      <c r="CD427" s="3" t="str">
        <f ca="1">IFERROR(__xludf.DUMMYFUNCTION("""COMPUTED_VALUE"""),"https://vicharkrantibooks.org/productdetail?book_name=HINP0716_RUSHI_CHINTAN_KE_SANIDHYA_MEIN_05_(POCKET)_xxyyyy&amp;product_id=1281")</f>
        <v>https://vicharkrantibooks.org/productdetail?book_name=HINP0716_RUSHI_CHINTAN_KE_SANIDHYA_MEIN_05_(POCKET)_xxyyyy&amp;product_id=1281</v>
      </c>
      <c r="CE427" s="1" t="str">
        <f ca="1">IFERROR(__xludf.DUMMYFUNCTION("""COMPUTED_VALUE"""),"Audiobook : ऋषि चिंतन के सान्निध्य में ०५ (पोकेट) : H_SJ_28_5 : purnima.bharadwaj.24@gmail.com : Recorded")</f>
        <v>Audiobook : ऋषि चिंतन के सान्निध्य में ०५ (पोकेट) : H_SJ_28_5 : purnima.bharadwaj.24@gmail.com : Recorded</v>
      </c>
      <c r="CF427" s="1" t="str">
        <f ca="1">IFERROR(__xludf.DUMMYFUNCTION("""COMPUTED_VALUE"""),"#N/A")</f>
        <v>#N/A</v>
      </c>
      <c r="CG427" s="1" t="str">
        <f ca="1">IFERROR(__xludf.DUMMYFUNCTION("""COMPUTED_VALUE"""),"Adarniya पूर्णिमा भारद्वाज  ji ऋषि चिंतन के सान्निध्य में ०५ (पोकेट) : H_SJ_28_5 : Allocated on 21-Mar-24 Contact Number  9415389032")</f>
        <v>Adarniya पूर्णिमा भारद्वाज  ji ऋषि चिंतन के सान्निध्य में ०५ (पोकेट) : H_SJ_28_5 : Allocated on 21-Mar-24 Contact Number  9415389032</v>
      </c>
      <c r="CH427" s="1" t="str">
        <f ca="1">IFERROR(__xludf.DUMMYFUNCTION("""COMPUTED_VALUE"""),"purnima.bharadwaj.24@gmail.com : ऋषि चिंतन के सान्निध्य में ०५ (पोकेट) : H_SJ_28_5")</f>
        <v>purnima.bharadwaj.24@gmail.com : ऋषि चिंतन के सान्निध्य में ०५ (पोकेट) : H_SJ_28_5</v>
      </c>
      <c r="CI427" s="5">
        <f ca="1">IFERROR(__xludf.DUMMYFUNCTION("""COMPUTED_VALUE"""),45372.4906607638)</f>
        <v>45372.490660763797</v>
      </c>
    </row>
    <row r="428" spans="1:87" x14ac:dyDescent="0.25">
      <c r="A428" s="5">
        <f ca="1">IFERROR(__xludf.DUMMYFUNCTION("""COMPUTED_VALUE"""),45372.4877253819)</f>
        <v>45372.4877253819</v>
      </c>
      <c r="B428" s="1" t="str">
        <f ca="1">IFERROR(__xludf.DUMMYFUNCTION("""COMPUTED_VALUE"""),"kajalzala1911@gmail.com")</f>
        <v>kajalzala1911@gmail.com</v>
      </c>
      <c r="C428" s="1" t="str">
        <f ca="1">IFERROR(__xludf.DUMMYFUNCTION("""COMPUTED_VALUE"""),"Kajal h zala")</f>
        <v>Kajal h zala</v>
      </c>
      <c r="D428" s="1">
        <f ca="1">IFERROR(__xludf.DUMMYFUNCTION("""COMPUTED_VALUE"""),9601257653)</f>
        <v>9601257653</v>
      </c>
      <c r="E428" s="1"/>
      <c r="F428" s="1" t="str">
        <f ca="1">IFERROR(__xludf.DUMMYFUNCTION("""COMPUTED_VALUE"""),"हिन्दी, English, गुजराती")</f>
        <v>हिन्दी, English, गुजराती</v>
      </c>
      <c r="G428" s="1" t="str">
        <f ca="1">IFERROR(__xludf.DUMMYFUNCTION("""COMPUTED_VALUE"""),"अध्यात्म, धर्म एवं दर्शन")</f>
        <v>अध्यात्म, धर्म एवं दर्शन</v>
      </c>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f ca="1">IFERROR(__xludf.DUMMYFUNCTION("""COMPUTED_VALUE"""),1)</f>
        <v>1</v>
      </c>
      <c r="BX428" s="1">
        <f ca="1">IFERROR(__xludf.DUMMYFUNCTION("""COMPUTED_VALUE"""),0)</f>
        <v>0</v>
      </c>
      <c r="BY428" s="1">
        <f ca="1">IFERROR(__xludf.DUMMYFUNCTION("""COMPUTED_VALUE"""),1)</f>
        <v>1</v>
      </c>
      <c r="BZ428" s="1">
        <f ca="1">IFERROR(__xludf.DUMMYFUNCTION("""COMPUTED_VALUE"""),0)</f>
        <v>0</v>
      </c>
      <c r="CA428" s="1"/>
      <c r="CB428" s="1"/>
      <c r="CC428" s="1" t="str">
        <f ca="1">IFERROR(__xludf.DUMMYFUNCTION("""COMPUTED_VALUE"""),"અવતારની આંધી દિશા બદલી નાંખે છે")</f>
        <v>અવતારની આંધી દિશા બદલી નાંખે છે</v>
      </c>
      <c r="CD428" s="3" t="str">
        <f ca="1">IFERROR(__xludf.DUMMYFUNCTION("""COMPUTED_VALUE"""),"https://vicharkrantibooks.org/productdetail?book_name=GUJP0117_AVATARANI_ANDHI_DISHA_BADALI_NAKHE_CHHE_XXYYYY&amp;product_id=3819")</f>
        <v>https://vicharkrantibooks.org/productdetail?book_name=GUJP0117_AVATARANI_ANDHI_DISHA_BADALI_NAKHE_CHHE_XXYYYY&amp;product_id=3819</v>
      </c>
      <c r="CE428" s="1"/>
      <c r="CF428" s="1" t="str">
        <f ca="1">IFERROR(__xludf.DUMMYFUNCTION("""COMPUTED_VALUE"""),"#N/A")</f>
        <v>#N/A</v>
      </c>
      <c r="CG428" s="1" t="str">
        <f ca="1">IFERROR(__xludf.DUMMYFUNCTION("""COMPUTED_VALUE"""),"Adarniya Kajal h zala ji અવતારની આંધી દિશા બદલી નાંખે છે : Allocated on 21-Mar-24 Contact Number  9601257653")</f>
        <v>Adarniya Kajal h zala ji અવતારની આંધી દિશા બદલી નાંખે છે : Allocated on 21-Mar-24 Contact Number  9601257653</v>
      </c>
      <c r="CH428" s="1" t="str">
        <f ca="1">IFERROR(__xludf.DUMMYFUNCTION("""COMPUTED_VALUE"""),"kajalzala1911@gmail.com : અવતારની આંધી દિશા બદલી નાંખે છે")</f>
        <v>kajalzala1911@gmail.com : અવતારની આંધી દિશા બદલી નાંખે છે</v>
      </c>
      <c r="CI428" s="5">
        <f ca="1">IFERROR(__xludf.DUMMYFUNCTION("""COMPUTED_VALUE"""),45372.4877253819)</f>
        <v>45372.4877253819</v>
      </c>
    </row>
    <row r="429" spans="1:87" x14ac:dyDescent="0.25">
      <c r="A429" s="5">
        <f ca="1">IFERROR(__xludf.DUMMYFUNCTION("""COMPUTED_VALUE"""),45371.9500723379)</f>
        <v>45371.950072337902</v>
      </c>
      <c r="B429" s="1" t="str">
        <f ca="1">IFERROR(__xludf.DUMMYFUNCTION("""COMPUTED_VALUE"""),"poonamsingh95036@gmal.com")</f>
        <v>poonamsingh95036@gmal.com</v>
      </c>
      <c r="C429" s="1" t="str">
        <f ca="1">IFERROR(__xludf.DUMMYFUNCTION("""COMPUTED_VALUE"""),"Poonam singh ")</f>
        <v xml:space="preserve">Poonam singh </v>
      </c>
      <c r="D429" s="1">
        <f ca="1">IFERROR(__xludf.DUMMYFUNCTION("""COMPUTED_VALUE"""),9503676656)</f>
        <v>9503676656</v>
      </c>
      <c r="E429" s="1" t="str">
        <f ca="1">IFERROR(__xludf.DUMMYFUNCTION("""COMPUTED_VALUE"""),"Yes")</f>
        <v>Yes</v>
      </c>
      <c r="F429" s="1" t="str">
        <f ca="1">IFERROR(__xludf.DUMMYFUNCTION("""COMPUTED_VALUE"""),"हिन्दी")</f>
        <v>हिन्दी</v>
      </c>
      <c r="G429" s="1" t="str">
        <f ca="1">IFERROR(__xludf.DUMMYFUNCTION("""COMPUTED_VALUE"""),"वैज्ञानिक अध्यात्मवाद का प्रतिपादन")</f>
        <v>वैज्ञानिक अध्यात्मवाद का प्रतिपादन</v>
      </c>
      <c r="H429" s="1"/>
      <c r="I429" s="1"/>
      <c r="J429" s="1"/>
      <c r="K429" s="1"/>
      <c r="L429" s="1"/>
      <c r="M429" s="1"/>
      <c r="N429" s="1"/>
      <c r="O429" s="1"/>
      <c r="P429" s="1"/>
      <c r="Q429" s="1"/>
      <c r="R429" s="1"/>
      <c r="S429" s="1" t="str">
        <f ca="1">IFERROR(__xludf.DUMMYFUNCTION("""COMPUTED_VALUE"""),"वैज्ञानिक अध्यात्मवाद का प्रतिपादन")</f>
        <v>वैज्ञानिक अध्यात्मवाद का प्रतिपादन</v>
      </c>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f ca="1">IFERROR(__xludf.DUMMYFUNCTION("""COMPUTED_VALUE"""),1)</f>
        <v>1</v>
      </c>
      <c r="BX429" s="1">
        <f ca="1">IFERROR(__xludf.DUMMYFUNCTION("""COMPUTED_VALUE"""),0)</f>
        <v>0</v>
      </c>
      <c r="BY429" s="1">
        <f ca="1">IFERROR(__xludf.DUMMYFUNCTION("""COMPUTED_VALUE"""),1)</f>
        <v>1</v>
      </c>
      <c r="BZ429" s="1">
        <f ca="1">IFERROR(__xludf.DUMMYFUNCTION("""COMPUTED_VALUE"""),0)</f>
        <v>0</v>
      </c>
      <c r="CA429" s="1"/>
      <c r="CB429" s="1"/>
      <c r="CC429" s="1" t="str">
        <f ca="1">IFERROR(__xludf.DUMMYFUNCTION("""COMPUTED_VALUE"""),"शब्द एक प्रचंद उर्जा शक्ति का भंडार : Rare Book")</f>
        <v>शब्द एक प्रचंद उर्जा शक्ति का भंडार : Rare Book</v>
      </c>
      <c r="CD429" s="3" t="str">
        <f ca="1">IFERROR(__xludf.DUMMYFUNCTION("""COMPUTED_VALUE"""),"https://vicharkrantibooks.org/productdetail?book_name=HINF0260_SHABD_EK_PRACHAND_URJA_SHAKTI_KA_BHANDAR_xxyyyy&amp;product_id=480")</f>
        <v>https://vicharkrantibooks.org/productdetail?book_name=HINF0260_SHABD_EK_PRACHAND_URJA_SHAKTI_KA_BHANDAR_xxyyyy&amp;product_id=480</v>
      </c>
      <c r="CE429" s="1" t="str">
        <f ca="1">IFERROR(__xludf.DUMMYFUNCTION("""COMPUTED_VALUE"""),"Audiobook : शब्द एक प्रचंद उर्जा शक्ति का भंडार : Rare Book : poonamsingh95036@gmal.com : Recorded")</f>
        <v>Audiobook : शब्द एक प्रचंद उर्जा शक्ति का भंडार : Rare Book : poonamsingh95036@gmal.com : Recorded</v>
      </c>
      <c r="CF429" s="1" t="str">
        <f ca="1">IFERROR(__xludf.DUMMYFUNCTION("""COMPUTED_VALUE"""),"#N/A")</f>
        <v>#N/A</v>
      </c>
      <c r="CG429" s="1" t="str">
        <f ca="1">IFERROR(__xludf.DUMMYFUNCTION("""COMPUTED_VALUE"""),"Adarniya Poonam singh  ji शब्द एक प्रचंद उर्जा शक्ति का भंडार : Rare Book : Allocated on 20-Mar-24 Contact Number  9503676656")</f>
        <v>Adarniya Poonam singh  ji शब्द एक प्रचंद उर्जा शक्ति का भंडार : Rare Book : Allocated on 20-Mar-24 Contact Number  9503676656</v>
      </c>
      <c r="CH429" s="1" t="str">
        <f ca="1">IFERROR(__xludf.DUMMYFUNCTION("""COMPUTED_VALUE"""),"poonamsingh95036@gmal.com : शब्द एक प्रचंद उर्जा शक्ति का भंडार : Rare Book")</f>
        <v>poonamsingh95036@gmal.com : शब्द एक प्रचंद उर्जा शक्ति का भंडार : Rare Book</v>
      </c>
      <c r="CI429" s="5">
        <f ca="1">IFERROR(__xludf.DUMMYFUNCTION("""COMPUTED_VALUE"""),45371.9500723379)</f>
        <v>45371.950072337902</v>
      </c>
    </row>
    <row r="430" spans="1:87" x14ac:dyDescent="0.25">
      <c r="A430" s="5">
        <f ca="1">IFERROR(__xludf.DUMMYFUNCTION("""COMPUTED_VALUE"""),45371.9443714004)</f>
        <v>45371.944371400401</v>
      </c>
      <c r="B430" s="1" t="str">
        <f ca="1">IFERROR(__xludf.DUMMYFUNCTION("""COMPUTED_VALUE"""),"vaib.gautam89@gmail.com")</f>
        <v>vaib.gautam89@gmail.com</v>
      </c>
      <c r="C430" s="1" t="str">
        <f ca="1">IFERROR(__xludf.DUMMYFUNCTION("""COMPUTED_VALUE"""),"Vaibhav Gautam ")</f>
        <v xml:space="preserve">Vaibhav Gautam </v>
      </c>
      <c r="D430" s="1">
        <f ca="1">IFERROR(__xludf.DUMMYFUNCTION("""COMPUTED_VALUE"""),9462734323)</f>
        <v>9462734323</v>
      </c>
      <c r="E430" s="1" t="str">
        <f ca="1">IFERROR(__xludf.DUMMYFUNCTION("""COMPUTED_VALUE"""),"Yes")</f>
        <v>Yes</v>
      </c>
      <c r="F430" s="1" t="str">
        <f ca="1">IFERROR(__xludf.DUMMYFUNCTION("""COMPUTED_VALUE"""),"हिन्दी")</f>
        <v>हिन्दी</v>
      </c>
      <c r="G430" s="1" t="str">
        <f ca="1">IFERROR(__xludf.DUMMYFUNCTION("""COMPUTED_VALUE"""),"व्यक्ति निर्माण, युवा/विद्यार्थी एवं शिक्षक")</f>
        <v>व्यक्ति निर्माण, युवा/विद्यार्थी एवं शिक्षक</v>
      </c>
      <c r="H430" s="1"/>
      <c r="I430" s="1"/>
      <c r="J430" s="1"/>
      <c r="K430" s="1"/>
      <c r="L430" s="1"/>
      <c r="M430" s="1"/>
      <c r="N430" s="1"/>
      <c r="O430" s="1"/>
      <c r="P430" s="1"/>
      <c r="Q430" s="1"/>
      <c r="R430" s="1"/>
      <c r="S430" s="1"/>
      <c r="T430" s="1" t="str">
        <f ca="1">IFERROR(__xludf.DUMMYFUNCTION("""COMPUTED_VALUE"""),"व्यक्तित्व परिष्कार")</f>
        <v>व्यक्तित्व परिष्कार</v>
      </c>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f ca="1">IFERROR(__xludf.DUMMYFUNCTION("""COMPUTED_VALUE"""),2)</f>
        <v>2</v>
      </c>
      <c r="BX430" s="1">
        <f ca="1">IFERROR(__xludf.DUMMYFUNCTION("""COMPUTED_VALUE"""),0)</f>
        <v>0</v>
      </c>
      <c r="BY430" s="1">
        <f ca="1">IFERROR(__xludf.DUMMYFUNCTION("""COMPUTED_VALUE"""),2)</f>
        <v>2</v>
      </c>
      <c r="BZ430" s="1">
        <f ca="1">IFERROR(__xludf.DUMMYFUNCTION("""COMPUTED_VALUE"""),0)</f>
        <v>0</v>
      </c>
      <c r="CA430" s="1"/>
      <c r="CB430" s="1"/>
      <c r="CC430" s="1" t="str">
        <f ca="1">IFERROR(__xludf.DUMMYFUNCTION("""COMPUTED_VALUE"""),"उल्लास की आकांक्षा कुमार्गगामी न बने : Rare Book")</f>
        <v>उल्लास की आकांक्षा कुमार्गगामी न बने : Rare Book</v>
      </c>
      <c r="CD430" s="3" t="str">
        <f ca="1">IFERROR(__xludf.DUMMYFUNCTION("""COMPUTED_VALUE"""),"https://vicharkrantibooks.org/productdetail?book_name=HINP0919_ULLAS_KI_AKANKSHA_KUMARGAGAMI_NA_BANE_xx1981&amp;product_id=1484")</f>
        <v>https://vicharkrantibooks.org/productdetail?book_name=HINP0919_ULLAS_KI_AKANKSHA_KUMARGAGAMI_NA_BANE_xx1981&amp;product_id=1484</v>
      </c>
      <c r="CE430" s="1" t="str">
        <f ca="1">IFERROR(__xludf.DUMMYFUNCTION("""COMPUTED_VALUE"""),"Audiobook : उल्लास की आकांक्षा कुमार्गगामी न बने : Rare Book : vaib.gautam89@gmail.com : Recorded")</f>
        <v>Audiobook : उल्लास की आकांक्षा कुमार्गगामी न बने : Rare Book : vaib.gautam89@gmail.com : Recorded</v>
      </c>
      <c r="CF430" s="1" t="str">
        <f ca="1">IFERROR(__xludf.DUMMYFUNCTION("""COMPUTED_VALUE"""),"#N/A")</f>
        <v>#N/A</v>
      </c>
      <c r="CG430" s="1" t="str">
        <f ca="1">IFERROR(__xludf.DUMMYFUNCTION("""COMPUTED_VALUE"""),"Adarniya Vaibhav Gautam  ji उल्लास की आकांक्षा कुमार्गगामी न बने : Rare Book : Allocated on 20-Mar-24 Contact Number  9462734323")</f>
        <v>Adarniya Vaibhav Gautam  ji उल्लास की आकांक्षा कुमार्गगामी न बने : Rare Book : Allocated on 20-Mar-24 Contact Number  9462734323</v>
      </c>
      <c r="CH430" s="1" t="str">
        <f ca="1">IFERROR(__xludf.DUMMYFUNCTION("""COMPUTED_VALUE"""),"vaib.gautam89@gmail.com : उल्लास की आकांक्षा कुमार्गगामी न बने : Rare Book")</f>
        <v>vaib.gautam89@gmail.com : उल्लास की आकांक्षा कुमार्गगामी न बने : Rare Book</v>
      </c>
      <c r="CI430" s="5">
        <f ca="1">IFERROR(__xludf.DUMMYFUNCTION("""COMPUTED_VALUE"""),45371.9443714004)</f>
        <v>45371.944371400401</v>
      </c>
    </row>
    <row r="431" spans="1:87" x14ac:dyDescent="0.25">
      <c r="A431" s="5">
        <f ca="1">IFERROR(__xludf.DUMMYFUNCTION("""COMPUTED_VALUE"""),45371.3066694675)</f>
        <v>45371.3066694675</v>
      </c>
      <c r="B431" s="1" t="str">
        <f ca="1">IFERROR(__xludf.DUMMYFUNCTION("""COMPUTED_VALUE"""),"acharyaraviranjan.yogdhara@gmail.com")</f>
        <v>acharyaraviranjan.yogdhara@gmail.com</v>
      </c>
      <c r="C431" s="1" t="str">
        <f ca="1">IFERROR(__xludf.DUMMYFUNCTION("""COMPUTED_VALUE"""),"Acharya Raviranjan ")</f>
        <v xml:space="preserve">Acharya Raviranjan </v>
      </c>
      <c r="D431" s="1" t="str">
        <f ca="1">IFERROR(__xludf.DUMMYFUNCTION("""COMPUTED_VALUE"""),"08809767960")</f>
        <v>08809767960</v>
      </c>
      <c r="E431" s="1" t="str">
        <f ca="1">IFERROR(__xludf.DUMMYFUNCTION("""COMPUTED_VALUE"""),"Yes")</f>
        <v>Yes</v>
      </c>
      <c r="F431" s="1" t="str">
        <f ca="1">IFERROR(__xludf.DUMMYFUNCTION("""COMPUTED_VALUE"""),"हिन्दी")</f>
        <v>हिन्दी</v>
      </c>
      <c r="G431" s="1" t="str">
        <f ca="1">IFERROR(__xludf.DUMMYFUNCTION("""COMPUTED_VALUE"""),"युग द्रष्टा पं. श्रीराम शर्मा आचार्यजी")</f>
        <v>युग द्रष्टा पं. श्रीराम शर्मा आचार्यजी</v>
      </c>
      <c r="H431" s="1"/>
      <c r="I431" s="1"/>
      <c r="J431" s="1"/>
      <c r="K431" s="1"/>
      <c r="L431" s="1"/>
      <c r="M431" s="1"/>
      <c r="N431" s="1"/>
      <c r="O431" s="1"/>
      <c r="P431" s="1" t="str">
        <f ca="1">IFERROR(__xludf.DUMMYFUNCTION("""COMPUTED_VALUE"""),"युगॠषी का जीवनदर्शन")</f>
        <v>युगॠषी का जीवनदर्शन</v>
      </c>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f ca="1">IFERROR(__xludf.DUMMYFUNCTION("""COMPUTED_VALUE"""),2)</f>
        <v>2</v>
      </c>
      <c r="BX431" s="1">
        <f ca="1">IFERROR(__xludf.DUMMYFUNCTION("""COMPUTED_VALUE"""),1)</f>
        <v>1</v>
      </c>
      <c r="BY431" s="1">
        <f ca="1">IFERROR(__xludf.DUMMYFUNCTION("""COMPUTED_VALUE"""),1)</f>
        <v>1</v>
      </c>
      <c r="BZ431" s="1">
        <f ca="1">IFERROR(__xludf.DUMMYFUNCTION("""COMPUTED_VALUE"""),0)</f>
        <v>0</v>
      </c>
      <c r="CA431" s="1"/>
      <c r="CB431" s="1"/>
      <c r="CC431" s="1" t="str">
        <f ca="1">IFERROR(__xludf.DUMMYFUNCTION("""COMPUTED_VALUE"""),"विभूतियाँ अपना दायित्व निभाएँ : H_PP_15")</f>
        <v>विभूतियाँ अपना दायित्व निभाएँ : H_PP_15</v>
      </c>
      <c r="CD431" s="3" t="str">
        <f ca="1">IFERROR(__xludf.DUMMYFUNCTION("""COMPUTED_VALUE"""),"https://vicharkrantibooks.org/productdetail?book_name=HINP0956_VIBHUTIYAN_APANA_DAYITV_NIBHAEN_xxyyyy&amp;product_id=1521")</f>
        <v>https://vicharkrantibooks.org/productdetail?book_name=HINP0956_VIBHUTIYAN_APANA_DAYITV_NIBHAEN_xxyyyy&amp;product_id=1521</v>
      </c>
      <c r="CE431" s="1" t="str">
        <f ca="1">IFERROR(__xludf.DUMMYFUNCTION("""COMPUTED_VALUE"""),"Audiobook : विभूतियाँ अपना दायित्व निभाएँ : H_PP_15 : acharyaraviranjan.yogdhara@gmail.com : Recorded")</f>
        <v>Audiobook : विभूतियाँ अपना दायित्व निभाएँ : H_PP_15 : acharyaraviranjan.yogdhara@gmail.com : Recorded</v>
      </c>
      <c r="CF431" s="1" t="str">
        <f ca="1">IFERROR(__xludf.DUMMYFUNCTION("""COMPUTED_VALUE"""),"Audiobook : विभूतियाँ अपना दायित्व निभाएँ : H_PP_15 : acharyaraviranjan.yogdhara@gmail.com : Recorded")</f>
        <v>Audiobook : विभूतियाँ अपना दायित्व निभाएँ : H_PP_15 : acharyaraviranjan.yogdhara@gmail.com : Recorded</v>
      </c>
      <c r="CG431" s="1" t="str">
        <f ca="1">IFERROR(__xludf.DUMMYFUNCTION("""COMPUTED_VALUE"""),"Adarniya Acharya Raviranjan  ji विभूतियाँ अपना दायित्व निभाएँ : H_PP_15 : Allocated on 20-Mar-24 Contact Number  08809767960")</f>
        <v>Adarniya Acharya Raviranjan  ji विभूतियाँ अपना दायित्व निभाएँ : H_PP_15 : Allocated on 20-Mar-24 Contact Number  08809767960</v>
      </c>
      <c r="CH431" s="1" t="str">
        <f ca="1">IFERROR(__xludf.DUMMYFUNCTION("""COMPUTED_VALUE"""),"acharyaraviranjan.yogdhara@gmail.com : विभूतियाँ अपना दायित्व निभाएँ : H_PP_15")</f>
        <v>acharyaraviranjan.yogdhara@gmail.com : विभूतियाँ अपना दायित्व निभाएँ : H_PP_15</v>
      </c>
      <c r="CI431" s="5">
        <f ca="1">IFERROR(__xludf.DUMMYFUNCTION("""COMPUTED_VALUE"""),45371.3066694675)</f>
        <v>45371.3066694675</v>
      </c>
    </row>
    <row r="432" spans="1:87" x14ac:dyDescent="0.25">
      <c r="A432" s="5">
        <f ca="1">IFERROR(__xludf.DUMMYFUNCTION("""COMPUTED_VALUE"""),45371.3038331134)</f>
        <v>45371.303833113401</v>
      </c>
      <c r="B432" s="1" t="str">
        <f ca="1">IFERROR(__xludf.DUMMYFUNCTION("""COMPUTED_VALUE"""),"shweta.r.gupta79@gmail.com")</f>
        <v>shweta.r.gupta79@gmail.com</v>
      </c>
      <c r="C432" s="1" t="str">
        <f ca="1">IFERROR(__xludf.DUMMYFUNCTION("""COMPUTED_VALUE"""),"Shweta Gupta ")</f>
        <v xml:space="preserve">Shweta Gupta </v>
      </c>
      <c r="D432" s="1">
        <f ca="1">IFERROR(__xludf.DUMMYFUNCTION("""COMPUTED_VALUE"""),8369516724)</f>
        <v>8369516724</v>
      </c>
      <c r="E432" s="1" t="str">
        <f ca="1">IFERROR(__xludf.DUMMYFUNCTION("""COMPUTED_VALUE"""),"Yes")</f>
        <v>Yes</v>
      </c>
      <c r="F432" s="1" t="str">
        <f ca="1">IFERROR(__xludf.DUMMYFUNCTION("""COMPUTED_VALUE"""),"हिन्दी")</f>
        <v>हिन्दी</v>
      </c>
      <c r="G432" s="1" t="str">
        <f ca="1">IFERROR(__xludf.DUMMYFUNCTION("""COMPUTED_VALUE"""),"समग्र स्वास्थ्य")</f>
        <v>समग्र स्वास्थ्य</v>
      </c>
      <c r="H432" s="1"/>
      <c r="I432" s="1"/>
      <c r="J432" s="1"/>
      <c r="K432" s="1"/>
      <c r="L432" s="1"/>
      <c r="M432" s="1"/>
      <c r="N432" s="1"/>
      <c r="O432" s="1"/>
      <c r="P432" s="1"/>
      <c r="Q432" s="1"/>
      <c r="R432" s="1"/>
      <c r="S432" s="1"/>
      <c r="T432" s="1"/>
      <c r="U432" s="1" t="str">
        <f ca="1">IFERROR(__xludf.DUMMYFUNCTION("""COMPUTED_VALUE"""),"स्वास्थ्य संवर्धन")</f>
        <v>स्वास्थ्य संवर्धन</v>
      </c>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f ca="1">IFERROR(__xludf.DUMMYFUNCTION("""COMPUTED_VALUE"""),31)</f>
        <v>31</v>
      </c>
      <c r="BX432" s="1">
        <f ca="1">IFERROR(__xludf.DUMMYFUNCTION("""COMPUTED_VALUE"""),45)</f>
        <v>45</v>
      </c>
      <c r="BY432" s="1">
        <f ca="1">IFERROR(__xludf.DUMMYFUNCTION("""COMPUTED_VALUE"""),3)</f>
        <v>3</v>
      </c>
      <c r="BZ432" s="1">
        <f ca="1">IFERROR(__xludf.DUMMYFUNCTION("""COMPUTED_VALUE"""),40)</f>
        <v>40</v>
      </c>
      <c r="CA432" s="1"/>
      <c r="CB432" s="1"/>
      <c r="CC432" s="1" t="str">
        <f ca="1">IFERROR(__xludf.DUMMYFUNCTION("""COMPUTED_VALUE"""),"संस्कृति का वैभव पुनः लौटेगा : H_JS_100")</f>
        <v>संस्कृति का वैभव पुनः लौटेगा : H_JS_100</v>
      </c>
      <c r="CD432" s="3" t="str">
        <f ca="1">IFERROR(__xludf.DUMMYFUNCTION("""COMPUTED_VALUE"""),"https://vicharkrantibooks.org/productdetail?book_name=HINP0789_SANSKRUTI_KA_VHAIBHAV_PUNAH_LAUTEGA_xx2011&amp;product_id=1354")</f>
        <v>https://vicharkrantibooks.org/productdetail?book_name=HINP0789_SANSKRUTI_KA_VHAIBHAV_PUNAH_LAUTEGA_xx2011&amp;product_id=1354</v>
      </c>
      <c r="CE432" s="1" t="str">
        <f ca="1">IFERROR(__xludf.DUMMYFUNCTION("""COMPUTED_VALUE"""),"Audiobook : संस्कृति का वैभव पुनः लौटेगा : H_JS_100 : shweta.r.gupta79@gmail.com : Recorded")</f>
        <v>Audiobook : संस्कृति का वैभव पुनः लौटेगा : H_JS_100 : shweta.r.gupta79@gmail.com : Recorded</v>
      </c>
      <c r="CF432" s="1" t="str">
        <f ca="1">IFERROR(__xludf.DUMMYFUNCTION("""COMPUTED_VALUE"""),"Audiobook : संस्कृति का वैभव पुनः लौटेगा : H_JS_100 : shweta.r.gupta79@gmail.com : Recorded")</f>
        <v>Audiobook : संस्कृति का वैभव पुनः लौटेगा : H_JS_100 : shweta.r.gupta79@gmail.com : Recorded</v>
      </c>
      <c r="CG432" s="1" t="str">
        <f ca="1">IFERROR(__xludf.DUMMYFUNCTION("""COMPUTED_VALUE"""),"Adarniya Shweta Gupta  ji संस्कृति का वैभव पुनः लौटेगा : H_JS_100 : Allocated on 20-Mar-24 Contact Number  8369516724")</f>
        <v>Adarniya Shweta Gupta  ji संस्कृति का वैभव पुनः लौटेगा : H_JS_100 : Allocated on 20-Mar-24 Contact Number  8369516724</v>
      </c>
      <c r="CH432" s="1" t="str">
        <f ca="1">IFERROR(__xludf.DUMMYFUNCTION("""COMPUTED_VALUE"""),"shweta.r.gupta79@gmail.com : संस्कृति का वैभव पुनः लौटेगा : H_JS_100")</f>
        <v>shweta.r.gupta79@gmail.com : संस्कृति का वैभव पुनः लौटेगा : H_JS_100</v>
      </c>
      <c r="CI432" s="5">
        <f ca="1">IFERROR(__xludf.DUMMYFUNCTION("""COMPUTED_VALUE"""),45371.3038331134)</f>
        <v>45371.303833113401</v>
      </c>
    </row>
    <row r="433" spans="1:87" x14ac:dyDescent="0.25">
      <c r="A433" s="5">
        <f ca="1">IFERROR(__xludf.DUMMYFUNCTION("""COMPUTED_VALUE"""),45370.9354819907)</f>
        <v>45370.935481990702</v>
      </c>
      <c r="B433" s="1" t="str">
        <f ca="1">IFERROR(__xludf.DUMMYFUNCTION("""COMPUTED_VALUE"""),"druma4107@gmail.com")</f>
        <v>druma4107@gmail.com</v>
      </c>
      <c r="C433" s="1" t="str">
        <f ca="1">IFERROR(__xludf.DUMMYFUNCTION("""COMPUTED_VALUE"""),"Dr Uma Agrawal")</f>
        <v>Dr Uma Agrawal</v>
      </c>
      <c r="D433" s="1">
        <f ca="1">IFERROR(__xludf.DUMMYFUNCTION("""COMPUTED_VALUE"""),9410861182)</f>
        <v>9410861182</v>
      </c>
      <c r="E433" s="1" t="str">
        <f ca="1">IFERROR(__xludf.DUMMYFUNCTION("""COMPUTED_VALUE"""),"Yes")</f>
        <v>Yes</v>
      </c>
      <c r="F433" s="1" t="str">
        <f ca="1">IFERROR(__xludf.DUMMYFUNCTION("""COMPUTED_VALUE"""),"हिन्दी")</f>
        <v>हिन्दी</v>
      </c>
      <c r="G433" s="1" t="str">
        <f ca="1">IFERROR(__xludf.DUMMYFUNCTION("""COMPUTED_VALUE"""),"युग परिवर्तन-विचार क्रांति")</f>
        <v>युग परिवर्तन-विचार क्रांति</v>
      </c>
      <c r="H433" s="1"/>
      <c r="I433" s="1"/>
      <c r="J433" s="1"/>
      <c r="K433" s="1"/>
      <c r="L433" s="1"/>
      <c r="M433" s="1"/>
      <c r="N433" s="1"/>
      <c r="O433" s="1"/>
      <c r="P433" s="1"/>
      <c r="Q433" s="1" t="str">
        <f ca="1">IFERROR(__xludf.DUMMYFUNCTION("""COMPUTED_VALUE"""),"ज्ञानयज्ञ")</f>
        <v>ज्ञानयज्ञ</v>
      </c>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f ca="1">IFERROR(__xludf.DUMMYFUNCTION("""COMPUTED_VALUE"""),104)</f>
        <v>104</v>
      </c>
      <c r="BX433" s="1">
        <f ca="1">IFERROR(__xludf.DUMMYFUNCTION("""COMPUTED_VALUE"""),106)</f>
        <v>106</v>
      </c>
      <c r="BY433" s="1">
        <f ca="1">IFERROR(__xludf.DUMMYFUNCTION("""COMPUTED_VALUE"""),9)</f>
        <v>9</v>
      </c>
      <c r="BZ433" s="1">
        <f ca="1">IFERROR(__xludf.DUMMYFUNCTION("""COMPUTED_VALUE"""),43)</f>
        <v>43</v>
      </c>
      <c r="CA433" s="1"/>
      <c r="CB433" s="1"/>
      <c r="CC433" s="1" t="str">
        <f ca="1">IFERROR(__xludf.DUMMYFUNCTION("""COMPUTED_VALUE"""),"ज्ञान सर्वश्रेष्ठ विभूति : Rare Book")</f>
        <v>ज्ञान सर्वश्रेष्ठ विभूति : Rare Book</v>
      </c>
      <c r="CD433" s="3" t="str">
        <f ca="1">IFERROR(__xludf.DUMMYFUNCTION("""COMPUTED_VALUE"""),"https://vicharkrantibooks.org/productdetail?book_name=HINP0322_GYAN_SARVASHRESHTH_VIBHUTI_xxyyyy&amp;product_id=887")</f>
        <v>https://vicharkrantibooks.org/productdetail?book_name=HINP0322_GYAN_SARVASHRESHTH_VIBHUTI_xxyyyy&amp;product_id=887</v>
      </c>
      <c r="CE433" s="1" t="str">
        <f ca="1">IFERROR(__xludf.DUMMYFUNCTION("""COMPUTED_VALUE"""),"Audiobook : ज्ञान सर्वश्रेष्ठ विभूति : Rare Book : druma4107@gmail.com : Recorded")</f>
        <v>Audiobook : ज्ञान सर्वश्रेष्ठ विभूति : Rare Book : druma4107@gmail.com : Recorded</v>
      </c>
      <c r="CF433" s="1" t="str">
        <f ca="1">IFERROR(__xludf.DUMMYFUNCTION("""COMPUTED_VALUE"""),"Audiobook : ज्ञान सर्वश्रेष्ठ विभूति : Rare Book : druma4107@gmail.com : Recorded")</f>
        <v>Audiobook : ज्ञान सर्वश्रेष्ठ विभूति : Rare Book : druma4107@gmail.com : Recorded</v>
      </c>
      <c r="CG433" s="1" t="str">
        <f ca="1">IFERROR(__xludf.DUMMYFUNCTION("""COMPUTED_VALUE"""),"Adarniya Dr Uma Agrawal ji ज्ञान सर्वश्रेष्ठ विभूति : Rare Book : Allocated on 19-Mar-24 Contact Number  9410861182")</f>
        <v>Adarniya Dr Uma Agrawal ji ज्ञान सर्वश्रेष्ठ विभूति : Rare Book : Allocated on 19-Mar-24 Contact Number  9410861182</v>
      </c>
      <c r="CH433" s="1" t="str">
        <f ca="1">IFERROR(__xludf.DUMMYFUNCTION("""COMPUTED_VALUE"""),"druma4107@gmail.com : ज्ञान सर्वश्रेष्ठ विभूति : Rare Book")</f>
        <v>druma4107@gmail.com : ज्ञान सर्वश्रेष्ठ विभूति : Rare Book</v>
      </c>
      <c r="CI433" s="5">
        <f ca="1">IFERROR(__xludf.DUMMYFUNCTION("""COMPUTED_VALUE"""),45370.9354819907)</f>
        <v>45370.935481990702</v>
      </c>
    </row>
    <row r="434" spans="1:87" x14ac:dyDescent="0.25">
      <c r="A434" s="5">
        <f ca="1">IFERROR(__xludf.DUMMYFUNCTION("""COMPUTED_VALUE"""),45369.7410048032)</f>
        <v>45369.741004803203</v>
      </c>
      <c r="B434" s="1" t="str">
        <f ca="1">IFERROR(__xludf.DUMMYFUNCTION("""COMPUTED_VALUE"""),"spmittalmumbai@gmail.com")</f>
        <v>spmittalmumbai@gmail.com</v>
      </c>
      <c r="C434" s="1" t="str">
        <f ca="1">IFERROR(__xludf.DUMMYFUNCTION("""COMPUTED_VALUE"""),"SP.Mittal")</f>
        <v>SP.Mittal</v>
      </c>
      <c r="D434" s="1">
        <f ca="1">IFERROR(__xludf.DUMMYFUNCTION("""COMPUTED_VALUE"""),9860003407)</f>
        <v>9860003407</v>
      </c>
      <c r="E434" s="1" t="str">
        <f ca="1">IFERROR(__xludf.DUMMYFUNCTION("""COMPUTED_VALUE"""),"Yes")</f>
        <v>Yes</v>
      </c>
      <c r="F434" s="1" t="str">
        <f ca="1">IFERROR(__xludf.DUMMYFUNCTION("""COMPUTED_VALUE"""),"हिन्दी")</f>
        <v>हिन्दी</v>
      </c>
      <c r="G434" s="1" t="str">
        <f ca="1">IFERROR(__xludf.DUMMYFUNCTION("""COMPUTED_VALUE"""),"समाज निर्माण")</f>
        <v>समाज निर्माण</v>
      </c>
      <c r="H434" s="1"/>
      <c r="I434" s="1"/>
      <c r="J434" s="1"/>
      <c r="K434" s="1"/>
      <c r="L434" s="1"/>
      <c r="M434" s="1"/>
      <c r="N434" s="1"/>
      <c r="O434" s="1"/>
      <c r="P434" s="1"/>
      <c r="Q434" s="1"/>
      <c r="R434" s="1"/>
      <c r="S434" s="1"/>
      <c r="T434" s="1"/>
      <c r="U434" s="1"/>
      <c r="V434" s="1" t="str">
        <f ca="1">IFERROR(__xludf.DUMMYFUNCTION("""COMPUTED_VALUE"""),"समाज निर्माण")</f>
        <v>समाज निर्माण</v>
      </c>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f ca="1">IFERROR(__xludf.DUMMYFUNCTION("""COMPUTED_VALUE"""),39)</f>
        <v>39</v>
      </c>
      <c r="BX434" s="1">
        <f ca="1">IFERROR(__xludf.DUMMYFUNCTION("""COMPUTED_VALUE"""),32)</f>
        <v>32</v>
      </c>
      <c r="BY434" s="1">
        <f ca="1">IFERROR(__xludf.DUMMYFUNCTION("""COMPUTED_VALUE"""),11)</f>
        <v>11</v>
      </c>
      <c r="BZ434" s="1">
        <f ca="1">IFERROR(__xludf.DUMMYFUNCTION("""COMPUTED_VALUE"""),23)</f>
        <v>23</v>
      </c>
      <c r="CA434" s="1"/>
      <c r="CB434" s="1"/>
      <c r="CC434" s="1" t="str">
        <f ca="1">IFERROR(__xludf.DUMMYFUNCTION("""COMPUTED_VALUE"""),"व्यसनों के पिशाच से बचें : H_PP_31")</f>
        <v>व्यसनों के पिशाच से बचें : H_PP_31</v>
      </c>
      <c r="CD434" s="3" t="str">
        <f ca="1">IFERROR(__xludf.DUMMYFUNCTION("""COMPUTED_VALUE"""),"https://vicharkrantibooks.org/productdetail?book_name=HINP1015_VYASANON_KE_PISHACH_SE_BACHEN_xxyyyy&amp;product_id=1580")</f>
        <v>https://vicharkrantibooks.org/productdetail?book_name=HINP1015_VYASANON_KE_PISHACH_SE_BACHEN_xxyyyy&amp;product_id=1580</v>
      </c>
      <c r="CE434" s="1" t="str">
        <f ca="1">IFERROR(__xludf.DUMMYFUNCTION("""COMPUTED_VALUE"""),"Audiobook : व्यसनों के पिशाच से बचें : H_PP_31 : spmittalmumbai@gmail.com : Recorded")</f>
        <v>Audiobook : व्यसनों के पिशाच से बचें : H_PP_31 : spmittalmumbai@gmail.com : Recorded</v>
      </c>
      <c r="CF434" s="1" t="str">
        <f ca="1">IFERROR(__xludf.DUMMYFUNCTION("""COMPUTED_VALUE"""),"Audiobook : व्यसनों के पिशाच से बचें : H_PP_31 : spmittalmumbai@gmail.com : Recorded")</f>
        <v>Audiobook : व्यसनों के पिशाच से बचें : H_PP_31 : spmittalmumbai@gmail.com : Recorded</v>
      </c>
      <c r="CG434" s="1" t="str">
        <f ca="1">IFERROR(__xludf.DUMMYFUNCTION("""COMPUTED_VALUE"""),"Adarniya SP.Mittal ji व्यसनों के पिशाच से बचें : H_PP_31 : Allocated on 18-Mar-24 Contact Number  9860003407")</f>
        <v>Adarniya SP.Mittal ji व्यसनों के पिशाच से बचें : H_PP_31 : Allocated on 18-Mar-24 Contact Number  9860003407</v>
      </c>
      <c r="CH434" s="1" t="str">
        <f ca="1">IFERROR(__xludf.DUMMYFUNCTION("""COMPUTED_VALUE"""),"spmittalmumbai@gmail.com : व्यसनों के पिशाच से बचें : H_PP_31")</f>
        <v>spmittalmumbai@gmail.com : व्यसनों के पिशाच से बचें : H_PP_31</v>
      </c>
      <c r="CI434" s="5">
        <f ca="1">IFERROR(__xludf.DUMMYFUNCTION("""COMPUTED_VALUE"""),45369.7410048032)</f>
        <v>45369.741004803203</v>
      </c>
    </row>
    <row r="435" spans="1:87" x14ac:dyDescent="0.25">
      <c r="A435" s="5">
        <f ca="1">IFERROR(__xludf.DUMMYFUNCTION("""COMPUTED_VALUE"""),45369.6239309027)</f>
        <v>45369.623930902701</v>
      </c>
      <c r="B435" s="1" t="str">
        <f ca="1">IFERROR(__xludf.DUMMYFUNCTION("""COMPUTED_VALUE"""),"rbbansalriya@gmail.com")</f>
        <v>rbbansalriya@gmail.com</v>
      </c>
      <c r="C435" s="1" t="str">
        <f ca="1">IFERROR(__xludf.DUMMYFUNCTION("""COMPUTED_VALUE"""),"Riya bansal ")</f>
        <v xml:space="preserve">Riya bansal </v>
      </c>
      <c r="D435" s="1">
        <f ca="1">IFERROR(__xludf.DUMMYFUNCTION("""COMPUTED_VALUE"""),9176361023)</f>
        <v>9176361023</v>
      </c>
      <c r="E435" s="1" t="str">
        <f ca="1">IFERROR(__xludf.DUMMYFUNCTION("""COMPUTED_VALUE"""),"Yes")</f>
        <v>Yes</v>
      </c>
      <c r="F435" s="1" t="str">
        <f ca="1">IFERROR(__xludf.DUMMYFUNCTION("""COMPUTED_VALUE"""),"हिन्दी")</f>
        <v>हिन्दी</v>
      </c>
      <c r="G435" s="1" t="str">
        <f ca="1">IFERROR(__xludf.DUMMYFUNCTION("""COMPUTED_VALUE"""),"जीवन प्रबंध")</f>
        <v>जीवन प्रबंध</v>
      </c>
      <c r="H435" s="1"/>
      <c r="I435" s="1"/>
      <c r="J435" s="1"/>
      <c r="K435" s="1"/>
      <c r="L435" s="1" t="str">
        <f ca="1">IFERROR(__xludf.DUMMYFUNCTION("""COMPUTED_VALUE"""),"सद्‌चिंतन, विचार एवं सूक्तियाँ")</f>
        <v>सद्‌चिंतन, विचार एवं सूक्तियाँ</v>
      </c>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f ca="1">IFERROR(__xludf.DUMMYFUNCTION("""COMPUTED_VALUE"""),54)</f>
        <v>54</v>
      </c>
      <c r="BX435" s="1">
        <f ca="1">IFERROR(__xludf.DUMMYFUNCTION("""COMPUTED_VALUE"""),55)</f>
        <v>55</v>
      </c>
      <c r="BY435" s="1">
        <f ca="1">IFERROR(__xludf.DUMMYFUNCTION("""COMPUTED_VALUE"""),9)</f>
        <v>9</v>
      </c>
      <c r="BZ435" s="1">
        <f ca="1">IFERROR(__xludf.DUMMYFUNCTION("""COMPUTED_VALUE"""),43)</f>
        <v>43</v>
      </c>
      <c r="CA435" s="1"/>
      <c r="CB435" s="1"/>
      <c r="CC435" s="1" t="str">
        <f ca="1">IFERROR(__xludf.DUMMYFUNCTION("""COMPUTED_VALUE"""),"जीवन साधना की उर्जा रश्मियाँ : H_SC_04")</f>
        <v>जीवन साधना की उर्जा रश्मियाँ : H_SC_04</v>
      </c>
      <c r="CD435" s="3" t="str">
        <f ca="1">IFERROR(__xludf.DUMMYFUNCTION("""COMPUTED_VALUE"""),"https://vicharkrantibooks.org/productdetail?book_name=HINP0395_JIVAN_SADHANA_KI_URJA_RASHAMIYAN_xxyyyy&amp;product_id=960")</f>
        <v>https://vicharkrantibooks.org/productdetail?book_name=HINP0395_JIVAN_SADHANA_KI_URJA_RASHAMIYAN_xxyyyy&amp;product_id=960</v>
      </c>
      <c r="CE435" s="1" t="str">
        <f ca="1">IFERROR(__xludf.DUMMYFUNCTION("""COMPUTED_VALUE"""),"Audiobook : जीवन साधना की उर्जा रश्मियाँ : H_SC_04 : rbbansalriya@gmail.com : Recorded")</f>
        <v>Audiobook : जीवन साधना की उर्जा रश्मियाँ : H_SC_04 : rbbansalriya@gmail.com : Recorded</v>
      </c>
      <c r="CF435" s="1" t="str">
        <f ca="1">IFERROR(__xludf.DUMMYFUNCTION("""COMPUTED_VALUE"""),"Audiobook : जीवन साधना की उर्जा रश्मियाँ : H_SC_04 : rbbansalriya@gmail.com : Recorded")</f>
        <v>Audiobook : जीवन साधना की उर्जा रश्मियाँ : H_SC_04 : rbbansalriya@gmail.com : Recorded</v>
      </c>
      <c r="CG435" s="1" t="str">
        <f ca="1">IFERROR(__xludf.DUMMYFUNCTION("""COMPUTED_VALUE"""),"Adarniya Riya bansal  ji जीवन साधना की उर्जा रश्मियाँ : H_SC_04 : Allocated on 18-Mar-24 Contact Number  9176361023")</f>
        <v>Adarniya Riya bansal  ji जीवन साधना की उर्जा रश्मियाँ : H_SC_04 : Allocated on 18-Mar-24 Contact Number  9176361023</v>
      </c>
      <c r="CH435" s="1" t="str">
        <f ca="1">IFERROR(__xludf.DUMMYFUNCTION("""COMPUTED_VALUE"""),"rbbansalriya@gmail.com : जीवन साधना की उर्जा रश्मियाँ : H_SC_04")</f>
        <v>rbbansalriya@gmail.com : जीवन साधना की उर्जा रश्मियाँ : H_SC_04</v>
      </c>
      <c r="CI435" s="5">
        <f ca="1">IFERROR(__xludf.DUMMYFUNCTION("""COMPUTED_VALUE"""),45369.6239309027)</f>
        <v>45369.623930902701</v>
      </c>
    </row>
    <row r="436" spans="1:87" x14ac:dyDescent="0.25">
      <c r="A436" s="5">
        <f ca="1">IFERROR(__xludf.DUMMYFUNCTION("""COMPUTED_VALUE"""),45367.8432021759)</f>
        <v>45367.8432021759</v>
      </c>
      <c r="B436" s="1" t="str">
        <f ca="1">IFERROR(__xludf.DUMMYFUNCTION("""COMPUTED_VALUE"""),"daleshwary67@gmail.com")</f>
        <v>daleshwary67@gmail.com</v>
      </c>
      <c r="C436" s="1" t="str">
        <f ca="1">IFERROR(__xludf.DUMMYFUNCTION("""COMPUTED_VALUE"""),"daleshwary sharma")</f>
        <v>daleshwary sharma</v>
      </c>
      <c r="D436" s="1">
        <f ca="1">IFERROR(__xludf.DUMMYFUNCTION("""COMPUTED_VALUE"""),8587900034)</f>
        <v>8587900034</v>
      </c>
      <c r="E436" s="1" t="str">
        <f ca="1">IFERROR(__xludf.DUMMYFUNCTION("""COMPUTED_VALUE"""),"No")</f>
        <v>No</v>
      </c>
      <c r="F436" s="1" t="str">
        <f ca="1">IFERROR(__xludf.DUMMYFUNCTION("""COMPUTED_VALUE"""),"हिन्दी")</f>
        <v>हिन्दी</v>
      </c>
      <c r="G436" s="1" t="str">
        <f ca="1">IFERROR(__xludf.DUMMYFUNCTION("""COMPUTED_VALUE"""),"गायत्री परिवार")</f>
        <v>गायत्री परिवार</v>
      </c>
      <c r="H436" s="1"/>
      <c r="I436" s="1"/>
      <c r="J436" s="1" t="str">
        <f ca="1">IFERROR(__xludf.DUMMYFUNCTION("""COMPUTED_VALUE"""),"सृजन शिल्पियों की योजनाबद्ध कार्य पद्धति")</f>
        <v>सृजन शिल्पियों की योजनाबद्ध कार्य पद्धति</v>
      </c>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f ca="1">IFERROR(__xludf.DUMMYFUNCTION("""COMPUTED_VALUE"""),15)</f>
        <v>15</v>
      </c>
      <c r="BX436" s="1">
        <f ca="1">IFERROR(__xludf.DUMMYFUNCTION("""COMPUTED_VALUE"""),9)</f>
        <v>9</v>
      </c>
      <c r="BY436" s="1">
        <f ca="1">IFERROR(__xludf.DUMMYFUNCTION("""COMPUTED_VALUE"""),5)</f>
        <v>5</v>
      </c>
      <c r="BZ436" s="1">
        <f ca="1">IFERROR(__xludf.DUMMYFUNCTION("""COMPUTED_VALUE"""),5)</f>
        <v>5</v>
      </c>
      <c r="CA436" s="1"/>
      <c r="CB436" s="1"/>
      <c r="CC436" s="1" t="str">
        <f ca="1">IFERROR(__xludf.DUMMYFUNCTION("""COMPUTED_VALUE"""),"ज्ञान का प्रकाश घर-घर पहुँचाया जाए : Rare Book")</f>
        <v>ज्ञान का प्रकाश घर-घर पहुँचाया जाए : Rare Book</v>
      </c>
      <c r="CD436" s="3" t="str">
        <f ca="1">IFERROR(__xludf.DUMMYFUNCTION("""COMPUTED_VALUE"""),"https://vicharkrantibooks.org/productdetail?book_name=HINP0320_GYAN_KA_PRAKASH_GHAR_GHAR_PAHUNCHAYA_JAE_xxyyyy&amp;product_id=885")</f>
        <v>https://vicharkrantibooks.org/productdetail?book_name=HINP0320_GYAN_KA_PRAKASH_GHAR_GHAR_PAHUNCHAYA_JAE_xxyyyy&amp;product_id=885</v>
      </c>
      <c r="CE436" s="1" t="str">
        <f ca="1">IFERROR(__xludf.DUMMYFUNCTION("""COMPUTED_VALUE"""),"Audiobook : ज्ञान का प्रकाश घर-घर पहुँचाया जाए : Rare Book : daleshwary67@gmail.com : Recorded")</f>
        <v>Audiobook : ज्ञान का प्रकाश घर-घर पहुँचाया जाए : Rare Book : daleshwary67@gmail.com : Recorded</v>
      </c>
      <c r="CF436" s="1" t="str">
        <f ca="1">IFERROR(__xludf.DUMMYFUNCTION("""COMPUTED_VALUE"""),"Audiobook : ज्ञान का प्रकाश घर-घर पहुँचाया जाए : Rare Book : daleshwary67@gmail.com : Recorded")</f>
        <v>Audiobook : ज्ञान का प्रकाश घर-घर पहुँचाया जाए : Rare Book : daleshwary67@gmail.com : Recorded</v>
      </c>
      <c r="CG436" s="1" t="str">
        <f ca="1">IFERROR(__xludf.DUMMYFUNCTION("""COMPUTED_VALUE"""),"Adarniya daleshwary sharma ji ज्ञान का प्रकाश घर-घर पहुँचाया जाए : Rare Book : Allocated on 16-Mar-24 Contact Number  8587900034")</f>
        <v>Adarniya daleshwary sharma ji ज्ञान का प्रकाश घर-घर पहुँचाया जाए : Rare Book : Allocated on 16-Mar-24 Contact Number  8587900034</v>
      </c>
      <c r="CH436" s="1" t="str">
        <f ca="1">IFERROR(__xludf.DUMMYFUNCTION("""COMPUTED_VALUE"""),"daleshwary67@gmail.com : ज्ञान का प्रकाश घर-घर पहुँचाया जाए : Rare Book")</f>
        <v>daleshwary67@gmail.com : ज्ञान का प्रकाश घर-घर पहुँचाया जाए : Rare Book</v>
      </c>
      <c r="CI436" s="5">
        <f ca="1">IFERROR(__xludf.DUMMYFUNCTION("""COMPUTED_VALUE"""),45367.8432021759)</f>
        <v>45367.8432021759</v>
      </c>
    </row>
    <row r="437" spans="1:87" x14ac:dyDescent="0.25">
      <c r="A437" s="5">
        <f ca="1">IFERROR(__xludf.DUMMYFUNCTION("""COMPUTED_VALUE"""),45367.3878288657)</f>
        <v>45367.3878288657</v>
      </c>
      <c r="B437" s="1" t="str">
        <f ca="1">IFERROR(__xludf.DUMMYFUNCTION("""COMPUTED_VALUE"""),"rajnivarma24.vns@gmail.com")</f>
        <v>rajnivarma24.vns@gmail.com</v>
      </c>
      <c r="C437" s="1" t="str">
        <f ca="1">IFERROR(__xludf.DUMMYFUNCTION("""COMPUTED_VALUE"""),"Rajni varma")</f>
        <v>Rajni varma</v>
      </c>
      <c r="D437" s="1">
        <f ca="1">IFERROR(__xludf.DUMMYFUNCTION("""COMPUTED_VALUE"""),9335661433)</f>
        <v>9335661433</v>
      </c>
      <c r="E437" s="1" t="str">
        <f ca="1">IFERROR(__xludf.DUMMYFUNCTION("""COMPUTED_VALUE"""),"No")</f>
        <v>No</v>
      </c>
      <c r="F437" s="1" t="str">
        <f ca="1">IFERROR(__xludf.DUMMYFUNCTION("""COMPUTED_VALUE"""),"हिन्दी")</f>
        <v>हिन्दी</v>
      </c>
      <c r="G437" s="1" t="str">
        <f ca="1">IFERROR(__xludf.DUMMYFUNCTION("""COMPUTED_VALUE"""),"युग द्रष्टा पं. श्रीराम शर्मा आचार्यजी")</f>
        <v>युग द्रष्टा पं. श्रीराम शर्मा आचार्यजी</v>
      </c>
      <c r="H437" s="1"/>
      <c r="I437" s="1"/>
      <c r="J437" s="1"/>
      <c r="K437" s="1"/>
      <c r="L437" s="1"/>
      <c r="M437" s="1"/>
      <c r="N437" s="1"/>
      <c r="O437" s="1"/>
      <c r="P437" s="1" t="str">
        <f ca="1">IFERROR(__xludf.DUMMYFUNCTION("""COMPUTED_VALUE"""),"युगॠषी का जीवनदर्शन")</f>
        <v>युगॠषी का जीवनदर्शन</v>
      </c>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f ca="1">IFERROR(__xludf.DUMMYFUNCTION("""COMPUTED_VALUE"""),30)</f>
        <v>30</v>
      </c>
      <c r="BX437" s="1">
        <f ca="1">IFERROR(__xludf.DUMMYFUNCTION("""COMPUTED_VALUE"""),25)</f>
        <v>25</v>
      </c>
      <c r="BY437" s="1">
        <f ca="1">IFERROR(__xludf.DUMMYFUNCTION("""COMPUTED_VALUE"""),7)</f>
        <v>7</v>
      </c>
      <c r="BZ437" s="1">
        <f ca="1">IFERROR(__xludf.DUMMYFUNCTION("""COMPUTED_VALUE"""),7)</f>
        <v>7</v>
      </c>
      <c r="CA437" s="1"/>
      <c r="CB437" s="1"/>
      <c r="CC437" s="1" t="str">
        <f ca="1">IFERROR(__xludf.DUMMYFUNCTION("""COMPUTED_VALUE"""),"महाकाल का घोंसला शांतिकुंज : H_SC_09")</f>
        <v>महाकाल का घोंसला शांतिकुंज : H_SC_09</v>
      </c>
      <c r="CD437" s="3" t="str">
        <f ca="1">IFERROR(__xludf.DUMMYFUNCTION("""COMPUTED_VALUE"""),"https://vicharkrantibooks.org/productdetail?book_name=HINP0465_MAHAKAL_KA_GHONSALA_SHANTIKUNJ_xxyyyy&amp;product_id=1030")</f>
        <v>https://vicharkrantibooks.org/productdetail?book_name=HINP0465_MAHAKAL_KA_GHONSALA_SHANTIKUNJ_xxyyyy&amp;product_id=1030</v>
      </c>
      <c r="CE437" s="1" t="str">
        <f ca="1">IFERROR(__xludf.DUMMYFUNCTION("""COMPUTED_VALUE"""),"Audiobook : महाकाल का घोंसला शांतिकुंज : H_SC_09 : rajnivarma24.vns@gmail.com : Recorded")</f>
        <v>Audiobook : महाकाल का घोंसला शांतिकुंज : H_SC_09 : rajnivarma24.vns@gmail.com : Recorded</v>
      </c>
      <c r="CF437" s="1" t="str">
        <f ca="1">IFERROR(__xludf.DUMMYFUNCTION("""COMPUTED_VALUE"""),"Audiobook : महाकाल का घोंसला शांतिकुंज : H_SC_09 : rajnivarma24.vns@gmail.com : Recorded")</f>
        <v>Audiobook : महाकाल का घोंसला शांतिकुंज : H_SC_09 : rajnivarma24.vns@gmail.com : Recorded</v>
      </c>
      <c r="CG437" s="1" t="str">
        <f ca="1">IFERROR(__xludf.DUMMYFUNCTION("""COMPUTED_VALUE"""),"Adarniya Rajni varma ji महाकाल का घोंसला शांतिकुंज : H_SC_09 : Allocated on 16-Mar-24 Contact Number  9335661433")</f>
        <v>Adarniya Rajni varma ji महाकाल का घोंसला शांतिकुंज : H_SC_09 : Allocated on 16-Mar-24 Contact Number  9335661433</v>
      </c>
      <c r="CH437" s="1" t="str">
        <f ca="1">IFERROR(__xludf.DUMMYFUNCTION("""COMPUTED_VALUE"""),"rajnivarma24.vns@gmail.com : महाकाल का घोंसला शांतिकुंज : H_SC_09")</f>
        <v>rajnivarma24.vns@gmail.com : महाकाल का घोंसला शांतिकुंज : H_SC_09</v>
      </c>
      <c r="CI437" s="5">
        <f ca="1">IFERROR(__xludf.DUMMYFUNCTION("""COMPUTED_VALUE"""),45367.3878288657)</f>
        <v>45367.3878288657</v>
      </c>
    </row>
    <row r="438" spans="1:87" x14ac:dyDescent="0.25">
      <c r="A438" s="5">
        <f ca="1">IFERROR(__xludf.DUMMYFUNCTION("""COMPUTED_VALUE"""),45367.3026703472)</f>
        <v>45367.302670347199</v>
      </c>
      <c r="B438" s="1" t="str">
        <f ca="1">IFERROR(__xludf.DUMMYFUNCTION("""COMPUTED_VALUE"""),"guptarakhi072@gmail.com")</f>
        <v>guptarakhi072@gmail.com</v>
      </c>
      <c r="C438" s="1" t="str">
        <f ca="1">IFERROR(__xludf.DUMMYFUNCTION("""COMPUTED_VALUE"""),"Rakhi gupta ")</f>
        <v xml:space="preserve">Rakhi gupta </v>
      </c>
      <c r="D438" s="1">
        <f ca="1">IFERROR(__xludf.DUMMYFUNCTION("""COMPUTED_VALUE"""),812854075)</f>
        <v>812854075</v>
      </c>
      <c r="E438" s="1" t="str">
        <f ca="1">IFERROR(__xludf.DUMMYFUNCTION("""COMPUTED_VALUE"""),"Yes")</f>
        <v>Yes</v>
      </c>
      <c r="F438" s="1" t="str">
        <f ca="1">IFERROR(__xludf.DUMMYFUNCTION("""COMPUTED_VALUE"""),"हिन्दी")</f>
        <v>हिन्दी</v>
      </c>
      <c r="G438" s="1" t="str">
        <f ca="1">IFERROR(__xludf.DUMMYFUNCTION("""COMPUTED_VALUE"""),"वैज्ञानिक अध्यात्मवाद का प्रतिपादन")</f>
        <v>वैज्ञानिक अध्यात्मवाद का प्रतिपादन</v>
      </c>
      <c r="H438" s="1"/>
      <c r="I438" s="1"/>
      <c r="J438" s="1"/>
      <c r="K438" s="1"/>
      <c r="L438" s="1"/>
      <c r="M438" s="1"/>
      <c r="N438" s="1"/>
      <c r="O438" s="1"/>
      <c r="P438" s="1"/>
      <c r="Q438" s="1"/>
      <c r="R438" s="1"/>
      <c r="S438" s="1" t="str">
        <f ca="1">IFERROR(__xludf.DUMMYFUNCTION("""COMPUTED_VALUE"""),"वैज्ञानिक अध्यात्मवाद का प्रतिपादन")</f>
        <v>वैज्ञानिक अध्यात्मवाद का प्रतिपादन</v>
      </c>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f ca="1">IFERROR(__xludf.DUMMYFUNCTION("""COMPUTED_VALUE"""),21)</f>
        <v>21</v>
      </c>
      <c r="BX438" s="1">
        <f ca="1">IFERROR(__xludf.DUMMYFUNCTION("""COMPUTED_VALUE"""),20)</f>
        <v>20</v>
      </c>
      <c r="BY438" s="1">
        <f ca="1">IFERROR(__xludf.DUMMYFUNCTION("""COMPUTED_VALUE"""),2)</f>
        <v>2</v>
      </c>
      <c r="BZ438" s="1">
        <f ca="1">IFERROR(__xludf.DUMMYFUNCTION("""COMPUTED_VALUE"""),14)</f>
        <v>14</v>
      </c>
      <c r="CA438" s="1"/>
      <c r="CB438" s="1"/>
      <c r="CC438" s="1" t="str">
        <f ca="1">IFERROR(__xludf.DUMMYFUNCTION("""COMPUTED_VALUE"""),"नवयुग के दो आधार अध्यात्म और विज्ञान : Rare Book")</f>
        <v>नवयुग के दो आधार अध्यात्म और विज्ञान : Rare Book</v>
      </c>
      <c r="CD438" s="3" t="str">
        <f ca="1">IFERROR(__xludf.DUMMYFUNCTION("""COMPUTED_VALUE"""),"https://vicharkrantibooks.org/productdetail?book_name=HINP0595_NAVAYUG_KE_DO_ADHAR_ADHYATM_AUR_VIGYAN_xx1978&amp;product_id=1160")</f>
        <v>https://vicharkrantibooks.org/productdetail?book_name=HINP0595_NAVAYUG_KE_DO_ADHAR_ADHYATM_AUR_VIGYAN_xx1978&amp;product_id=1160</v>
      </c>
      <c r="CE438" s="1" t="str">
        <f ca="1">IFERROR(__xludf.DUMMYFUNCTION("""COMPUTED_VALUE"""),"Audiobook : नवयुग के दो आधार अध्यात्म और विज्ञान : Rare Book : guptarakhi072@gmail.com : Recorded")</f>
        <v>Audiobook : नवयुग के दो आधार अध्यात्म और विज्ञान : Rare Book : guptarakhi072@gmail.com : Recorded</v>
      </c>
      <c r="CF438" s="1" t="str">
        <f ca="1">IFERROR(__xludf.DUMMYFUNCTION("""COMPUTED_VALUE"""),"Audiobook : नवयुग के दो आधार अध्यात्म और विज्ञान : Rare Book : guptarakhi072@gmail.com : Recorded")</f>
        <v>Audiobook : नवयुग के दो आधार अध्यात्म और विज्ञान : Rare Book : guptarakhi072@gmail.com : Recorded</v>
      </c>
      <c r="CG438" s="1" t="str">
        <f ca="1">IFERROR(__xludf.DUMMYFUNCTION("""COMPUTED_VALUE"""),"Adarniya Rakhi gupta  ji नवयुग के दो आधार अध्यात्म और विज्ञान : Rare Book : Allocated on 16-Mar-24 Contact Number  812854075")</f>
        <v>Adarniya Rakhi gupta  ji नवयुग के दो आधार अध्यात्म और विज्ञान : Rare Book : Allocated on 16-Mar-24 Contact Number  812854075</v>
      </c>
      <c r="CH438" s="1" t="str">
        <f ca="1">IFERROR(__xludf.DUMMYFUNCTION("""COMPUTED_VALUE"""),"guptarakhi072@gmail.com : नवयुग के दो आधार अध्यात्म और विज्ञान : Rare Book")</f>
        <v>guptarakhi072@gmail.com : नवयुग के दो आधार अध्यात्म और विज्ञान : Rare Book</v>
      </c>
      <c r="CI438" s="5">
        <f ca="1">IFERROR(__xludf.DUMMYFUNCTION("""COMPUTED_VALUE"""),45367.3026703472)</f>
        <v>45367.302670347199</v>
      </c>
    </row>
    <row r="439" spans="1:87" x14ac:dyDescent="0.25">
      <c r="A439" s="5">
        <f ca="1">IFERROR(__xludf.DUMMYFUNCTION("""COMPUTED_VALUE"""),45366.9114032986)</f>
        <v>45366.911403298604</v>
      </c>
      <c r="B439" s="1" t="str">
        <f ca="1">IFERROR(__xludf.DUMMYFUNCTION("""COMPUTED_VALUE"""),"drbrpraj@gmail.com")</f>
        <v>drbrpraj@gmail.com</v>
      </c>
      <c r="C439" s="1" t="str">
        <f ca="1">IFERROR(__xludf.DUMMYFUNCTION("""COMPUTED_VALUE"""),"Dr. Baidyanath Ram Prajapati")</f>
        <v>Dr. Baidyanath Ram Prajapati</v>
      </c>
      <c r="D439" s="1" t="str">
        <f ca="1">IFERROR(__xludf.DUMMYFUNCTION("""COMPUTED_VALUE"""),"09811724821")</f>
        <v>09811724821</v>
      </c>
      <c r="E439" s="1" t="str">
        <f ca="1">IFERROR(__xludf.DUMMYFUNCTION("""COMPUTED_VALUE"""),"Yes")</f>
        <v>Yes</v>
      </c>
      <c r="F439" s="1" t="str">
        <f ca="1">IFERROR(__xludf.DUMMYFUNCTION("""COMPUTED_VALUE"""),"हिन्दी")</f>
        <v>हिन्दी</v>
      </c>
      <c r="G439" s="1" t="str">
        <f ca="1">IFERROR(__xludf.DUMMYFUNCTION("""COMPUTED_VALUE"""),"भारतीय संस्कृति")</f>
        <v>भारतीय संस्कृति</v>
      </c>
      <c r="H439" s="1"/>
      <c r="I439" s="1"/>
      <c r="J439" s="1"/>
      <c r="K439" s="1"/>
      <c r="L439" s="1"/>
      <c r="M439" s="1"/>
      <c r="N439" s="1"/>
      <c r="O439" s="1" t="str">
        <f ca="1">IFERROR(__xludf.DUMMYFUNCTION("""COMPUTED_VALUE"""),"भारतीय संस्कृति")</f>
        <v>भारतीय संस्कृति</v>
      </c>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f ca="1">IFERROR(__xludf.DUMMYFUNCTION("""COMPUTED_VALUE"""),8)</f>
        <v>8</v>
      </c>
      <c r="BX439" s="1">
        <f ca="1">IFERROR(__xludf.DUMMYFUNCTION("""COMPUTED_VALUE"""),5)</f>
        <v>5</v>
      </c>
      <c r="BY439" s="1">
        <f ca="1">IFERROR(__xludf.DUMMYFUNCTION("""COMPUTED_VALUE"""),3)</f>
        <v>3</v>
      </c>
      <c r="BZ439" s="1">
        <f ca="1">IFERROR(__xludf.DUMMYFUNCTION("""COMPUTED_VALUE"""),1)</f>
        <v>1</v>
      </c>
      <c r="CA439" s="1"/>
      <c r="CB439" s="1"/>
      <c r="CC439" s="1" t="str">
        <f ca="1">IFERROR(__xludf.DUMMYFUNCTION("""COMPUTED_VALUE"""),"गायत्री अनुष्ठान और उसका विधि विधान : Rare Book")</f>
        <v>गायत्री अनुष्ठान और उसका विधि विधान : Rare Book</v>
      </c>
      <c r="CD439" s="3" t="str">
        <f ca="1">IFERROR(__xludf.DUMMYFUNCTION("""COMPUTED_VALUE"""),"https://vicharkrantibooks.org/productdetail?book_name=HINP0276_GAYATRI_ANUSHTHAN_AUR_USAKA_VIDHI_VIDHAN_xx1978&amp;product_id=841")</f>
        <v>https://vicharkrantibooks.org/productdetail?book_name=HINP0276_GAYATRI_ANUSHTHAN_AUR_USAKA_VIDHI_VIDHAN_xx1978&amp;product_id=841</v>
      </c>
      <c r="CE439" s="1" t="str">
        <f ca="1">IFERROR(__xludf.DUMMYFUNCTION("""COMPUTED_VALUE"""),"Audiobook : गायत्री अनुष्ठान और उसका विधि विधान : Rare Book : drbrpraj@gmail.com : Recorded")</f>
        <v>Audiobook : गायत्री अनुष्ठान और उसका विधि विधान : Rare Book : drbrpraj@gmail.com : Recorded</v>
      </c>
      <c r="CF439" s="1" t="str">
        <f ca="1">IFERROR(__xludf.DUMMYFUNCTION("""COMPUTED_VALUE"""),"#N/A")</f>
        <v>#N/A</v>
      </c>
      <c r="CG439" s="1" t="str">
        <f ca="1">IFERROR(__xludf.DUMMYFUNCTION("""COMPUTED_VALUE"""),"Adarniya Dr. Baidyanath Ram Prajapati ji गायत्री अनुष्ठान और उसका विधि विधान : Rare Book : Allocated on 15-Mar-24 Contact Number  09811724821")</f>
        <v>Adarniya Dr. Baidyanath Ram Prajapati ji गायत्री अनुष्ठान और उसका विधि विधान : Rare Book : Allocated on 15-Mar-24 Contact Number  09811724821</v>
      </c>
      <c r="CH439" s="1" t="str">
        <f ca="1">IFERROR(__xludf.DUMMYFUNCTION("""COMPUTED_VALUE"""),"drbrpraj@gmail.com : गायत्री अनुष्ठान और उसका विधि विधान : Rare Book")</f>
        <v>drbrpraj@gmail.com : गायत्री अनुष्ठान और उसका विधि विधान : Rare Book</v>
      </c>
      <c r="CI439" s="5">
        <f ca="1">IFERROR(__xludf.DUMMYFUNCTION("""COMPUTED_VALUE"""),45366.9114032986)</f>
        <v>45366.911403298604</v>
      </c>
    </row>
    <row r="440" spans="1:87" x14ac:dyDescent="0.25">
      <c r="A440" s="5">
        <f ca="1">IFERROR(__xludf.DUMMYFUNCTION("""COMPUTED_VALUE"""),45366.5662737963)</f>
        <v>45366.566273796299</v>
      </c>
      <c r="B440" s="1" t="str">
        <f ca="1">IFERROR(__xludf.DUMMYFUNCTION("""COMPUTED_VALUE"""),"shweta.r.gupta79@gmail.com")</f>
        <v>shweta.r.gupta79@gmail.com</v>
      </c>
      <c r="C440" s="1" t="str">
        <f ca="1">IFERROR(__xludf.DUMMYFUNCTION("""COMPUTED_VALUE"""),"Shweta Gupta ")</f>
        <v xml:space="preserve">Shweta Gupta </v>
      </c>
      <c r="D440" s="1">
        <f ca="1">IFERROR(__xludf.DUMMYFUNCTION("""COMPUTED_VALUE"""),8369516724)</f>
        <v>8369516724</v>
      </c>
      <c r="E440" s="1" t="str">
        <f ca="1">IFERROR(__xludf.DUMMYFUNCTION("""COMPUTED_VALUE"""),"Yes")</f>
        <v>Yes</v>
      </c>
      <c r="F440" s="1" t="str">
        <f ca="1">IFERROR(__xludf.DUMMYFUNCTION("""COMPUTED_VALUE"""),"हिन्दी")</f>
        <v>हिन्दी</v>
      </c>
      <c r="G440" s="1" t="str">
        <f ca="1">IFERROR(__xludf.DUMMYFUNCTION("""COMPUTED_VALUE"""),"समग्र स्वास्थ्य")</f>
        <v>समग्र स्वास्थ्य</v>
      </c>
      <c r="H440" s="1"/>
      <c r="I440" s="1"/>
      <c r="J440" s="1"/>
      <c r="K440" s="1"/>
      <c r="L440" s="1"/>
      <c r="M440" s="1"/>
      <c r="N440" s="1"/>
      <c r="O440" s="1"/>
      <c r="P440" s="1"/>
      <c r="Q440" s="1"/>
      <c r="R440" s="1"/>
      <c r="S440" s="1"/>
      <c r="T440" s="1"/>
      <c r="U440" s="1" t="str">
        <f ca="1">IFERROR(__xludf.DUMMYFUNCTION("""COMPUTED_VALUE"""),"मानसिक स्वास्थ्य")</f>
        <v>मानसिक स्वास्थ्य</v>
      </c>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f ca="1">IFERROR(__xludf.DUMMYFUNCTION("""COMPUTED_VALUE"""),31)</f>
        <v>31</v>
      </c>
      <c r="BX440" s="1">
        <f ca="1">IFERROR(__xludf.DUMMYFUNCTION("""COMPUTED_VALUE"""),45)</f>
        <v>45</v>
      </c>
      <c r="BY440" s="1">
        <f ca="1">IFERROR(__xludf.DUMMYFUNCTION("""COMPUTED_VALUE"""),3)</f>
        <v>3</v>
      </c>
      <c r="BZ440" s="1">
        <f ca="1">IFERROR(__xludf.DUMMYFUNCTION("""COMPUTED_VALUE"""),40)</f>
        <v>40</v>
      </c>
      <c r="CA440" s="1"/>
      <c r="CB440" s="1"/>
      <c r="CC440" s="1" t="str">
        <f ca="1">IFERROR(__xludf.DUMMYFUNCTION("""COMPUTED_VALUE"""),"मनोभावों का स्वास्थ्य पर प्रभाव : Rare Book")</f>
        <v>मनोभावों का स्वास्थ्य पर प्रभाव : Rare Book</v>
      </c>
      <c r="CD440" s="3" t="str">
        <f ca="1">IFERROR(__xludf.DUMMYFUNCTION("""COMPUTED_VALUE"""),"https://vicharkrantibooks.org/productdetail?book_name=HINP0514_MANOBHAVON_KA_SWASTHY_PAR_PRABHAV_xxyyyy&amp;product_id=1079")</f>
        <v>https://vicharkrantibooks.org/productdetail?book_name=HINP0514_MANOBHAVON_KA_SWASTHY_PAR_PRABHAV_xxyyyy&amp;product_id=1079</v>
      </c>
      <c r="CE440" s="1" t="str">
        <f ca="1">IFERROR(__xludf.DUMMYFUNCTION("""COMPUTED_VALUE"""),"Audiobook : मनोभावों का स्वास्थ्य पर प्रभाव : Rare Book : shweta.r.gupta79@gmail.com : Recorded")</f>
        <v>Audiobook : मनोभावों का स्वास्थ्य पर प्रभाव : Rare Book : shweta.r.gupta79@gmail.com : Recorded</v>
      </c>
      <c r="CF440" s="1" t="str">
        <f ca="1">IFERROR(__xludf.DUMMYFUNCTION("""COMPUTED_VALUE"""),"Audiobook : मनोभावों का स्वास्थ्य पर प्रभाव : Rare Book : shweta.r.gupta79@gmail.com : Recorded")</f>
        <v>Audiobook : मनोभावों का स्वास्थ्य पर प्रभाव : Rare Book : shweta.r.gupta79@gmail.com : Recorded</v>
      </c>
      <c r="CG440" s="1" t="str">
        <f ca="1">IFERROR(__xludf.DUMMYFUNCTION("""COMPUTED_VALUE"""),"Adarniya Shweta Gupta  ji मनोभावों का स्वास्थ्य पर प्रभाव : Rare Book : Allocated on 15-Mar-24 Contact Number  8369516724")</f>
        <v>Adarniya Shweta Gupta  ji मनोभावों का स्वास्थ्य पर प्रभाव : Rare Book : Allocated on 15-Mar-24 Contact Number  8369516724</v>
      </c>
      <c r="CH440" s="1" t="str">
        <f ca="1">IFERROR(__xludf.DUMMYFUNCTION("""COMPUTED_VALUE"""),"shweta.r.gupta79@gmail.com : मनोभावों का स्वास्थ्य पर प्रभाव : Rare Book")</f>
        <v>shweta.r.gupta79@gmail.com : मनोभावों का स्वास्थ्य पर प्रभाव : Rare Book</v>
      </c>
      <c r="CI440" s="5">
        <f ca="1">IFERROR(__xludf.DUMMYFUNCTION("""COMPUTED_VALUE"""),45366.5662737963)</f>
        <v>45366.566273796299</v>
      </c>
    </row>
    <row r="441" spans="1:87" x14ac:dyDescent="0.25">
      <c r="A441" s="5">
        <f ca="1">IFERROR(__xludf.DUMMYFUNCTION("""COMPUTED_VALUE"""),45364.7193896874)</f>
        <v>45364.719389687401</v>
      </c>
      <c r="B441" s="1" t="str">
        <f ca="1">IFERROR(__xludf.DUMMYFUNCTION("""COMPUTED_VALUE"""),"rbbansalriya@gmail.com")</f>
        <v>rbbansalriya@gmail.com</v>
      </c>
      <c r="C441" s="1" t="str">
        <f ca="1">IFERROR(__xludf.DUMMYFUNCTION("""COMPUTED_VALUE"""),"Riya bansal ")</f>
        <v xml:space="preserve">Riya bansal </v>
      </c>
      <c r="D441" s="1">
        <f ca="1">IFERROR(__xludf.DUMMYFUNCTION("""COMPUTED_VALUE"""),9176361023)</f>
        <v>9176361023</v>
      </c>
      <c r="E441" s="1" t="str">
        <f ca="1">IFERROR(__xludf.DUMMYFUNCTION("""COMPUTED_VALUE"""),"Yes")</f>
        <v>Yes</v>
      </c>
      <c r="F441" s="1" t="str">
        <f ca="1">IFERROR(__xludf.DUMMYFUNCTION("""COMPUTED_VALUE"""),"हिन्दी")</f>
        <v>हिन्दी</v>
      </c>
      <c r="G441" s="1" t="str">
        <f ca="1">IFERROR(__xludf.DUMMYFUNCTION("""COMPUTED_VALUE"""),"भारतीय संस्कृति")</f>
        <v>भारतीय संस्कृति</v>
      </c>
      <c r="H441" s="1"/>
      <c r="I441" s="1"/>
      <c r="J441" s="1"/>
      <c r="K441" s="1"/>
      <c r="L441" s="1"/>
      <c r="M441" s="1"/>
      <c r="N441" s="1"/>
      <c r="O441" s="1" t="str">
        <f ca="1">IFERROR(__xludf.DUMMYFUNCTION("""COMPUTED_VALUE"""),"भारतीय संस्कृति")</f>
        <v>भारतीय संस्कृति</v>
      </c>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f ca="1">IFERROR(__xludf.DUMMYFUNCTION("""COMPUTED_VALUE"""),54)</f>
        <v>54</v>
      </c>
      <c r="BX441" s="1">
        <f ca="1">IFERROR(__xludf.DUMMYFUNCTION("""COMPUTED_VALUE"""),55)</f>
        <v>55</v>
      </c>
      <c r="BY441" s="1">
        <f ca="1">IFERROR(__xludf.DUMMYFUNCTION("""COMPUTED_VALUE"""),9)</f>
        <v>9</v>
      </c>
      <c r="BZ441" s="1">
        <f ca="1">IFERROR(__xludf.DUMMYFUNCTION("""COMPUTED_VALUE"""),43)</f>
        <v>43</v>
      </c>
      <c r="CA441" s="1"/>
      <c r="CB441" s="1"/>
      <c r="CC441" s="1" t="str">
        <f ca="1">IFERROR(__xludf.DUMMYFUNCTION("""COMPUTED_VALUE"""),"अपने को पहचानें : H_PP_25")</f>
        <v>अपने को पहचानें : H_PP_25</v>
      </c>
      <c r="CD441" s="3" t="str">
        <f ca="1">IFERROR(__xludf.DUMMYFUNCTION("""COMPUTED_VALUE"""),"https://vicharkrantibooks.org/productdetail?book_name=HINP0066_APANE_KO_PAHACHANE_xxyyyy&amp;product_id=631#nav-details")</f>
        <v>https://vicharkrantibooks.org/productdetail?book_name=HINP0066_APANE_KO_PAHACHANE_xxyyyy&amp;product_id=631#nav-details</v>
      </c>
      <c r="CE441" s="1" t="str">
        <f ca="1">IFERROR(__xludf.DUMMYFUNCTION("""COMPUTED_VALUE"""),"Audiobook : अपने को पहचानें : H_PP_25 : rbbansalriya@gmail.com : Recorded")</f>
        <v>Audiobook : अपने को पहचानें : H_PP_25 : rbbansalriya@gmail.com : Recorded</v>
      </c>
      <c r="CF441" s="1" t="str">
        <f ca="1">IFERROR(__xludf.DUMMYFUNCTION("""COMPUTED_VALUE"""),"Audiobook : अपने को पहचानें : H_PP_25 : rbbansalriya@gmail.com : Recorded")</f>
        <v>Audiobook : अपने को पहचानें : H_PP_25 : rbbansalriya@gmail.com : Recorded</v>
      </c>
      <c r="CG441" s="1" t="str">
        <f ca="1">IFERROR(__xludf.DUMMYFUNCTION("""COMPUTED_VALUE"""),"Adarniya Riya bansal  ji अपने को पहचानें : H_PP_25 : Allocated on 13-Mar-24 Contact Number  9176361023")</f>
        <v>Adarniya Riya bansal  ji अपने को पहचानें : H_PP_25 : Allocated on 13-Mar-24 Contact Number  9176361023</v>
      </c>
      <c r="CH441" s="1" t="str">
        <f ca="1">IFERROR(__xludf.DUMMYFUNCTION("""COMPUTED_VALUE"""),"rbbansalriya@gmail.com : अपने को पहचानें : H_PP_25")</f>
        <v>rbbansalriya@gmail.com : अपने को पहचानें : H_PP_25</v>
      </c>
      <c r="CI441" s="5">
        <f ca="1">IFERROR(__xludf.DUMMYFUNCTION("""COMPUTED_VALUE"""),45364.7193896874)</f>
        <v>45364.719389687401</v>
      </c>
    </row>
    <row r="442" spans="1:87" x14ac:dyDescent="0.25">
      <c r="A442" s="5">
        <f ca="1">IFERROR(__xludf.DUMMYFUNCTION("""COMPUTED_VALUE"""),45364.6427005208)</f>
        <v>45364.642700520802</v>
      </c>
      <c r="B442" s="1" t="str">
        <f ca="1">IFERROR(__xludf.DUMMYFUNCTION("""COMPUTED_VALUE"""),"vishwajyoti.68@gmail.com")</f>
        <v>vishwajyoti.68@gmail.com</v>
      </c>
      <c r="C442" s="1" t="str">
        <f ca="1">IFERROR(__xludf.DUMMYFUNCTION("""COMPUTED_VALUE"""),"Dr Vishwajyoti yatindra chauhaan ")</f>
        <v xml:space="preserve">Dr Vishwajyoti yatindra chauhaan </v>
      </c>
      <c r="D442" s="1">
        <f ca="1">IFERROR(__xludf.DUMMYFUNCTION("""COMPUTED_VALUE"""),9833580109)</f>
        <v>9833580109</v>
      </c>
      <c r="E442" s="1" t="str">
        <f ca="1">IFERROR(__xludf.DUMMYFUNCTION("""COMPUTED_VALUE"""),"Yes")</f>
        <v>Yes</v>
      </c>
      <c r="F442" s="1" t="str">
        <f ca="1">IFERROR(__xludf.DUMMYFUNCTION("""COMPUTED_VALUE"""),"हिन्दी")</f>
        <v>हिन्दी</v>
      </c>
      <c r="G442" s="1" t="str">
        <f ca="1">IFERROR(__xludf.DUMMYFUNCTION("""COMPUTED_VALUE"""),"अध्यात्म, धर्म एवं दर्शन")</f>
        <v>अध्यात्म, धर्म एवं दर्शन</v>
      </c>
      <c r="H442" s="1" t="str">
        <f ca="1">IFERROR(__xludf.DUMMYFUNCTION("""COMPUTED_VALUE"""),"आत्मज्ञान एवं आत्मनिर्माण")</f>
        <v>आत्मज्ञान एवं आत्मनिर्माण</v>
      </c>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f ca="1">IFERROR(__xludf.DUMMYFUNCTION("""COMPUTED_VALUE"""),2)</f>
        <v>2</v>
      </c>
      <c r="BX442" s="1">
        <f ca="1">IFERROR(__xludf.DUMMYFUNCTION("""COMPUTED_VALUE"""),0)</f>
        <v>0</v>
      </c>
      <c r="BY442" s="1">
        <f ca="1">IFERROR(__xludf.DUMMYFUNCTION("""COMPUTED_VALUE"""),2)</f>
        <v>2</v>
      </c>
      <c r="BZ442" s="1">
        <f ca="1">IFERROR(__xludf.DUMMYFUNCTION("""COMPUTED_VALUE"""),0)</f>
        <v>0</v>
      </c>
      <c r="CA442" s="1"/>
      <c r="CB442" s="1"/>
      <c r="CC442" s="1" t="str">
        <f ca="1">IFERROR(__xludf.DUMMYFUNCTION("""COMPUTED_VALUE"""),"आत्म शक्ति का परिष्कार ही नवयुग का मूल आधार : Rare Book")</f>
        <v>आत्म शक्ति का परिष्कार ही नवयुग का मूल आधार : Rare Book</v>
      </c>
      <c r="CD442" s="3" t="str">
        <f ca="1">IFERROR(__xludf.DUMMYFUNCTION("""COMPUTED_VALUE"""),"https://vicharkrantibooks.org/productdetail?book_name=HINF0046_ATM_SHAKTI_KA_PARISHKAR_HI_NAVAYUG_KA_MUL_ADHAR_xxyyyy&amp;product_id=266")</f>
        <v>https://vicharkrantibooks.org/productdetail?book_name=HINF0046_ATM_SHAKTI_KA_PARISHKAR_HI_NAVAYUG_KA_MUL_ADHAR_xxyyyy&amp;product_id=266</v>
      </c>
      <c r="CE442" s="1" t="str">
        <f ca="1">IFERROR(__xludf.DUMMYFUNCTION("""COMPUTED_VALUE"""),"Audiobook : आत्म शक्ति का परिष्कार ही नवयुग का मूल आधार : Rare Book : vishwajyoti.68@gmail.com : Recorded")</f>
        <v>Audiobook : आत्म शक्ति का परिष्कार ही नवयुग का मूल आधार : Rare Book : vishwajyoti.68@gmail.com : Recorded</v>
      </c>
      <c r="CF442" s="1" t="str">
        <f ca="1">IFERROR(__xludf.DUMMYFUNCTION("""COMPUTED_VALUE"""),"#N/A")</f>
        <v>#N/A</v>
      </c>
      <c r="CG442" s="1" t="str">
        <f ca="1">IFERROR(__xludf.DUMMYFUNCTION("""COMPUTED_VALUE"""),"Adarniya Dr Vishwajyoti yatindra chauhaan  ji आत्म शक्ति का परिष्कार ही नवयुग का मूल आधार : Rare Book : Allocated on 13-Mar-24 Contact Number  9833580109")</f>
        <v>Adarniya Dr Vishwajyoti yatindra chauhaan  ji आत्म शक्ति का परिष्कार ही नवयुग का मूल आधार : Rare Book : Allocated on 13-Mar-24 Contact Number  9833580109</v>
      </c>
      <c r="CH442" s="1" t="str">
        <f ca="1">IFERROR(__xludf.DUMMYFUNCTION("""COMPUTED_VALUE"""),"vishwajyoti.68@gmail.com : आत्म शक्ति का परिष्कार ही नवयुग का मूल आधार : Rare Book")</f>
        <v>vishwajyoti.68@gmail.com : आत्म शक्ति का परिष्कार ही नवयुग का मूल आधार : Rare Book</v>
      </c>
      <c r="CI442" s="5">
        <f ca="1">IFERROR(__xludf.DUMMYFUNCTION("""COMPUTED_VALUE"""),45364.6427005208)</f>
        <v>45364.642700520802</v>
      </c>
    </row>
    <row r="443" spans="1:87" x14ac:dyDescent="0.25">
      <c r="A443" s="5">
        <f ca="1">IFERROR(__xludf.DUMMYFUNCTION("""COMPUTED_VALUE"""),45363.716612581)</f>
        <v>45363.716612581004</v>
      </c>
      <c r="B443" s="1" t="str">
        <f ca="1">IFERROR(__xludf.DUMMYFUNCTION("""COMPUTED_VALUE"""),"naina.mistry@awgpuk.org")</f>
        <v>naina.mistry@awgpuk.org</v>
      </c>
      <c r="C443" s="1" t="str">
        <f ca="1">IFERROR(__xludf.DUMMYFUNCTION("""COMPUTED_VALUE"""),"Naina")</f>
        <v>Naina</v>
      </c>
      <c r="D443" s="1" t="str">
        <f ca="1">IFERROR(__xludf.DUMMYFUNCTION("""COMPUTED_VALUE"""),"07786996129")</f>
        <v>07786996129</v>
      </c>
      <c r="E443" s="1" t="str">
        <f ca="1">IFERROR(__xludf.DUMMYFUNCTION("""COMPUTED_VALUE"""),"Yes")</f>
        <v>Yes</v>
      </c>
      <c r="F443" s="1" t="str">
        <f ca="1">IFERROR(__xludf.DUMMYFUNCTION("""COMPUTED_VALUE"""),"English")</f>
        <v>English</v>
      </c>
      <c r="G443" s="1" t="str">
        <f ca="1">IFERROR(__xludf.DUMMYFUNCTION("""COMPUTED_VALUE"""),"English")</f>
        <v>English</v>
      </c>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f ca="1">IFERROR(__xludf.DUMMYFUNCTION("""COMPUTED_VALUE"""),6)</f>
        <v>6</v>
      </c>
      <c r="BX443" s="1">
        <f ca="1">IFERROR(__xludf.DUMMYFUNCTION("""COMPUTED_VALUE"""),6)</f>
        <v>6</v>
      </c>
      <c r="BY443" s="1">
        <f ca="1">IFERROR(__xludf.DUMMYFUNCTION("""COMPUTED_VALUE"""),2)</f>
        <v>2</v>
      </c>
      <c r="BZ443" s="1">
        <f ca="1">IFERROR(__xludf.DUMMYFUNCTION("""COMPUTED_VALUE"""),3)</f>
        <v>3</v>
      </c>
      <c r="CA443" s="1"/>
      <c r="CB443" s="1"/>
      <c r="CC443" s="1" t="str">
        <f ca="1">IFERROR(__xludf.DUMMYFUNCTION("""COMPUTED_VALUE"""),"Fight Your Weaknesses Be Strong : EP_127")</f>
        <v>Fight Your Weaknesses Be Strong : EP_127</v>
      </c>
      <c r="CD443" s="3" t="str">
        <f ca="1">IFERROR(__xludf.DUMMYFUNCTION("""COMPUTED_VALUE"""),"https://vicharkrantibooks.org/productdetail?book_name=ENGP0069_FIGHT_YOUR_WEAKNESSES_BE_STRONG_xxyyyy&amp;product_id=3512")</f>
        <v>https://vicharkrantibooks.org/productdetail?book_name=ENGP0069_FIGHT_YOUR_WEAKNESSES_BE_STRONG_xxyyyy&amp;product_id=3512</v>
      </c>
      <c r="CE443" s="1" t="str">
        <f ca="1">IFERROR(__xludf.DUMMYFUNCTION("""COMPUTED_VALUE"""),"Audiobook : Fight Your Weaknesses Be Strong : EP_127 : naina.mistry@awgpuk.org : Recorded")</f>
        <v>Audiobook : Fight Your Weaknesses Be Strong : EP_127 : naina.mistry@awgpuk.org : Recorded</v>
      </c>
      <c r="CF443" s="1" t="str">
        <f ca="1">IFERROR(__xludf.DUMMYFUNCTION("""COMPUTED_VALUE"""),"#N/A")</f>
        <v>#N/A</v>
      </c>
      <c r="CG443" s="1" t="str">
        <f ca="1">IFERROR(__xludf.DUMMYFUNCTION("""COMPUTED_VALUE"""),"Adarniya Naina ji Fight Your Weaknesses Be Strong : EP_127 : Allocated on 12-Mar-24 Contact Number  07786996129")</f>
        <v>Adarniya Naina ji Fight Your Weaknesses Be Strong : EP_127 : Allocated on 12-Mar-24 Contact Number  07786996129</v>
      </c>
      <c r="CH443" s="1" t="str">
        <f ca="1">IFERROR(__xludf.DUMMYFUNCTION("""COMPUTED_VALUE"""),"naina.mistry@awgpuk.org : Fight Your Weaknesses Be Strong : EP_127")</f>
        <v>naina.mistry@awgpuk.org : Fight Your Weaknesses Be Strong : EP_127</v>
      </c>
      <c r="CI443" s="5">
        <f ca="1">IFERROR(__xludf.DUMMYFUNCTION("""COMPUTED_VALUE"""),45363.716612581)</f>
        <v>45363.716612581004</v>
      </c>
    </row>
    <row r="444" spans="1:87" x14ac:dyDescent="0.25">
      <c r="A444" s="5">
        <f ca="1">IFERROR(__xludf.DUMMYFUNCTION("""COMPUTED_VALUE"""),45363.6514903356)</f>
        <v>45363.6514903356</v>
      </c>
      <c r="B444" s="1" t="str">
        <f ca="1">IFERROR(__xludf.DUMMYFUNCTION("""COMPUTED_VALUE"""),"saratkar.awgp@gmail.com")</f>
        <v>saratkar.awgp@gmail.com</v>
      </c>
      <c r="C444" s="1" t="str">
        <f ca="1">IFERROR(__xludf.DUMMYFUNCTION("""COMPUTED_VALUE"""),"Beniram SARATKAR ")</f>
        <v xml:space="preserve">Beniram SARATKAR </v>
      </c>
      <c r="D444" s="1" t="str">
        <f ca="1">IFERROR(__xludf.DUMMYFUNCTION("""COMPUTED_VALUE"""),"07218896169")</f>
        <v>07218896169</v>
      </c>
      <c r="E444" s="1" t="str">
        <f ca="1">IFERROR(__xludf.DUMMYFUNCTION("""COMPUTED_VALUE"""),"Yes")</f>
        <v>Yes</v>
      </c>
      <c r="F444" s="1" t="str">
        <f ca="1">IFERROR(__xludf.DUMMYFUNCTION("""COMPUTED_VALUE"""),"हिन्दी")</f>
        <v>हिन्दी</v>
      </c>
      <c r="G444" s="1" t="str">
        <f ca="1">IFERROR(__xludf.DUMMYFUNCTION("""COMPUTED_VALUE"""),"जीवन प्रबंध")</f>
        <v>जीवन प्रबंध</v>
      </c>
      <c r="H444" s="1"/>
      <c r="I444" s="1"/>
      <c r="J444" s="1"/>
      <c r="K444" s="1"/>
      <c r="L444" s="1" t="str">
        <f ca="1">IFERROR(__xludf.DUMMYFUNCTION("""COMPUTED_VALUE"""),"सफल, संतुष्ट एवं सुखी जीवन")</f>
        <v>सफल, संतुष्ट एवं सुखी जीवन</v>
      </c>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f ca="1">IFERROR(__xludf.DUMMYFUNCTION("""COMPUTED_VALUE"""),5)</f>
        <v>5</v>
      </c>
      <c r="BX444" s="1">
        <f ca="1">IFERROR(__xludf.DUMMYFUNCTION("""COMPUTED_VALUE"""),2)</f>
        <v>2</v>
      </c>
      <c r="BY444" s="1">
        <f ca="1">IFERROR(__xludf.DUMMYFUNCTION("""COMPUTED_VALUE"""),3)</f>
        <v>3</v>
      </c>
      <c r="BZ444" s="1">
        <f ca="1">IFERROR(__xludf.DUMMYFUNCTION("""COMPUTED_VALUE"""),2)</f>
        <v>2</v>
      </c>
      <c r="CA444" s="1"/>
      <c r="CB444" s="1"/>
      <c r="CC444" s="1" t="str">
        <f ca="1">IFERROR(__xludf.DUMMYFUNCTION("""COMPUTED_VALUE"""),"जीवन साधना करें देवता बनें : H_JS_55")</f>
        <v>जीवन साधना करें देवता बनें : H_JS_55</v>
      </c>
      <c r="CD444" s="3" t="str">
        <f ca="1">IFERROR(__xludf.DUMMYFUNCTION("""COMPUTED_VALUE"""),"https://vicharkrantibooks.org/productdetail?book_name=HINP0393_JIVAN_SADHANA_KAREN_DEVATA_BANEN_xx2011&amp;product_id=958")</f>
        <v>https://vicharkrantibooks.org/productdetail?book_name=HINP0393_JIVAN_SADHANA_KAREN_DEVATA_BANEN_xx2011&amp;product_id=958</v>
      </c>
      <c r="CE444" s="1" t="str">
        <f ca="1">IFERROR(__xludf.DUMMYFUNCTION("""COMPUTED_VALUE"""),"Audiobook : जीवन साधना करें देवता बनें : H_JS_55 : saratkar.awgp@gmail.com : Recorded")</f>
        <v>Audiobook : जीवन साधना करें देवता बनें : H_JS_55 : saratkar.awgp@gmail.com : Recorded</v>
      </c>
      <c r="CF444" s="1" t="str">
        <f ca="1">IFERROR(__xludf.DUMMYFUNCTION("""COMPUTED_VALUE"""),"#N/A")</f>
        <v>#N/A</v>
      </c>
      <c r="CG444" s="1" t="str">
        <f ca="1">IFERROR(__xludf.DUMMYFUNCTION("""COMPUTED_VALUE"""),"Adarniya Beniram SARATKAR  ji जीवन साधना करें देवता बनें : H_JS_55 : Allocated on 12-Mar-24 Contact Number  07218896169")</f>
        <v>Adarniya Beniram SARATKAR  ji जीवन साधना करें देवता बनें : H_JS_55 : Allocated on 12-Mar-24 Contact Number  07218896169</v>
      </c>
      <c r="CH444" s="1" t="str">
        <f ca="1">IFERROR(__xludf.DUMMYFUNCTION("""COMPUTED_VALUE"""),"saratkar.awgp@gmail.com : जीवन साधना करें देवता बनें : H_JS_55")</f>
        <v>saratkar.awgp@gmail.com : जीवन साधना करें देवता बनें : H_JS_55</v>
      </c>
      <c r="CI444" s="5">
        <f ca="1">IFERROR(__xludf.DUMMYFUNCTION("""COMPUTED_VALUE"""),45363.6514903356)</f>
        <v>45363.6514903356</v>
      </c>
    </row>
    <row r="445" spans="1:87" x14ac:dyDescent="0.25">
      <c r="A445" s="5">
        <f ca="1">IFERROR(__xludf.DUMMYFUNCTION("""COMPUTED_VALUE"""),45363.3349948842)</f>
        <v>45363.334994884201</v>
      </c>
      <c r="B445" s="1" t="str">
        <f ca="1">IFERROR(__xludf.DUMMYFUNCTION("""COMPUTED_VALUE"""),"guptarakhi072@gmail.com")</f>
        <v>guptarakhi072@gmail.com</v>
      </c>
      <c r="C445" s="1" t="str">
        <f ca="1">IFERROR(__xludf.DUMMYFUNCTION("""COMPUTED_VALUE"""),"Rakhi gupta ")</f>
        <v xml:space="preserve">Rakhi gupta </v>
      </c>
      <c r="D445" s="1">
        <f ca="1">IFERROR(__xludf.DUMMYFUNCTION("""COMPUTED_VALUE"""),8128540757)</f>
        <v>8128540757</v>
      </c>
      <c r="E445" s="1" t="str">
        <f ca="1">IFERROR(__xludf.DUMMYFUNCTION("""COMPUTED_VALUE"""),"Yes")</f>
        <v>Yes</v>
      </c>
      <c r="F445" s="1" t="str">
        <f ca="1">IFERROR(__xludf.DUMMYFUNCTION("""COMPUTED_VALUE"""),"हिन्दी")</f>
        <v>हिन्दी</v>
      </c>
      <c r="G445" s="1" t="str">
        <f ca="1">IFERROR(__xludf.DUMMYFUNCTION("""COMPUTED_VALUE"""),"राष्ट्र निर्माण")</f>
        <v>राष्ट्र निर्माण</v>
      </c>
      <c r="H445" s="1"/>
      <c r="I445" s="1"/>
      <c r="J445" s="1"/>
      <c r="K445" s="1"/>
      <c r="L445" s="1"/>
      <c r="M445" s="1"/>
      <c r="N445" s="1"/>
      <c r="O445" s="1"/>
      <c r="P445" s="1"/>
      <c r="Q445" s="1"/>
      <c r="R445" s="1" t="str">
        <f ca="1">IFERROR(__xludf.DUMMYFUNCTION("""COMPUTED_VALUE"""),"राष्ट्र निर्माण")</f>
        <v>राष्ट्र निर्माण</v>
      </c>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f ca="1">IFERROR(__xludf.DUMMYFUNCTION("""COMPUTED_VALUE"""),21)</f>
        <v>21</v>
      </c>
      <c r="BX445" s="1">
        <f ca="1">IFERROR(__xludf.DUMMYFUNCTION("""COMPUTED_VALUE"""),20)</f>
        <v>20</v>
      </c>
      <c r="BY445" s="1">
        <f ca="1">IFERROR(__xludf.DUMMYFUNCTION("""COMPUTED_VALUE"""),2)</f>
        <v>2</v>
      </c>
      <c r="BZ445" s="1">
        <f ca="1">IFERROR(__xludf.DUMMYFUNCTION("""COMPUTED_VALUE"""),14)</f>
        <v>14</v>
      </c>
      <c r="CA445" s="1"/>
      <c r="CB445" s="1"/>
      <c r="CC445" s="1" t="str">
        <f ca="1">IFERROR(__xludf.DUMMYFUNCTION("""COMPUTED_VALUE"""),"देशभक्त राष्ट्र के नवनिर्माण में जुटें : Rare Book")</f>
        <v>देशभक्त राष्ट्र के नवनिर्माण में जुटें : Rare Book</v>
      </c>
      <c r="CD445" s="3" t="str">
        <f ca="1">IFERROR(__xludf.DUMMYFUNCTION("""COMPUTED_VALUE"""),"https://vicharkrantibooks.org/productdetail?book_name=HINP0209_DESHABHAKT_RASHTR_KE_NAVANIRMAN_MEIN_JUTEN_xxyyyy&amp;product_id=774")</f>
        <v>https://vicharkrantibooks.org/productdetail?book_name=HINP0209_DESHABHAKT_RASHTR_KE_NAVANIRMAN_MEIN_JUTEN_xxyyyy&amp;product_id=774</v>
      </c>
      <c r="CE445" s="1" t="str">
        <f ca="1">IFERROR(__xludf.DUMMYFUNCTION("""COMPUTED_VALUE"""),"Audiobook : देशभक्त राष्ट्र के नवनिर्माण में जुटें : Rare Book : guptarakhi072@gmail.com : Recorded")</f>
        <v>Audiobook : देशभक्त राष्ट्र के नवनिर्माण में जुटें : Rare Book : guptarakhi072@gmail.com : Recorded</v>
      </c>
      <c r="CF445" s="1" t="str">
        <f ca="1">IFERROR(__xludf.DUMMYFUNCTION("""COMPUTED_VALUE"""),"Audiobook : देशभक्त राष्ट्र के नवनिर्माण में जुटें : Rare Book : guptarakhi072@gmail.com : Recorded")</f>
        <v>Audiobook : देशभक्त राष्ट्र के नवनिर्माण में जुटें : Rare Book : guptarakhi072@gmail.com : Recorded</v>
      </c>
      <c r="CG445" s="1" t="str">
        <f ca="1">IFERROR(__xludf.DUMMYFUNCTION("""COMPUTED_VALUE"""),"Adarniya Rakhi gupta  ji देशभक्त राष्ट्र के नवनिर्माण में जुटें : Rare Book : Allocated on 12-Mar-24 Contact Number  8128540757")</f>
        <v>Adarniya Rakhi gupta  ji देशभक्त राष्ट्र के नवनिर्माण में जुटें : Rare Book : Allocated on 12-Mar-24 Contact Number  8128540757</v>
      </c>
      <c r="CH445" s="1" t="str">
        <f ca="1">IFERROR(__xludf.DUMMYFUNCTION("""COMPUTED_VALUE"""),"guptarakhi072@gmail.com : देशभक्त राष्ट्र के नवनिर्माण में जुटें : Rare Book")</f>
        <v>guptarakhi072@gmail.com : देशभक्त राष्ट्र के नवनिर्माण में जुटें : Rare Book</v>
      </c>
      <c r="CI445" s="5">
        <f ca="1">IFERROR(__xludf.DUMMYFUNCTION("""COMPUTED_VALUE"""),45363.3349948842)</f>
        <v>45363.334994884201</v>
      </c>
    </row>
    <row r="446" spans="1:87" x14ac:dyDescent="0.25">
      <c r="A446" s="5">
        <f ca="1">IFERROR(__xludf.DUMMYFUNCTION("""COMPUTED_VALUE"""),45362.9669782291)</f>
        <v>45362.966978229102</v>
      </c>
      <c r="B446" s="1" t="str">
        <f ca="1">IFERROR(__xludf.DUMMYFUNCTION("""COMPUTED_VALUE"""),"anu161965@gmail.com")</f>
        <v>anu161965@gmail.com</v>
      </c>
      <c r="C446" s="1" t="str">
        <f ca="1">IFERROR(__xludf.DUMMYFUNCTION("""COMPUTED_VALUE"""),"Anureeta awadh")</f>
        <v>Anureeta awadh</v>
      </c>
      <c r="D446" s="1">
        <f ca="1">IFERROR(__xludf.DUMMYFUNCTION("""COMPUTED_VALUE"""),8860314422)</f>
        <v>8860314422</v>
      </c>
      <c r="E446" s="1" t="str">
        <f ca="1">IFERROR(__xludf.DUMMYFUNCTION("""COMPUTED_VALUE"""),"Yes")</f>
        <v>Yes</v>
      </c>
      <c r="F446" s="1" t="str">
        <f ca="1">IFERROR(__xludf.DUMMYFUNCTION("""COMPUTED_VALUE"""),"हिन्दी")</f>
        <v>हिन्दी</v>
      </c>
      <c r="G446" s="1" t="str">
        <f ca="1">IFERROR(__xludf.DUMMYFUNCTION("""COMPUTED_VALUE"""),"वैज्ञानिक अध्यात्मवाद का प्रतिपादन")</f>
        <v>वैज्ञानिक अध्यात्मवाद का प्रतिपादन</v>
      </c>
      <c r="H446" s="1"/>
      <c r="I446" s="1"/>
      <c r="J446" s="1"/>
      <c r="K446" s="1"/>
      <c r="L446" s="1"/>
      <c r="M446" s="1"/>
      <c r="N446" s="1"/>
      <c r="O446" s="1"/>
      <c r="P446" s="1"/>
      <c r="Q446" s="1"/>
      <c r="R446" s="1"/>
      <c r="S446" s="1" t="str">
        <f ca="1">IFERROR(__xludf.DUMMYFUNCTION("""COMPUTED_VALUE"""),"वैज्ञानिक अध्यात्मवाद का प्रतिपादन")</f>
        <v>वैज्ञानिक अध्यात्मवाद का प्रतिपादन</v>
      </c>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f ca="1">IFERROR(__xludf.DUMMYFUNCTION("""COMPUTED_VALUE"""),24)</f>
        <v>24</v>
      </c>
      <c r="BX446" s="1">
        <f ca="1">IFERROR(__xludf.DUMMYFUNCTION("""COMPUTED_VALUE"""),18)</f>
        <v>18</v>
      </c>
      <c r="BY446" s="1">
        <f ca="1">IFERROR(__xludf.DUMMYFUNCTION("""COMPUTED_VALUE"""),7)</f>
        <v>7</v>
      </c>
      <c r="BZ446" s="1">
        <f ca="1">IFERROR(__xludf.DUMMYFUNCTION("""COMPUTED_VALUE"""),5)</f>
        <v>5</v>
      </c>
      <c r="CA446" s="1"/>
      <c r="CB446" s="1"/>
      <c r="CC446" s="1" t="str">
        <f ca="1">IFERROR(__xludf.DUMMYFUNCTION("""COMPUTED_VALUE"""),"वैज्ञानिकों की द्रष्टि में जीवात्मा की सत्ता : Rare Book")</f>
        <v>वैज्ञानिकों की द्रष्टि में जीवात्मा की सत्ता : Rare Book</v>
      </c>
      <c r="CD446" s="1" t="str">
        <f ca="1">IFERROR(__xludf.DUMMYFUNCTION("""COMPUTED_VALUE"""),"#N/A")</f>
        <v>#N/A</v>
      </c>
      <c r="CE446" s="1" t="str">
        <f ca="1">IFERROR(__xludf.DUMMYFUNCTION("""COMPUTED_VALUE"""),"Audiobook : वैज्ञानिकों की द्रष्टि में जीवात्मा की सत्ता : Rare Book : anu161965@gmail.com : Recorded")</f>
        <v>Audiobook : वैज्ञानिकों की द्रष्टि में जीवात्मा की सत्ता : Rare Book : anu161965@gmail.com : Recorded</v>
      </c>
      <c r="CF446" s="1" t="str">
        <f ca="1">IFERROR(__xludf.DUMMYFUNCTION("""COMPUTED_VALUE"""),"#N/A")</f>
        <v>#N/A</v>
      </c>
      <c r="CG446" s="1" t="str">
        <f ca="1">IFERROR(__xludf.DUMMYFUNCTION("""COMPUTED_VALUE"""),"Adarniya Anureeta awadh ji वैज्ञानिकों की द्रष्टि में जीवात्मा की सत्ता : Rare Book : Allocated on 11-Mar-24 Contact Number  8860314422")</f>
        <v>Adarniya Anureeta awadh ji वैज्ञानिकों की द्रष्टि में जीवात्मा की सत्ता : Rare Book : Allocated on 11-Mar-24 Contact Number  8860314422</v>
      </c>
      <c r="CH446" s="1" t="str">
        <f ca="1">IFERROR(__xludf.DUMMYFUNCTION("""COMPUTED_VALUE"""),"anu161965@gmail.com : वैज्ञानिकों की द्रष्टि में जीवात्मा की सत्ता : Rare Book")</f>
        <v>anu161965@gmail.com : वैज्ञानिकों की द्रष्टि में जीवात्मा की सत्ता : Rare Book</v>
      </c>
      <c r="CI446" s="5">
        <f ca="1">IFERROR(__xludf.DUMMYFUNCTION("""COMPUTED_VALUE"""),45362.9669782291)</f>
        <v>45362.966978229102</v>
      </c>
    </row>
    <row r="447" spans="1:87" x14ac:dyDescent="0.25">
      <c r="A447" s="5">
        <f ca="1">IFERROR(__xludf.DUMMYFUNCTION("""COMPUTED_VALUE"""),45362.4964053703)</f>
        <v>45362.496405370301</v>
      </c>
      <c r="B447" s="1" t="str">
        <f ca="1">IFERROR(__xludf.DUMMYFUNCTION("""COMPUTED_VALUE"""),"rbbansalriya@gmail.com")</f>
        <v>rbbansalriya@gmail.com</v>
      </c>
      <c r="C447" s="1" t="str">
        <f ca="1">IFERROR(__xludf.DUMMYFUNCTION("""COMPUTED_VALUE"""),"Riya bansal ")</f>
        <v xml:space="preserve">Riya bansal </v>
      </c>
      <c r="D447" s="1">
        <f ca="1">IFERROR(__xludf.DUMMYFUNCTION("""COMPUTED_VALUE"""),9176361023)</f>
        <v>9176361023</v>
      </c>
      <c r="E447" s="1" t="str">
        <f ca="1">IFERROR(__xludf.DUMMYFUNCTION("""COMPUTED_VALUE"""),"Yes")</f>
        <v>Yes</v>
      </c>
      <c r="F447" s="1" t="str">
        <f ca="1">IFERROR(__xludf.DUMMYFUNCTION("""COMPUTED_VALUE"""),"हिन्दी")</f>
        <v>हिन्दी</v>
      </c>
      <c r="G447" s="1" t="str">
        <f ca="1">IFERROR(__xludf.DUMMYFUNCTION("""COMPUTED_VALUE"""),"वैज्ञानिक अध्यात्मवाद का प्रतिपादन")</f>
        <v>वैज्ञानिक अध्यात्मवाद का प्रतिपादन</v>
      </c>
      <c r="H447" s="1"/>
      <c r="I447" s="1"/>
      <c r="J447" s="1"/>
      <c r="K447" s="1"/>
      <c r="L447" s="1"/>
      <c r="M447" s="1"/>
      <c r="N447" s="1"/>
      <c r="O447" s="1"/>
      <c r="P447" s="1"/>
      <c r="Q447" s="1"/>
      <c r="R447" s="1"/>
      <c r="S447" s="1" t="str">
        <f ca="1">IFERROR(__xludf.DUMMYFUNCTION("""COMPUTED_VALUE"""),"वैज्ञानिक अध्यात्मवाद का प्रतिपादन")</f>
        <v>वैज्ञानिक अध्यात्मवाद का प्रतिपादन</v>
      </c>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f ca="1">IFERROR(__xludf.DUMMYFUNCTION("""COMPUTED_VALUE"""),54)</f>
        <v>54</v>
      </c>
      <c r="BX447" s="1">
        <f ca="1">IFERROR(__xludf.DUMMYFUNCTION("""COMPUTED_VALUE"""),55)</f>
        <v>55</v>
      </c>
      <c r="BY447" s="1">
        <f ca="1">IFERROR(__xludf.DUMMYFUNCTION("""COMPUTED_VALUE"""),9)</f>
        <v>9</v>
      </c>
      <c r="BZ447" s="1">
        <f ca="1">IFERROR(__xludf.DUMMYFUNCTION("""COMPUTED_VALUE"""),43)</f>
        <v>43</v>
      </c>
      <c r="CA447" s="1"/>
      <c r="CB447" s="1"/>
      <c r="CC447" s="1" t="str">
        <f ca="1">IFERROR(__xludf.DUMMYFUNCTION("""COMPUTED_VALUE"""),"विज्ञान का सहयोगी अधिष्ठाता है अध्यात्म : Rare Book")</f>
        <v>विज्ञान का सहयोगी अधिष्ठाता है अध्यात्म : Rare Book</v>
      </c>
      <c r="CD447" s="3" t="str">
        <f ca="1">IFERROR(__xludf.DUMMYFUNCTION("""COMPUTED_VALUE"""),"https://vicharkrantibooks.org/productdetail?book_name=HINP0973_VIGYAN_KA_SAHAYOGI_ADHISTHATA_HAI_ADHYATM_xx1982&amp;product_id=1538")</f>
        <v>https://vicharkrantibooks.org/productdetail?book_name=HINP0973_VIGYAN_KA_SAHAYOGI_ADHISTHATA_HAI_ADHYATM_xx1982&amp;product_id=1538</v>
      </c>
      <c r="CE447" s="1" t="str">
        <f ca="1">IFERROR(__xludf.DUMMYFUNCTION("""COMPUTED_VALUE"""),"Audiobook : विज्ञान का सहयोगी अधिष्ठाता है अध्यात्म : Rare Book : rbbansalriya@gmail.com : Recorded")</f>
        <v>Audiobook : विज्ञान का सहयोगी अधिष्ठाता है अध्यात्म : Rare Book : rbbansalriya@gmail.com : Recorded</v>
      </c>
      <c r="CF447" s="1" t="str">
        <f ca="1">IFERROR(__xludf.DUMMYFUNCTION("""COMPUTED_VALUE"""),"#N/A")</f>
        <v>#N/A</v>
      </c>
      <c r="CG447" s="1" t="str">
        <f ca="1">IFERROR(__xludf.DUMMYFUNCTION("""COMPUTED_VALUE"""),"Adarniya Riya bansal  ji विज्ञान का सहयोगी अधिष्ठाता है अध्यात्म : Rare Book : Allocated on 11-Mar-24 Contact Number  9176361023")</f>
        <v>Adarniya Riya bansal  ji विज्ञान का सहयोगी अधिष्ठाता है अध्यात्म : Rare Book : Allocated on 11-Mar-24 Contact Number  9176361023</v>
      </c>
      <c r="CH447" s="1" t="str">
        <f ca="1">IFERROR(__xludf.DUMMYFUNCTION("""COMPUTED_VALUE"""),"rbbansalriya@gmail.com : विज्ञान का सहयोगी अधिष्ठाता है अध्यात्म : Rare Book")</f>
        <v>rbbansalriya@gmail.com : विज्ञान का सहयोगी अधिष्ठाता है अध्यात्म : Rare Book</v>
      </c>
      <c r="CI447" s="5">
        <f ca="1">IFERROR(__xludf.DUMMYFUNCTION("""COMPUTED_VALUE"""),45362.4964053703)</f>
        <v>45362.496405370301</v>
      </c>
    </row>
    <row r="448" spans="1:87" x14ac:dyDescent="0.25">
      <c r="A448" s="5">
        <f ca="1">IFERROR(__xludf.DUMMYFUNCTION("""COMPUTED_VALUE"""),45362.3896048379)</f>
        <v>45362.389604837903</v>
      </c>
      <c r="B448" s="1" t="str">
        <f ca="1">IFERROR(__xludf.DUMMYFUNCTION("""COMPUTED_VALUE"""),"jamunashukla17@gmail.com")</f>
        <v>jamunashukla17@gmail.com</v>
      </c>
      <c r="C448" s="1" t="str">
        <f ca="1">IFERROR(__xludf.DUMMYFUNCTION("""COMPUTED_VALUE"""),"Smt Jamuna S Shukla")</f>
        <v>Smt Jamuna S Shukla</v>
      </c>
      <c r="D448" s="1">
        <f ca="1">IFERROR(__xludf.DUMMYFUNCTION("""COMPUTED_VALUE"""),8010712106)</f>
        <v>8010712106</v>
      </c>
      <c r="E448" s="1" t="str">
        <f ca="1">IFERROR(__xludf.DUMMYFUNCTION("""COMPUTED_VALUE"""),"Yes")</f>
        <v>Yes</v>
      </c>
      <c r="F448" s="1" t="str">
        <f ca="1">IFERROR(__xludf.DUMMYFUNCTION("""COMPUTED_VALUE"""),"हिन्दी")</f>
        <v>हिन्दी</v>
      </c>
      <c r="G448" s="1" t="str">
        <f ca="1">IFERROR(__xludf.DUMMYFUNCTION("""COMPUTED_VALUE"""),"अध्यात्म, धर्म एवं दर्शन")</f>
        <v>अध्यात्म, धर्म एवं दर्शन</v>
      </c>
      <c r="H448" s="1" t="str">
        <f ca="1">IFERROR(__xludf.DUMMYFUNCTION("""COMPUTED_VALUE"""),"अध्यात्म, धर्म एवं आस्तिकता")</f>
        <v>अध्यात्म, धर्म एवं आस्तिकता</v>
      </c>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f ca="1">IFERROR(__xludf.DUMMYFUNCTION("""COMPUTED_VALUE"""),53)</f>
        <v>53</v>
      </c>
      <c r="BX448" s="1">
        <f ca="1">IFERROR(__xludf.DUMMYFUNCTION("""COMPUTED_VALUE"""),53)</f>
        <v>53</v>
      </c>
      <c r="BY448" s="1">
        <f ca="1">IFERROR(__xludf.DUMMYFUNCTION("""COMPUTED_VALUE"""),9)</f>
        <v>9</v>
      </c>
      <c r="BZ448" s="1">
        <f ca="1">IFERROR(__xludf.DUMMYFUNCTION("""COMPUTED_VALUE"""),25)</f>
        <v>25</v>
      </c>
      <c r="CA448" s="1"/>
      <c r="CB448" s="1"/>
      <c r="CC448" s="1" t="str">
        <f ca="1">IFERROR(__xludf.DUMMYFUNCTION("""COMPUTED_VALUE"""),"महाकाल का संदेश जाग्रत्‌ आत्माओं के नाम : H_SC_05")</f>
        <v>महाकाल का संदेश जाग्रत्‌ आत्माओं के नाम : H_SC_05</v>
      </c>
      <c r="CD448" s="3" t="str">
        <f ca="1">IFERROR(__xludf.DUMMYFUNCTION("""COMPUTED_VALUE"""),"https://vicharkrantibooks.org/productdetail?book_name=HINP0466_MAHAKAL_KA_SANDESH_JAAGRUT_ATMAON_KE_NAM_xxyyyy&amp;product_id=1031")</f>
        <v>https://vicharkrantibooks.org/productdetail?book_name=HINP0466_MAHAKAL_KA_SANDESH_JAAGRUT_ATMAON_KE_NAM_xxyyyy&amp;product_id=1031</v>
      </c>
      <c r="CE448" s="1" t="str">
        <f ca="1">IFERROR(__xludf.DUMMYFUNCTION("""COMPUTED_VALUE"""),"Audiobook : महाकाल का संदेश जाग्रत्‌ आत्माओं के नाम : H_SC_05 : jamunashukla17@gmail.com : Recorded")</f>
        <v>Audiobook : महाकाल का संदेश जाग्रत्‌ आत्माओं के नाम : H_SC_05 : jamunashukla17@gmail.com : Recorded</v>
      </c>
      <c r="CF448" s="1" t="str">
        <f ca="1">IFERROR(__xludf.DUMMYFUNCTION("""COMPUTED_VALUE"""),"Audiobook : महाकाल का संदेश जाग्रत्‌ आत्माओं के नाम : H_SC_05 : jamunashukla17@gmail.com : Recorded")</f>
        <v>Audiobook : महाकाल का संदेश जाग्रत्‌ आत्माओं के नाम : H_SC_05 : jamunashukla17@gmail.com : Recorded</v>
      </c>
      <c r="CG448" s="1" t="str">
        <f ca="1">IFERROR(__xludf.DUMMYFUNCTION("""COMPUTED_VALUE"""),"Adarniya Smt Jamuna S Shukla ji महाकाल का संदेश जाग्रत्‌ आत्माओं के नाम : H_SC_05 : Allocated on 11-Mar-24 Contact Number  8010712106")</f>
        <v>Adarniya Smt Jamuna S Shukla ji महाकाल का संदेश जाग्रत्‌ आत्माओं के नाम : H_SC_05 : Allocated on 11-Mar-24 Contact Number  8010712106</v>
      </c>
      <c r="CH448" s="1" t="str">
        <f ca="1">IFERROR(__xludf.DUMMYFUNCTION("""COMPUTED_VALUE"""),"jamunashukla17@gmail.com : महाकाल का संदेश जाग्रत्‌ आत्माओं के नाम : H_SC_05")</f>
        <v>jamunashukla17@gmail.com : महाकाल का संदेश जाग्रत्‌ आत्माओं के नाम : H_SC_05</v>
      </c>
      <c r="CI448" s="5">
        <f ca="1">IFERROR(__xludf.DUMMYFUNCTION("""COMPUTED_VALUE"""),45362.3896048379)</f>
        <v>45362.389604837903</v>
      </c>
    </row>
    <row r="449" spans="1:87" x14ac:dyDescent="0.25">
      <c r="A449" s="5">
        <f ca="1">IFERROR(__xludf.DUMMYFUNCTION("""COMPUTED_VALUE"""),45360.8894643518)</f>
        <v>45360.8894643518</v>
      </c>
      <c r="B449" s="1" t="str">
        <f ca="1">IFERROR(__xludf.DUMMYFUNCTION("""COMPUTED_VALUE"""),"meenachaudhary70@gmail.com")</f>
        <v>meenachaudhary70@gmail.com</v>
      </c>
      <c r="C449" s="1" t="str">
        <f ca="1">IFERROR(__xludf.DUMMYFUNCTION("""COMPUTED_VALUE"""),"Meena Chaudhary ")</f>
        <v xml:space="preserve">Meena Chaudhary </v>
      </c>
      <c r="D449" s="1">
        <f ca="1">IFERROR(__xludf.DUMMYFUNCTION("""COMPUTED_VALUE"""),9667919243)</f>
        <v>9667919243</v>
      </c>
      <c r="E449" s="1" t="str">
        <f ca="1">IFERROR(__xludf.DUMMYFUNCTION("""COMPUTED_VALUE"""),"No")</f>
        <v>No</v>
      </c>
      <c r="F449" s="1" t="str">
        <f ca="1">IFERROR(__xludf.DUMMYFUNCTION("""COMPUTED_VALUE"""),"हिन्दी")</f>
        <v>हिन्दी</v>
      </c>
      <c r="G449" s="1" t="str">
        <f ca="1">IFERROR(__xludf.DUMMYFUNCTION("""COMPUTED_VALUE"""),"युग द्रष्टा पं. श्रीराम शर्मा आचार्यजी")</f>
        <v>युग द्रष्टा पं. श्रीराम शर्मा आचार्यजी</v>
      </c>
      <c r="H449" s="1"/>
      <c r="I449" s="1"/>
      <c r="J449" s="1"/>
      <c r="K449" s="1"/>
      <c r="L449" s="1"/>
      <c r="M449" s="1"/>
      <c r="N449" s="1"/>
      <c r="O449" s="1"/>
      <c r="P449" s="1" t="str">
        <f ca="1">IFERROR(__xludf.DUMMYFUNCTION("""COMPUTED_VALUE"""),"युगॠषी का जीवनदर्शन")</f>
        <v>युगॠषी का जीवनदर्शन</v>
      </c>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f ca="1">IFERROR(__xludf.DUMMYFUNCTION("""COMPUTED_VALUE"""),1)</f>
        <v>1</v>
      </c>
      <c r="BX449" s="1">
        <f ca="1">IFERROR(__xludf.DUMMYFUNCTION("""COMPUTED_VALUE"""),0)</f>
        <v>0</v>
      </c>
      <c r="BY449" s="1">
        <f ca="1">IFERROR(__xludf.DUMMYFUNCTION("""COMPUTED_VALUE"""),1)</f>
        <v>1</v>
      </c>
      <c r="BZ449" s="1">
        <f ca="1">IFERROR(__xludf.DUMMYFUNCTION("""COMPUTED_VALUE"""),0)</f>
        <v>0</v>
      </c>
      <c r="CA449" s="1"/>
      <c r="CB449" s="1"/>
      <c r="CC449" s="1" t="str">
        <f ca="1">IFERROR(__xludf.DUMMYFUNCTION("""COMPUTED_VALUE"""),"भगवान बुद्ध का उत्तरार्ध प्राज्ञाअवतार (पॉकेट) : H_SJ_77")</f>
        <v>भगवान बुद्ध का उत्तरार्ध प्राज्ञाअवतार (पॉकेट) : H_SJ_77</v>
      </c>
      <c r="CD449" s="3" t="str">
        <f ca="1">IFERROR(__xludf.DUMMYFUNCTION("""COMPUTED_VALUE"""),"https://vicharkrantibooks.org/productdetail?book_name=HINP0136_BHAGAVAN_BUDDH_KA_UTTARARDDH_PRAGYAVATAR_(POCKET)_xxyyyy&amp;product_id=701")</f>
        <v>https://vicharkrantibooks.org/productdetail?book_name=HINP0136_BHAGAVAN_BUDDH_KA_UTTARARDDH_PRAGYAVATAR_(POCKET)_xxyyyy&amp;product_id=701</v>
      </c>
      <c r="CE449" s="1" t="str">
        <f ca="1">IFERROR(__xludf.DUMMYFUNCTION("""COMPUTED_VALUE"""),"Audiobook : भगवान बुद्ध का उत्तरार्ध प्राज्ञाअवतार (पॉकेट) : H_SJ_77 : meenachaudhary70@gmail.com : Recorded")</f>
        <v>Audiobook : भगवान बुद्ध का उत्तरार्ध प्राज्ञाअवतार (पॉकेट) : H_SJ_77 : meenachaudhary70@gmail.com : Recorded</v>
      </c>
      <c r="CF449" s="1" t="str">
        <f ca="1">IFERROR(__xludf.DUMMYFUNCTION("""COMPUTED_VALUE"""),"#N/A")</f>
        <v>#N/A</v>
      </c>
      <c r="CG449" s="1" t="str">
        <f ca="1">IFERROR(__xludf.DUMMYFUNCTION("""COMPUTED_VALUE"""),"Adarniya Meena Chaudhary  ji भगवान बुद्ध का उत्तरार्ध प्राज्ञाअवतार (पॉकेट) : H_SJ_77 : Allocated on 09-Mar-24 Contact Number  9667919243")</f>
        <v>Adarniya Meena Chaudhary  ji भगवान बुद्ध का उत्तरार्ध प्राज्ञाअवतार (पॉकेट) : H_SJ_77 : Allocated on 09-Mar-24 Contact Number  9667919243</v>
      </c>
      <c r="CH449" s="1" t="str">
        <f ca="1">IFERROR(__xludf.DUMMYFUNCTION("""COMPUTED_VALUE"""),"meenachaudhary70@gmail.com : भगवान बुद्ध का उत्तरार्ध प्राज्ञाअवतार (पॉकेट) : H_SJ_77")</f>
        <v>meenachaudhary70@gmail.com : भगवान बुद्ध का उत्तरार्ध प्राज्ञाअवतार (पॉकेट) : H_SJ_77</v>
      </c>
      <c r="CI449" s="5">
        <f ca="1">IFERROR(__xludf.DUMMYFUNCTION("""COMPUTED_VALUE"""),45360.8894643518)</f>
        <v>45360.8894643518</v>
      </c>
    </row>
    <row r="450" spans="1:87" x14ac:dyDescent="0.25">
      <c r="A450" s="5">
        <f ca="1">IFERROR(__xludf.DUMMYFUNCTION("""COMPUTED_VALUE"""),45356.4672967939)</f>
        <v>45356.467296793897</v>
      </c>
      <c r="B450" s="1" t="str">
        <f ca="1">IFERROR(__xludf.DUMMYFUNCTION("""COMPUTED_VALUE"""),"rekhabhagat2511@gmail.com")</f>
        <v>rekhabhagat2511@gmail.com</v>
      </c>
      <c r="C450" s="1" t="str">
        <f ca="1">IFERROR(__xludf.DUMMYFUNCTION("""COMPUTED_VALUE"""),"Rekha Bhagat ")</f>
        <v xml:space="preserve">Rekha Bhagat </v>
      </c>
      <c r="D450" s="1">
        <f ca="1">IFERROR(__xludf.DUMMYFUNCTION("""COMPUTED_VALUE"""),9424811235)</f>
        <v>9424811235</v>
      </c>
      <c r="E450" s="1" t="str">
        <f ca="1">IFERROR(__xludf.DUMMYFUNCTION("""COMPUTED_VALUE"""),"Yes")</f>
        <v>Yes</v>
      </c>
      <c r="F450" s="1" t="str">
        <f ca="1">IFERROR(__xludf.DUMMYFUNCTION("""COMPUTED_VALUE"""),"हिन्दी")</f>
        <v>हिन्दी</v>
      </c>
      <c r="G450" s="1" t="str">
        <f ca="1">IFERROR(__xludf.DUMMYFUNCTION("""COMPUTED_VALUE"""),"अध्यात्म, धर्म एवं दर्शन")</f>
        <v>अध्यात्म, धर्म एवं दर्शन</v>
      </c>
      <c r="H450" s="1" t="str">
        <f ca="1">IFERROR(__xludf.DUMMYFUNCTION("""COMPUTED_VALUE"""),"आत्मज्ञान एवं आत्मनिर्माण")</f>
        <v>आत्मज्ञान एवं आत्मनिर्माण</v>
      </c>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f ca="1">IFERROR(__xludf.DUMMYFUNCTION("""COMPUTED_VALUE"""),19)</f>
        <v>19</v>
      </c>
      <c r="BX450" s="1">
        <f ca="1">IFERROR(__xludf.DUMMYFUNCTION("""COMPUTED_VALUE"""),11)</f>
        <v>11</v>
      </c>
      <c r="BY450" s="1">
        <f ca="1">IFERROR(__xludf.DUMMYFUNCTION("""COMPUTED_VALUE"""),8)</f>
        <v>8</v>
      </c>
      <c r="BZ450" s="1">
        <f ca="1">IFERROR(__xludf.DUMMYFUNCTION("""COMPUTED_VALUE"""),4)</f>
        <v>4</v>
      </c>
      <c r="CA450" s="1"/>
      <c r="CB450" s="1"/>
      <c r="CC450" s="1" t="str">
        <f ca="1">IFERROR(__xludf.DUMMYFUNCTION("""COMPUTED_VALUE"""),"पाना हैं तो देना सीखो : H_JS_27")</f>
        <v>पाना हैं तो देना सीखो : H_JS_27</v>
      </c>
      <c r="CD450" s="3" t="str">
        <f ca="1">IFERROR(__xludf.DUMMYFUNCTION("""COMPUTED_VALUE"""),"https://vicharkrantibooks.org/productdetail?book_name=HINP0611_PANA_HAI_TO_DENA_SIKHO_xx2011&amp;product_id=1176")</f>
        <v>https://vicharkrantibooks.org/productdetail?book_name=HINP0611_PANA_HAI_TO_DENA_SIKHO_xx2011&amp;product_id=1176</v>
      </c>
      <c r="CE450" s="1" t="str">
        <f ca="1">IFERROR(__xludf.DUMMYFUNCTION("""COMPUTED_VALUE"""),"Audiobook : पाना हैं तो देना सीखो : H_JS_27 : rekhabhagat2511@gmail.com : Recorded")</f>
        <v>Audiobook : पाना हैं तो देना सीखो : H_JS_27 : rekhabhagat2511@gmail.com : Recorded</v>
      </c>
      <c r="CF450" s="1" t="str">
        <f ca="1">IFERROR(__xludf.DUMMYFUNCTION("""COMPUTED_VALUE"""),"Audiobook : पाना हैं तो देना सीखो : H_JS_27 : rekhabhagat2511@gmail.com : Recorded")</f>
        <v>Audiobook : पाना हैं तो देना सीखो : H_JS_27 : rekhabhagat2511@gmail.com : Recorded</v>
      </c>
      <c r="CG450" s="1" t="str">
        <f ca="1">IFERROR(__xludf.DUMMYFUNCTION("""COMPUTED_VALUE"""),"Adarniya Rekha Bhagat  ji पाना हैं तो देना सीखो : H_JS_27 : Allocated on 05-Mar-24 Contact Number  9424811235")</f>
        <v>Adarniya Rekha Bhagat  ji पाना हैं तो देना सीखो : H_JS_27 : Allocated on 05-Mar-24 Contact Number  9424811235</v>
      </c>
      <c r="CH450" s="1" t="str">
        <f ca="1">IFERROR(__xludf.DUMMYFUNCTION("""COMPUTED_VALUE"""),"rekhabhagat2511@gmail.com : पाना हैं तो देना सीखो : H_JS_27")</f>
        <v>rekhabhagat2511@gmail.com : पाना हैं तो देना सीखो : H_JS_27</v>
      </c>
      <c r="CI450" s="5">
        <f ca="1">IFERROR(__xludf.DUMMYFUNCTION("""COMPUTED_VALUE"""),45356.4672967939)</f>
        <v>45356.467296793897</v>
      </c>
    </row>
    <row r="451" spans="1:87" x14ac:dyDescent="0.25">
      <c r="A451" s="5">
        <f ca="1">IFERROR(__xludf.DUMMYFUNCTION("""COMPUTED_VALUE"""),45353.8241061111)</f>
        <v>45353.824106111097</v>
      </c>
      <c r="B451" s="1" t="str">
        <f ca="1">IFERROR(__xludf.DUMMYFUNCTION("""COMPUTED_VALUE"""),"naina.mistry@awgpuk.org")</f>
        <v>naina.mistry@awgpuk.org</v>
      </c>
      <c r="C451" s="1" t="str">
        <f ca="1">IFERROR(__xludf.DUMMYFUNCTION("""COMPUTED_VALUE"""),"Naina Mistry ")</f>
        <v xml:space="preserve">Naina Mistry </v>
      </c>
      <c r="D451" s="1" t="str">
        <f ca="1">IFERROR(__xludf.DUMMYFUNCTION("""COMPUTED_VALUE"""),"07786 996129")</f>
        <v>07786 996129</v>
      </c>
      <c r="E451" s="1" t="str">
        <f ca="1">IFERROR(__xludf.DUMMYFUNCTION("""COMPUTED_VALUE"""),"Yes")</f>
        <v>Yes</v>
      </c>
      <c r="F451" s="1" t="str">
        <f ca="1">IFERROR(__xludf.DUMMYFUNCTION("""COMPUTED_VALUE"""),"English")</f>
        <v>English</v>
      </c>
      <c r="G451" s="1" t="str">
        <f ca="1">IFERROR(__xludf.DUMMYFUNCTION("""COMPUTED_VALUE"""),"English")</f>
        <v>English</v>
      </c>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f ca="1">IFERROR(__xludf.DUMMYFUNCTION("""COMPUTED_VALUE"""),6)</f>
        <v>6</v>
      </c>
      <c r="BX451" s="1">
        <f ca="1">IFERROR(__xludf.DUMMYFUNCTION("""COMPUTED_VALUE"""),6)</f>
        <v>6</v>
      </c>
      <c r="BY451" s="1">
        <f ca="1">IFERROR(__xludf.DUMMYFUNCTION("""COMPUTED_VALUE"""),2)</f>
        <v>2</v>
      </c>
      <c r="BZ451" s="1">
        <f ca="1">IFERROR(__xludf.DUMMYFUNCTION("""COMPUTED_VALUE"""),3)</f>
        <v>3</v>
      </c>
      <c r="CA451" s="1"/>
      <c r="CB451" s="1"/>
      <c r="CC451" s="1" t="str">
        <f ca="1">IFERROR(__xludf.DUMMYFUNCTION("""COMPUTED_VALUE"""),"Renounce The Demoniac Addiction : EP_121")</f>
        <v>Renounce The Demoniac Addiction : EP_121</v>
      </c>
      <c r="CD451" s="3" t="str">
        <f ca="1">IFERROR(__xludf.DUMMYFUNCTION("""COMPUTED_VALUE"""),"https://vicharkrantibooks.org/productdetail?book_name=ENGP1015_RENOUNCE_THE_DEMONIAC_ADDICTION_xxyyyy&amp;product_id=3506")</f>
        <v>https://vicharkrantibooks.org/productdetail?book_name=ENGP1015_RENOUNCE_THE_DEMONIAC_ADDICTION_xxyyyy&amp;product_id=3506</v>
      </c>
      <c r="CE451" s="1" t="str">
        <f ca="1">IFERROR(__xludf.DUMMYFUNCTION("""COMPUTED_VALUE"""),"Audiobook : Renounce The Demoniac Addiction : EP_121 : naina.mistry@awgpuk.org : Recorded")</f>
        <v>Audiobook : Renounce The Demoniac Addiction : EP_121 : naina.mistry@awgpuk.org : Recorded</v>
      </c>
      <c r="CF451" s="1" t="str">
        <f ca="1">IFERROR(__xludf.DUMMYFUNCTION("""COMPUTED_VALUE"""),"#N/A")</f>
        <v>#N/A</v>
      </c>
      <c r="CG451" s="1" t="str">
        <f ca="1">IFERROR(__xludf.DUMMYFUNCTION("""COMPUTED_VALUE"""),"Adarniya Naina Mistry  ji Renounce The Demoniac Addiction : EP_121 : Allocated on 02-Mar-24 Contact Number  07786 996129")</f>
        <v>Adarniya Naina Mistry  ji Renounce The Demoniac Addiction : EP_121 : Allocated on 02-Mar-24 Contact Number  07786 996129</v>
      </c>
      <c r="CH451" s="1" t="str">
        <f ca="1">IFERROR(__xludf.DUMMYFUNCTION("""COMPUTED_VALUE"""),"naina.mistry@awgpuk.org : Renounce The Demoniac Addiction : EP_121")</f>
        <v>naina.mistry@awgpuk.org : Renounce The Demoniac Addiction : EP_121</v>
      </c>
      <c r="CI451" s="5">
        <f ca="1">IFERROR(__xludf.DUMMYFUNCTION("""COMPUTED_VALUE"""),45353.8241061111)</f>
        <v>45353.824106111097</v>
      </c>
    </row>
    <row r="452" spans="1:87" x14ac:dyDescent="0.25">
      <c r="A452" s="5">
        <f ca="1">IFERROR(__xludf.DUMMYFUNCTION("""COMPUTED_VALUE"""),45352.694847662)</f>
        <v>45352.694847662002</v>
      </c>
      <c r="B452" s="1" t="str">
        <f ca="1">IFERROR(__xludf.DUMMYFUNCTION("""COMPUTED_VALUE"""),"druma4107@gmail.com")</f>
        <v>druma4107@gmail.com</v>
      </c>
      <c r="C452" s="1" t="str">
        <f ca="1">IFERROR(__xludf.DUMMYFUNCTION("""COMPUTED_VALUE"""),"Dr Uma Agrawal")</f>
        <v>Dr Uma Agrawal</v>
      </c>
      <c r="D452" s="1">
        <f ca="1">IFERROR(__xludf.DUMMYFUNCTION("""COMPUTED_VALUE"""),9410861182)</f>
        <v>9410861182</v>
      </c>
      <c r="E452" s="1" t="str">
        <f ca="1">IFERROR(__xludf.DUMMYFUNCTION("""COMPUTED_VALUE"""),"Yes")</f>
        <v>Yes</v>
      </c>
      <c r="F452" s="1" t="str">
        <f ca="1">IFERROR(__xludf.DUMMYFUNCTION("""COMPUTED_VALUE"""),"हिन्दी")</f>
        <v>हिन्दी</v>
      </c>
      <c r="G452" s="1" t="str">
        <f ca="1">IFERROR(__xludf.DUMMYFUNCTION("""COMPUTED_VALUE"""),"समग्र स्वास्थ्य")</f>
        <v>समग्र स्वास्थ्य</v>
      </c>
      <c r="H452" s="1"/>
      <c r="I452" s="1"/>
      <c r="J452" s="1"/>
      <c r="K452" s="1"/>
      <c r="L452" s="1"/>
      <c r="M452" s="1"/>
      <c r="N452" s="1"/>
      <c r="O452" s="1"/>
      <c r="P452" s="1"/>
      <c r="Q452" s="1"/>
      <c r="R452" s="1"/>
      <c r="S452" s="1"/>
      <c r="T452" s="1"/>
      <c r="U452" s="1" t="str">
        <f ca="1">IFERROR(__xludf.DUMMYFUNCTION("""COMPUTED_VALUE"""),"मानसिक स्वास्थ्य")</f>
        <v>मानसिक स्वास्थ्य</v>
      </c>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f ca="1">IFERROR(__xludf.DUMMYFUNCTION("""COMPUTED_VALUE"""),104)</f>
        <v>104</v>
      </c>
      <c r="BX452" s="1">
        <f ca="1">IFERROR(__xludf.DUMMYFUNCTION("""COMPUTED_VALUE"""),106)</f>
        <v>106</v>
      </c>
      <c r="BY452" s="1">
        <f ca="1">IFERROR(__xludf.DUMMYFUNCTION("""COMPUTED_VALUE"""),9)</f>
        <v>9</v>
      </c>
      <c r="BZ452" s="1">
        <f ca="1">IFERROR(__xludf.DUMMYFUNCTION("""COMPUTED_VALUE"""),43)</f>
        <v>43</v>
      </c>
      <c r="CA452" s="1"/>
      <c r="CB452" s="1"/>
      <c r="CC452" s="1" t="str">
        <f ca="1">IFERROR(__xludf.DUMMYFUNCTION("""COMPUTED_VALUE"""),"आत्मनिर्माण जीवन का प्रथम सोपान : Rare Book")</f>
        <v>आत्मनिर्माण जीवन का प्रथम सोपान : Rare Book</v>
      </c>
      <c r="CD452" s="3" t="str">
        <f ca="1">IFERROR(__xludf.DUMMYFUNCTION("""COMPUTED_VALUE"""),"https://vicharkrantibooks.org/productdetail?book_name=HINF0049_ATMANIRMAN_JIVAN_KA_PRATHAM_SOPAN_xxyyyy&amp;product_id=269")</f>
        <v>https://vicharkrantibooks.org/productdetail?book_name=HINF0049_ATMANIRMAN_JIVAN_KA_PRATHAM_SOPAN_xxyyyy&amp;product_id=269</v>
      </c>
      <c r="CE452" s="1" t="str">
        <f ca="1">IFERROR(__xludf.DUMMYFUNCTION("""COMPUTED_VALUE"""),"Audiobook : आत्मनिर्माण जीवन का प्रथम सोपान : Rare Book : druma4107@gmail.com : Recorded")</f>
        <v>Audiobook : आत्मनिर्माण जीवन का प्रथम सोपान : Rare Book : druma4107@gmail.com : Recorded</v>
      </c>
      <c r="CF452" s="1" t="str">
        <f ca="1">IFERROR(__xludf.DUMMYFUNCTION("""COMPUTED_VALUE"""),"#N/A")</f>
        <v>#N/A</v>
      </c>
      <c r="CG452" s="1" t="str">
        <f ca="1">IFERROR(__xludf.DUMMYFUNCTION("""COMPUTED_VALUE"""),"Adarniya Dr Uma Agrawal ji आत्मनिर्माण जीवन का प्रथम सोपान : Rare Book : Allocated on 01-Mar-24 Contact Number  9410861182")</f>
        <v>Adarniya Dr Uma Agrawal ji आत्मनिर्माण जीवन का प्रथम सोपान : Rare Book : Allocated on 01-Mar-24 Contact Number  9410861182</v>
      </c>
      <c r="CH452" s="1" t="str">
        <f ca="1">IFERROR(__xludf.DUMMYFUNCTION("""COMPUTED_VALUE"""),"druma4107@gmail.com : आत्मनिर्माण जीवन का प्रथम सोपान : Rare Book")</f>
        <v>druma4107@gmail.com : आत्मनिर्माण जीवन का प्रथम सोपान : Rare Book</v>
      </c>
      <c r="CI452" s="5">
        <f ca="1">IFERROR(__xludf.DUMMYFUNCTION("""COMPUTED_VALUE"""),45352.694847662)</f>
        <v>45352.694847662002</v>
      </c>
    </row>
    <row r="453" spans="1:87" x14ac:dyDescent="0.25">
      <c r="A453" s="5">
        <f ca="1">IFERROR(__xludf.DUMMYFUNCTION("""COMPUTED_VALUE"""),45351.8452322685)</f>
        <v>45351.845232268497</v>
      </c>
      <c r="B453" s="1" t="str">
        <f ca="1">IFERROR(__xludf.DUMMYFUNCTION("""COMPUTED_VALUE"""),"drbrpraj@gmail.com")</f>
        <v>drbrpraj@gmail.com</v>
      </c>
      <c r="C453" s="1" t="str">
        <f ca="1">IFERROR(__xludf.DUMMYFUNCTION("""COMPUTED_VALUE"""),"Dr. Baidyanath Ram Prajapati")</f>
        <v>Dr. Baidyanath Ram Prajapati</v>
      </c>
      <c r="D453" s="1">
        <f ca="1">IFERROR(__xludf.DUMMYFUNCTION("""COMPUTED_VALUE"""),9811724821)</f>
        <v>9811724821</v>
      </c>
      <c r="E453" s="1" t="str">
        <f ca="1">IFERROR(__xludf.DUMMYFUNCTION("""COMPUTED_VALUE"""),"Yes")</f>
        <v>Yes</v>
      </c>
      <c r="F453" s="1" t="str">
        <f ca="1">IFERROR(__xludf.DUMMYFUNCTION("""COMPUTED_VALUE"""),"हिन्दी")</f>
        <v>हिन्दी</v>
      </c>
      <c r="G453" s="1" t="str">
        <f ca="1">IFERROR(__xludf.DUMMYFUNCTION("""COMPUTED_VALUE"""),"अध्यात्म, धर्म एवं दर्शन")</f>
        <v>अध्यात्म, धर्म एवं दर्शन</v>
      </c>
      <c r="H453" s="1" t="str">
        <f ca="1">IFERROR(__xludf.DUMMYFUNCTION("""COMPUTED_VALUE"""),"अध्यात्म, धर्म एवं आस्तिकता")</f>
        <v>अध्यात्म, धर्म एवं आस्तिकता</v>
      </c>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f ca="1">IFERROR(__xludf.DUMMYFUNCTION("""COMPUTED_VALUE"""),8)</f>
        <v>8</v>
      </c>
      <c r="BX453" s="1">
        <f ca="1">IFERROR(__xludf.DUMMYFUNCTION("""COMPUTED_VALUE"""),5)</f>
        <v>5</v>
      </c>
      <c r="BY453" s="1">
        <f ca="1">IFERROR(__xludf.DUMMYFUNCTION("""COMPUTED_VALUE"""),3)</f>
        <v>3</v>
      </c>
      <c r="BZ453" s="1">
        <f ca="1">IFERROR(__xludf.DUMMYFUNCTION("""COMPUTED_VALUE"""),1)</f>
        <v>1</v>
      </c>
      <c r="CA453" s="1"/>
      <c r="CB453" s="1"/>
      <c r="CC453" s="1" t="str">
        <f ca="1">IFERROR(__xludf.DUMMYFUNCTION("""COMPUTED_VALUE"""),"आत्म विस्मृति की यह स्थिति कब तक रहेगी : Rare Book")</f>
        <v>आत्म विस्मृति की यह स्थिति कब तक रहेगी : Rare Book</v>
      </c>
      <c r="CD453" s="3" t="str">
        <f ca="1">IFERROR(__xludf.DUMMYFUNCTION("""COMPUTED_VALUE"""),"https://vicharkrantibooks.org/productdetail?book_name=HINF0047_ATM_VISMRUTI_KI_YAH_STHITI_KAB_TAK_RAHEGI_xxyyyy&amp;product_id=267")</f>
        <v>https://vicharkrantibooks.org/productdetail?book_name=HINF0047_ATM_VISMRUTI_KI_YAH_STHITI_KAB_TAK_RAHEGI_xxyyyy&amp;product_id=267</v>
      </c>
      <c r="CE453" s="1" t="str">
        <f ca="1">IFERROR(__xludf.DUMMYFUNCTION("""COMPUTED_VALUE"""),"Audiobook : आत्म विस्मृति की यह स्थिति कब तक रहेगी : Rare Book : drbrpraj@gmail.com : Recorded")</f>
        <v>Audiobook : आत्म विस्मृति की यह स्थिति कब तक रहेगी : Rare Book : drbrpraj@gmail.com : Recorded</v>
      </c>
      <c r="CF453" s="1" t="str">
        <f ca="1">IFERROR(__xludf.DUMMYFUNCTION("""COMPUTED_VALUE"""),"#N/A")</f>
        <v>#N/A</v>
      </c>
      <c r="CG453" s="1" t="str">
        <f ca="1">IFERROR(__xludf.DUMMYFUNCTION("""COMPUTED_VALUE"""),"Adarniya Dr. Baidyanath Ram Prajapati ji आत्म विस्मृति की यह स्थिति कब तक रहेगी : Rare Book : Allocated on 29-Feb-24 Contact Number  9811724821")</f>
        <v>Adarniya Dr. Baidyanath Ram Prajapati ji आत्म विस्मृति की यह स्थिति कब तक रहेगी : Rare Book : Allocated on 29-Feb-24 Contact Number  9811724821</v>
      </c>
      <c r="CH453" s="1" t="str">
        <f ca="1">IFERROR(__xludf.DUMMYFUNCTION("""COMPUTED_VALUE"""),"drbrpraj@gmail.com : आत्म विस्मृति की यह स्थिति कब तक रहेगी : Rare Book")</f>
        <v>drbrpraj@gmail.com : आत्म विस्मृति की यह स्थिति कब तक रहेगी : Rare Book</v>
      </c>
      <c r="CI453" s="5">
        <f ca="1">IFERROR(__xludf.DUMMYFUNCTION("""COMPUTED_VALUE"""),45351.8452322685)</f>
        <v>45351.845232268497</v>
      </c>
    </row>
    <row r="454" spans="1:87" x14ac:dyDescent="0.25">
      <c r="A454" s="5">
        <f ca="1">IFERROR(__xludf.DUMMYFUNCTION("""COMPUTED_VALUE"""),45351.7064034606)</f>
        <v>45351.706403460601</v>
      </c>
      <c r="B454" s="1" t="str">
        <f ca="1">IFERROR(__xludf.DUMMYFUNCTION("""COMPUTED_VALUE"""),"daleshwary67@gmail.com")</f>
        <v>daleshwary67@gmail.com</v>
      </c>
      <c r="C454" s="1" t="str">
        <f ca="1">IFERROR(__xludf.DUMMYFUNCTION("""COMPUTED_VALUE"""),"daleshwary sharma")</f>
        <v>daleshwary sharma</v>
      </c>
      <c r="D454" s="1">
        <f ca="1">IFERROR(__xludf.DUMMYFUNCTION("""COMPUTED_VALUE"""),8587900034)</f>
        <v>8587900034</v>
      </c>
      <c r="E454" s="1" t="str">
        <f ca="1">IFERROR(__xludf.DUMMYFUNCTION("""COMPUTED_VALUE"""),"No")</f>
        <v>No</v>
      </c>
      <c r="F454" s="1" t="str">
        <f ca="1">IFERROR(__xludf.DUMMYFUNCTION("""COMPUTED_VALUE"""),"हिन्दी")</f>
        <v>हिन्दी</v>
      </c>
      <c r="G454" s="1" t="str">
        <f ca="1">IFERROR(__xludf.DUMMYFUNCTION("""COMPUTED_VALUE"""),"I want to re-record my earlier book")</f>
        <v>I want to re-record my earlier book</v>
      </c>
      <c r="H454" s="1" t="str">
        <f ca="1">IFERROR(__xludf.DUMMYFUNCTION("""COMPUTED_VALUE"""),"उपासना")</f>
        <v>उपासना</v>
      </c>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f ca="1">IFERROR(__xludf.DUMMYFUNCTION("""COMPUTED_VALUE"""),15)</f>
        <v>15</v>
      </c>
      <c r="BX454" s="1">
        <f ca="1">IFERROR(__xludf.DUMMYFUNCTION("""COMPUTED_VALUE"""),9)</f>
        <v>9</v>
      </c>
      <c r="BY454" s="1">
        <f ca="1">IFERROR(__xludf.DUMMYFUNCTION("""COMPUTED_VALUE"""),5)</f>
        <v>5</v>
      </c>
      <c r="BZ454" s="1">
        <f ca="1">IFERROR(__xludf.DUMMYFUNCTION("""COMPUTED_VALUE"""),5)</f>
        <v>5</v>
      </c>
      <c r="CA454" s="1"/>
      <c r="CB454" s="1"/>
      <c r="CC454" s="1" t="str">
        <f ca="1">IFERROR(__xludf.DUMMYFUNCTION("""COMPUTED_VALUE"""),"नारी का गौरवशाली अतीत उज्जवल भविष्य : H_PP_42")</f>
        <v>नारी का गौरवशाली अतीत उज्जवल भविष्य : H_PP_42</v>
      </c>
      <c r="CD454" s="3" t="str">
        <f ca="1">IFERROR(__xludf.DUMMYFUNCTION("""COMPUTED_VALUE"""),"https://vicharkrantibooks.org/productdetail?book_name=HINP0562_NARI_KA_GAURAVASHALI_ATIT_UJJAVAL_BHAVISHY_xxyyyy&amp;product_id=1127")</f>
        <v>https://vicharkrantibooks.org/productdetail?book_name=HINP0562_NARI_KA_GAURAVASHALI_ATIT_UJJAVAL_BHAVISHY_xxyyyy&amp;product_id=1127</v>
      </c>
      <c r="CE454" s="1" t="str">
        <f ca="1">IFERROR(__xludf.DUMMYFUNCTION("""COMPUTED_VALUE"""),"Audiobook : नारी का गौरवशाली अतीत उज्जवल भविष्य : H_PP_42 : daleshwary67@gmail.com : Recorded")</f>
        <v>Audiobook : नारी का गौरवशाली अतीत उज्जवल भविष्य : H_PP_42 : daleshwary67@gmail.com : Recorded</v>
      </c>
      <c r="CF454" s="1" t="str">
        <f ca="1">IFERROR(__xludf.DUMMYFUNCTION("""COMPUTED_VALUE"""),"Audiobook : नारी का गौरवशाली अतीत उज्जवल भविष्य : H_PP_42 : daleshwary67@gmail.com : Recorded")</f>
        <v>Audiobook : नारी का गौरवशाली अतीत उज्जवल भविष्य : H_PP_42 : daleshwary67@gmail.com : Recorded</v>
      </c>
      <c r="CG454" s="1" t="str">
        <f ca="1">IFERROR(__xludf.DUMMYFUNCTION("""COMPUTED_VALUE"""),"Adarniya daleshwary sharma ji नारी का गौरवशाली अतीत उज्जवल भविष्य : H_PP_42 : Allocated on 29-Feb-24 Contact Number  8587900034")</f>
        <v>Adarniya daleshwary sharma ji नारी का गौरवशाली अतीत उज्जवल भविष्य : H_PP_42 : Allocated on 29-Feb-24 Contact Number  8587900034</v>
      </c>
      <c r="CH454" s="1" t="str">
        <f ca="1">IFERROR(__xludf.DUMMYFUNCTION("""COMPUTED_VALUE"""),"daleshwary67@gmail.com : नारी का गौरवशाली अतीत उज्जवल भविष्य : H_PP_42")</f>
        <v>daleshwary67@gmail.com : नारी का गौरवशाली अतीत उज्जवल भविष्य : H_PP_42</v>
      </c>
      <c r="CI454" s="5">
        <f ca="1">IFERROR(__xludf.DUMMYFUNCTION("""COMPUTED_VALUE"""),45351.7064034606)</f>
        <v>45351.706403460601</v>
      </c>
    </row>
    <row r="455" spans="1:87" x14ac:dyDescent="0.25">
      <c r="A455" s="5">
        <f ca="1">IFERROR(__xludf.DUMMYFUNCTION("""COMPUTED_VALUE"""),45350.8869422337)</f>
        <v>45350.886942233701</v>
      </c>
      <c r="B455" s="1" t="str">
        <f ca="1">IFERROR(__xludf.DUMMYFUNCTION("""COMPUTED_VALUE"""),"manjusingh6902@gmail.com")</f>
        <v>manjusingh6902@gmail.com</v>
      </c>
      <c r="C455" s="1" t="str">
        <f ca="1">IFERROR(__xludf.DUMMYFUNCTION("""COMPUTED_VALUE"""),"Manju Singh")</f>
        <v>Manju Singh</v>
      </c>
      <c r="D455" s="1">
        <f ca="1">IFERROR(__xludf.DUMMYFUNCTION("""COMPUTED_VALUE"""),9468456902)</f>
        <v>9468456902</v>
      </c>
      <c r="E455" s="1" t="str">
        <f ca="1">IFERROR(__xludf.DUMMYFUNCTION("""COMPUTED_VALUE"""),"Yes")</f>
        <v>Yes</v>
      </c>
      <c r="F455" s="1" t="str">
        <f ca="1">IFERROR(__xludf.DUMMYFUNCTION("""COMPUTED_VALUE"""),"हिन्दी")</f>
        <v>हिन्दी</v>
      </c>
      <c r="G455" s="1" t="str">
        <f ca="1">IFERROR(__xludf.DUMMYFUNCTION("""COMPUTED_VALUE"""),"परिवार निर्माण")</f>
        <v>परिवार निर्माण</v>
      </c>
      <c r="H455" s="1"/>
      <c r="I455" s="1"/>
      <c r="J455" s="1"/>
      <c r="K455" s="1"/>
      <c r="L455" s="1"/>
      <c r="M455" s="1" t="str">
        <f ca="1">IFERROR(__xludf.DUMMYFUNCTION("""COMPUTED_VALUE"""),"परिवार")</f>
        <v>परिवार</v>
      </c>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f ca="1">IFERROR(__xludf.DUMMYFUNCTION("""COMPUTED_VALUE"""),2)</f>
        <v>2</v>
      </c>
      <c r="BX455" s="1">
        <f ca="1">IFERROR(__xludf.DUMMYFUNCTION("""COMPUTED_VALUE"""),2)</f>
        <v>2</v>
      </c>
      <c r="BY455" s="1">
        <f ca="1">IFERROR(__xludf.DUMMYFUNCTION("""COMPUTED_VALUE"""),1)</f>
        <v>1</v>
      </c>
      <c r="BZ455" s="1">
        <f ca="1">IFERROR(__xludf.DUMMYFUNCTION("""COMPUTED_VALUE"""),1)</f>
        <v>1</v>
      </c>
      <c r="CA455" s="1"/>
      <c r="CB455" s="1"/>
      <c r="CC455" s="1" t="str">
        <f ca="1">IFERROR(__xludf.DUMMYFUNCTION("""COMPUTED_VALUE"""),"पारिवारिक आचार-संहिता की आवश्यकता : Rare Book")</f>
        <v>पारिवारिक आचार-संहिता की आवश्यकता : Rare Book</v>
      </c>
      <c r="CD455" s="3" t="str">
        <f ca="1">IFERROR(__xludf.DUMMYFUNCTION("""COMPUTED_VALUE"""),"https://vicharkrantibooks.org/productdetail?book_name=HINP0637_PARIWARIK_ACHAR_SANHITA_KI_AVASHYAKATA_xxyyyy&amp;product_id=1202")</f>
        <v>https://vicharkrantibooks.org/productdetail?book_name=HINP0637_PARIWARIK_ACHAR_SANHITA_KI_AVASHYAKATA_xxyyyy&amp;product_id=1202</v>
      </c>
      <c r="CE455" s="1" t="str">
        <f ca="1">IFERROR(__xludf.DUMMYFUNCTION("""COMPUTED_VALUE"""),"Audiobook : पारिवारिक आचार-संहिता की आवश्यकता : Rare Book : manjusingh6902@gmail.com : Recorded")</f>
        <v>Audiobook : पारिवारिक आचार-संहिता की आवश्यकता : Rare Book : manjusingh6902@gmail.com : Recorded</v>
      </c>
      <c r="CF455" s="1" t="str">
        <f ca="1">IFERROR(__xludf.DUMMYFUNCTION("""COMPUTED_VALUE"""),"Audiobook : पारिवारिक आचार-संहिता की आवश्यकता : Rare Book : manjusingh6902@gmail.com : Recorded")</f>
        <v>Audiobook : पारिवारिक आचार-संहिता की आवश्यकता : Rare Book : manjusingh6902@gmail.com : Recorded</v>
      </c>
      <c r="CG455" s="1" t="str">
        <f ca="1">IFERROR(__xludf.DUMMYFUNCTION("""COMPUTED_VALUE"""),"Adarniya Manju Singh ji पारिवारिक आचार-संहिता की आवश्यकता : Rare Book : Allocated on 28-Feb-24 Contact Number  9468456902")</f>
        <v>Adarniya Manju Singh ji पारिवारिक आचार-संहिता की आवश्यकता : Rare Book : Allocated on 28-Feb-24 Contact Number  9468456902</v>
      </c>
      <c r="CH455" s="1" t="str">
        <f ca="1">IFERROR(__xludf.DUMMYFUNCTION("""COMPUTED_VALUE"""),"manjusingh6902@gmail.com : पारिवारिक आचार-संहिता की आवश्यकता : Rare Book")</f>
        <v>manjusingh6902@gmail.com : पारिवारिक आचार-संहिता की आवश्यकता : Rare Book</v>
      </c>
      <c r="CI455" s="5">
        <f ca="1">IFERROR(__xludf.DUMMYFUNCTION("""COMPUTED_VALUE"""),45350.8869422337)</f>
        <v>45350.886942233701</v>
      </c>
    </row>
    <row r="456" spans="1:87" x14ac:dyDescent="0.25">
      <c r="A456" s="5">
        <f ca="1">IFERROR(__xludf.DUMMYFUNCTION("""COMPUTED_VALUE"""),45350.1916779745)</f>
        <v>45350.191677974501</v>
      </c>
      <c r="B456" s="1" t="str">
        <f ca="1">IFERROR(__xludf.DUMMYFUNCTION("""COMPUTED_VALUE"""),"richasharma310575@gmail.com")</f>
        <v>richasharma310575@gmail.com</v>
      </c>
      <c r="C456" s="1" t="str">
        <f ca="1">IFERROR(__xludf.DUMMYFUNCTION("""COMPUTED_VALUE"""),"Richa Sharma")</f>
        <v>Richa Sharma</v>
      </c>
      <c r="D456" s="1">
        <f ca="1">IFERROR(__xludf.DUMMYFUNCTION("""COMPUTED_VALUE"""),9479664049)</f>
        <v>9479664049</v>
      </c>
      <c r="E456" s="1" t="str">
        <f ca="1">IFERROR(__xludf.DUMMYFUNCTION("""COMPUTED_VALUE"""),"Yes")</f>
        <v>Yes</v>
      </c>
      <c r="F456" s="1" t="str">
        <f ca="1">IFERROR(__xludf.DUMMYFUNCTION("""COMPUTED_VALUE"""),"हिन्दी")</f>
        <v>हिन्दी</v>
      </c>
      <c r="G456" s="1" t="str">
        <f ca="1">IFERROR(__xludf.DUMMYFUNCTION("""COMPUTED_VALUE"""),"संस्कार, कर्मकाण्ड, पाठ, पूजा, गीत-संगीत")</f>
        <v>संस्कार, कर्मकाण्ड, पाठ, पूजा, गीत-संगीत</v>
      </c>
      <c r="H456" s="1"/>
      <c r="I456" s="1"/>
      <c r="J456" s="1"/>
      <c r="K456" s="1"/>
      <c r="L456" s="1"/>
      <c r="M456" s="1"/>
      <c r="N456" s="1"/>
      <c r="O456" s="1"/>
      <c r="P456" s="1"/>
      <c r="Q456" s="1"/>
      <c r="R456" s="1"/>
      <c r="S456" s="1"/>
      <c r="T456" s="1"/>
      <c r="U456" s="1"/>
      <c r="V456" s="1"/>
      <c r="W456" s="1" t="str">
        <f ca="1">IFERROR(__xludf.DUMMYFUNCTION("""COMPUTED_VALUE"""),"संस्कार")</f>
        <v>संस्कार</v>
      </c>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t="str">
        <f ca="1">IFERROR(__xludf.DUMMYFUNCTION("""COMPUTED_VALUE"""),"अंत्येष्ठि संस्कार विवेचन")</f>
        <v>अंत्येष्ठि संस्कार विवेचन</v>
      </c>
      <c r="BJ456" s="1"/>
      <c r="BK456" s="1"/>
      <c r="BL456" s="1"/>
      <c r="BM456" s="1"/>
      <c r="BN456" s="1"/>
      <c r="BO456" s="1"/>
      <c r="BP456" s="1"/>
      <c r="BQ456" s="1"/>
      <c r="BR456" s="1"/>
      <c r="BS456" s="1"/>
      <c r="BT456" s="1"/>
      <c r="BU456" s="1"/>
      <c r="BV456" s="1"/>
      <c r="BW456" s="1">
        <f ca="1">IFERROR(__xludf.DUMMYFUNCTION("""COMPUTED_VALUE"""),23)</f>
        <v>23</v>
      </c>
      <c r="BX456" s="1">
        <f ca="1">IFERROR(__xludf.DUMMYFUNCTION("""COMPUTED_VALUE"""),28)</f>
        <v>28</v>
      </c>
      <c r="BY456" s="1">
        <f ca="1">IFERROR(__xludf.DUMMYFUNCTION("""COMPUTED_VALUE"""),2)</f>
        <v>2</v>
      </c>
      <c r="BZ456" s="1">
        <f ca="1">IFERROR(__xludf.DUMMYFUNCTION("""COMPUTED_VALUE"""),24)</f>
        <v>24</v>
      </c>
      <c r="CA456" s="1"/>
      <c r="CB456" s="1"/>
      <c r="CC456" s="1" t="str">
        <f ca="1">IFERROR(__xludf.DUMMYFUNCTION("""COMPUTED_VALUE"""),"योग प्रसुप्त की जाग्रति का उच्चस्तरीय विज्ञान : H_SA_42")</f>
        <v>योग प्रसुप्त की जाग्रति का उच्चस्तरीय विज्ञान : H_SA_42</v>
      </c>
      <c r="CD456" s="3" t="str">
        <f ca="1">IFERROR(__xludf.DUMMYFUNCTION("""COMPUTED_VALUE"""),"https://vicharkrantibooks.org/productdetail?book_name=HINP1079_YOG_PRASUPT_KI_JAGRUTI_KA_UCHCHASTARIY_VIGYAN_xxyyyy&amp;product_id=1644")</f>
        <v>https://vicharkrantibooks.org/productdetail?book_name=HINP1079_YOG_PRASUPT_KI_JAGRUTI_KA_UCHCHASTARIY_VIGYAN_xxyyyy&amp;product_id=1644</v>
      </c>
      <c r="CE456" s="1" t="str">
        <f ca="1">IFERROR(__xludf.DUMMYFUNCTION("""COMPUTED_VALUE"""),"Audiobook : योग प्रसुप्त की जाग्रति का उच्चस्तरीय विज्ञान : H_SA_42 : richasharma310575@gmail.com : Recorded")</f>
        <v>Audiobook : योग प्रसुप्त की जाग्रति का उच्चस्तरीय विज्ञान : H_SA_42 : richasharma310575@gmail.com : Recorded</v>
      </c>
      <c r="CF456" s="1" t="str">
        <f ca="1">IFERROR(__xludf.DUMMYFUNCTION("""COMPUTED_VALUE"""),"Audiobook : योग प्रसुप्त की जाग्रति का उच्चस्तरीय विज्ञान : H_SA_42 : richasharma310575@gmail.com : Recorded")</f>
        <v>Audiobook : योग प्रसुप्त की जाग्रति का उच्चस्तरीय विज्ञान : H_SA_42 : richasharma310575@gmail.com : Recorded</v>
      </c>
      <c r="CG456" s="1" t="str">
        <f ca="1">IFERROR(__xludf.DUMMYFUNCTION("""COMPUTED_VALUE"""),"Adarniya Richa Sharma ji योग प्रसुप्त की जाग्रति का उच्चस्तरीय विज्ञान : H_SA_42 : Allocated on 28-Feb-24 Contact Number  9479664049")</f>
        <v>Adarniya Richa Sharma ji योग प्रसुप्त की जाग्रति का उच्चस्तरीय विज्ञान : H_SA_42 : Allocated on 28-Feb-24 Contact Number  9479664049</v>
      </c>
      <c r="CH456" s="1" t="str">
        <f ca="1">IFERROR(__xludf.DUMMYFUNCTION("""COMPUTED_VALUE"""),"richasharma310575@gmail.com : योग प्रसुप्त की जाग्रति का उच्चस्तरीय विज्ञान : H_SA_42")</f>
        <v>richasharma310575@gmail.com : योग प्रसुप्त की जाग्रति का उच्चस्तरीय विज्ञान : H_SA_42</v>
      </c>
      <c r="CI456" s="5">
        <f ca="1">IFERROR(__xludf.DUMMYFUNCTION("""COMPUTED_VALUE"""),45350.1916779745)</f>
        <v>45350.191677974501</v>
      </c>
    </row>
    <row r="457" spans="1:87" x14ac:dyDescent="0.25">
      <c r="A457" s="5">
        <f ca="1">IFERROR(__xludf.DUMMYFUNCTION("""COMPUTED_VALUE"""),45348.6970925578)</f>
        <v>45348.697092557799</v>
      </c>
      <c r="B457" s="1" t="str">
        <f ca="1">IFERROR(__xludf.DUMMYFUNCTION("""COMPUTED_VALUE"""),"rbbansalriya@gmail.com")</f>
        <v>rbbansalriya@gmail.com</v>
      </c>
      <c r="C457" s="1" t="str">
        <f ca="1">IFERROR(__xludf.DUMMYFUNCTION("""COMPUTED_VALUE"""),"Riya bansal ")</f>
        <v xml:space="preserve">Riya bansal </v>
      </c>
      <c r="D457" s="1">
        <f ca="1">IFERROR(__xludf.DUMMYFUNCTION("""COMPUTED_VALUE"""),9176361023)</f>
        <v>9176361023</v>
      </c>
      <c r="E457" s="1" t="str">
        <f ca="1">IFERROR(__xludf.DUMMYFUNCTION("""COMPUTED_VALUE"""),"Yes")</f>
        <v>Yes</v>
      </c>
      <c r="F457" s="1" t="str">
        <f ca="1">IFERROR(__xludf.DUMMYFUNCTION("""COMPUTED_VALUE"""),"हिन्दी")</f>
        <v>हिन्दी</v>
      </c>
      <c r="G457" s="1" t="str">
        <f ca="1">IFERROR(__xludf.DUMMYFUNCTION("""COMPUTED_VALUE"""),"वैज्ञानिक अध्यात्मवाद का प्रतिपादन")</f>
        <v>वैज्ञानिक अध्यात्मवाद का प्रतिपादन</v>
      </c>
      <c r="H457" s="1"/>
      <c r="I457" s="1"/>
      <c r="J457" s="1"/>
      <c r="K457" s="1"/>
      <c r="L457" s="1"/>
      <c r="M457" s="1"/>
      <c r="N457" s="1"/>
      <c r="O457" s="1"/>
      <c r="P457" s="1"/>
      <c r="Q457" s="1"/>
      <c r="R457" s="1"/>
      <c r="S457" s="1" t="str">
        <f ca="1">IFERROR(__xludf.DUMMYFUNCTION("""COMPUTED_VALUE"""),"वैज्ञानिक अध्यात्मवाद का प्रतिपादन")</f>
        <v>वैज्ञानिक अध्यात्मवाद का प्रतिपादन</v>
      </c>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f ca="1">IFERROR(__xludf.DUMMYFUNCTION("""COMPUTED_VALUE"""),54)</f>
        <v>54</v>
      </c>
      <c r="BX457" s="1">
        <f ca="1">IFERROR(__xludf.DUMMYFUNCTION("""COMPUTED_VALUE"""),55)</f>
        <v>55</v>
      </c>
      <c r="BY457" s="1">
        <f ca="1">IFERROR(__xludf.DUMMYFUNCTION("""COMPUTED_VALUE"""),9)</f>
        <v>9</v>
      </c>
      <c r="BZ457" s="1">
        <f ca="1">IFERROR(__xludf.DUMMYFUNCTION("""COMPUTED_VALUE"""),43)</f>
        <v>43</v>
      </c>
      <c r="CA457" s="1"/>
      <c r="CB457" s="1"/>
      <c r="CC457" s="1" t="str">
        <f ca="1">IFERROR(__xludf.DUMMYFUNCTION("""COMPUTED_VALUE"""),"महाकाल की भविष्यवाणी : Rare Book")</f>
        <v>महाकाल की भविष्यवाणी : Rare Book</v>
      </c>
      <c r="CD457" s="3" t="str">
        <f ca="1">IFERROR(__xludf.DUMMYFUNCTION("""COMPUTED_VALUE"""),"https://vicharkrantibooks.org/productdetail?book_name=HINP1117_MAHAKAL_KI_BHAVISHYAVANI_xxyyyy&amp;product_id=1682")</f>
        <v>https://vicharkrantibooks.org/productdetail?book_name=HINP1117_MAHAKAL_KI_BHAVISHYAVANI_xxyyyy&amp;product_id=1682</v>
      </c>
      <c r="CE457" s="1" t="str">
        <f ca="1">IFERROR(__xludf.DUMMYFUNCTION("""COMPUTED_VALUE"""),"Audiobook : महाकाल की भविष्यवाणी : Rare Book : rbbansalriya@gmail.com : Recorded")</f>
        <v>Audiobook : महाकाल की भविष्यवाणी : Rare Book : rbbansalriya@gmail.com : Recorded</v>
      </c>
      <c r="CF457" s="1" t="str">
        <f ca="1">IFERROR(__xludf.DUMMYFUNCTION("""COMPUTED_VALUE"""),"#N/A")</f>
        <v>#N/A</v>
      </c>
      <c r="CG457" s="1" t="str">
        <f ca="1">IFERROR(__xludf.DUMMYFUNCTION("""COMPUTED_VALUE"""),"Adarniya Riya bansal  ji महाकाल की भविष्यवाणी : Rare Book : Allocated on 26-Feb-24 Contact Number  9176361023")</f>
        <v>Adarniya Riya bansal  ji महाकाल की भविष्यवाणी : Rare Book : Allocated on 26-Feb-24 Contact Number  9176361023</v>
      </c>
      <c r="CH457" s="1" t="str">
        <f ca="1">IFERROR(__xludf.DUMMYFUNCTION("""COMPUTED_VALUE"""),"rbbansalriya@gmail.com : महाकाल की भविष्यवाणी : Rare Book")</f>
        <v>rbbansalriya@gmail.com : महाकाल की भविष्यवाणी : Rare Book</v>
      </c>
      <c r="CI457" s="5">
        <f ca="1">IFERROR(__xludf.DUMMYFUNCTION("""COMPUTED_VALUE"""),45348.6970925578)</f>
        <v>45348.697092557799</v>
      </c>
    </row>
    <row r="458" spans="1:87" x14ac:dyDescent="0.25">
      <c r="A458" s="5">
        <f ca="1">IFERROR(__xludf.DUMMYFUNCTION("""COMPUTED_VALUE"""),45341.4948255902)</f>
        <v>45341.494825590198</v>
      </c>
      <c r="B458" s="1" t="str">
        <f ca="1">IFERROR(__xludf.DUMMYFUNCTION("""COMPUTED_VALUE"""),"rajnivarma24.vns@gmail.com")</f>
        <v>rajnivarma24.vns@gmail.com</v>
      </c>
      <c r="C458" s="1" t="str">
        <f ca="1">IFERROR(__xludf.DUMMYFUNCTION("""COMPUTED_VALUE"""),"Rajni varma")</f>
        <v>Rajni varma</v>
      </c>
      <c r="D458" s="1">
        <f ca="1">IFERROR(__xludf.DUMMYFUNCTION("""COMPUTED_VALUE"""),9335661433)</f>
        <v>9335661433</v>
      </c>
      <c r="E458" s="1" t="str">
        <f ca="1">IFERROR(__xludf.DUMMYFUNCTION("""COMPUTED_VALUE"""),"No")</f>
        <v>No</v>
      </c>
      <c r="F458" s="1" t="str">
        <f ca="1">IFERROR(__xludf.DUMMYFUNCTION("""COMPUTED_VALUE"""),"हिन्दी")</f>
        <v>हिन्दी</v>
      </c>
      <c r="G458" s="1" t="str">
        <f ca="1">IFERROR(__xludf.DUMMYFUNCTION("""COMPUTED_VALUE"""),"युग द्रष्टा पं. श्रीराम शर्मा आचार्यजी")</f>
        <v>युग द्रष्टा पं. श्रीराम शर्मा आचार्यजी</v>
      </c>
      <c r="H458" s="1"/>
      <c r="I458" s="1"/>
      <c r="J458" s="1"/>
      <c r="K458" s="1"/>
      <c r="L458" s="1"/>
      <c r="M458" s="1"/>
      <c r="N458" s="1"/>
      <c r="O458" s="1"/>
      <c r="P458" s="1" t="str">
        <f ca="1">IFERROR(__xludf.DUMMYFUNCTION("""COMPUTED_VALUE"""),"युगॠषी का जीवनदर्शन")</f>
        <v>युगॠषी का जीवनदर्शन</v>
      </c>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f ca="1">IFERROR(__xludf.DUMMYFUNCTION("""COMPUTED_VALUE"""),30)</f>
        <v>30</v>
      </c>
      <c r="BX458" s="1">
        <f ca="1">IFERROR(__xludf.DUMMYFUNCTION("""COMPUTED_VALUE"""),25)</f>
        <v>25</v>
      </c>
      <c r="BY458" s="1">
        <f ca="1">IFERROR(__xludf.DUMMYFUNCTION("""COMPUTED_VALUE"""),7)</f>
        <v>7</v>
      </c>
      <c r="BZ458" s="1">
        <f ca="1">IFERROR(__xludf.DUMMYFUNCTION("""COMPUTED_VALUE"""),7)</f>
        <v>7</v>
      </c>
      <c r="CA458" s="1"/>
      <c r="CB458" s="1"/>
      <c r="CC458" s="1" t="str">
        <f ca="1">IFERROR(__xludf.DUMMYFUNCTION("""COMPUTED_VALUE"""),"सर्वत्र पूज्य मातृशक्ति : H_PP_47")</f>
        <v>सर्वत्र पूज्य मातृशक्ति : H_PP_47</v>
      </c>
      <c r="CD458" s="3" t="str">
        <f ca="1">IFERROR(__xludf.DUMMYFUNCTION("""COMPUTED_VALUE"""),"https://vicharkrantibooks.org/productdetail?book_name=HINP0817_SARVATR_PUJY_MATRUSHAKTI_xxyyyy&amp;product_id=1382")</f>
        <v>https://vicharkrantibooks.org/productdetail?book_name=HINP0817_SARVATR_PUJY_MATRUSHAKTI_xxyyyy&amp;product_id=1382</v>
      </c>
      <c r="CE458" s="1" t="str">
        <f ca="1">IFERROR(__xludf.DUMMYFUNCTION("""COMPUTED_VALUE"""),"Audiobook : सर्वत्र पूज्य मातृशक्ति : H_PP_47 : rajnivarma24.vns@gmail.com : Recorded")</f>
        <v>Audiobook : सर्वत्र पूज्य मातृशक्ति : H_PP_47 : rajnivarma24.vns@gmail.com : Recorded</v>
      </c>
      <c r="CF458" s="1" t="str">
        <f ca="1">IFERROR(__xludf.DUMMYFUNCTION("""COMPUTED_VALUE"""),"Audiobook : सर्वत्र पूज्य मातृशक्ति : H_PP_47 : rajnivarma24.vns@gmail.com : Recorded")</f>
        <v>Audiobook : सर्वत्र पूज्य मातृशक्ति : H_PP_47 : rajnivarma24.vns@gmail.com : Recorded</v>
      </c>
      <c r="CG458" s="1" t="str">
        <f ca="1">IFERROR(__xludf.DUMMYFUNCTION("""COMPUTED_VALUE"""),"Adarniya Rajni varma ji सर्वत्र पूज्य मातृशक्ति : H_PP_47 : Allocated on 19-Feb-24 Contact Number  9335661433")</f>
        <v>Adarniya Rajni varma ji सर्वत्र पूज्य मातृशक्ति : H_PP_47 : Allocated on 19-Feb-24 Contact Number  9335661433</v>
      </c>
      <c r="CH458" s="1" t="str">
        <f ca="1">IFERROR(__xludf.DUMMYFUNCTION("""COMPUTED_VALUE"""),"rajnivarma24.vns@gmail.com : सर्वत्र पूज्य मातृशक्ति : H_PP_47")</f>
        <v>rajnivarma24.vns@gmail.com : सर्वत्र पूज्य मातृशक्ति : H_PP_47</v>
      </c>
      <c r="CI458" s="5">
        <f ca="1">IFERROR(__xludf.DUMMYFUNCTION("""COMPUTED_VALUE"""),45341.4948255902)</f>
        <v>45341.494825590198</v>
      </c>
    </row>
    <row r="459" spans="1:87" x14ac:dyDescent="0.25">
      <c r="A459" s="5">
        <f ca="1">IFERROR(__xludf.DUMMYFUNCTION("""COMPUTED_VALUE"""),45340.3823220717)</f>
        <v>45340.382322071702</v>
      </c>
      <c r="B459" s="1" t="str">
        <f ca="1">IFERROR(__xludf.DUMMYFUNCTION("""COMPUTED_VALUE"""),"purnima.bharadwaj.24@gmail.com")</f>
        <v>purnima.bharadwaj.24@gmail.com</v>
      </c>
      <c r="C459" s="1" t="str">
        <f ca="1">IFERROR(__xludf.DUMMYFUNCTION("""COMPUTED_VALUE"""),"पूर्णिमा भारद्वाज ")</f>
        <v xml:space="preserve">पूर्णिमा भारद्वाज </v>
      </c>
      <c r="D459" s="1">
        <f ca="1">IFERROR(__xludf.DUMMYFUNCTION("""COMPUTED_VALUE"""),9415389032)</f>
        <v>9415389032</v>
      </c>
      <c r="E459" s="1" t="str">
        <f ca="1">IFERROR(__xludf.DUMMYFUNCTION("""COMPUTED_VALUE"""),"Yes")</f>
        <v>Yes</v>
      </c>
      <c r="F459" s="1" t="str">
        <f ca="1">IFERROR(__xludf.DUMMYFUNCTION("""COMPUTED_VALUE"""),"हिन्दी")</f>
        <v>हिन्दी</v>
      </c>
      <c r="G459" s="1" t="str">
        <f ca="1">IFERROR(__xludf.DUMMYFUNCTION("""COMPUTED_VALUE"""),"युग द्रष्टा पं. श्रीराम शर्मा आचार्यजी")</f>
        <v>युग द्रष्टा पं. श्रीराम शर्मा आचार्यजी</v>
      </c>
      <c r="H459" s="1"/>
      <c r="I459" s="1"/>
      <c r="J459" s="1"/>
      <c r="K459" s="1"/>
      <c r="L459" s="1"/>
      <c r="M459" s="1"/>
      <c r="N459" s="1"/>
      <c r="O459" s="1"/>
      <c r="P459" s="1" t="str">
        <f ca="1">IFERROR(__xludf.DUMMYFUNCTION("""COMPUTED_VALUE"""),"युगॠषी की अमृतवाणी")</f>
        <v>युगॠषी की अमृतवाणी</v>
      </c>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f ca="1">IFERROR(__xludf.DUMMYFUNCTION("""COMPUTED_VALUE"""),43)</f>
        <v>43</v>
      </c>
      <c r="BX459" s="1">
        <f ca="1">IFERROR(__xludf.DUMMYFUNCTION("""COMPUTED_VALUE"""),36)</f>
        <v>36</v>
      </c>
      <c r="BY459" s="1">
        <f ca="1">IFERROR(__xludf.DUMMYFUNCTION("""COMPUTED_VALUE"""),9)</f>
        <v>9</v>
      </c>
      <c r="BZ459" s="1">
        <f ca="1">IFERROR(__xludf.DUMMYFUNCTION("""COMPUTED_VALUE"""),30)</f>
        <v>30</v>
      </c>
      <c r="CA459" s="1"/>
      <c r="CB459" s="1"/>
      <c r="CC459" s="1" t="str">
        <f ca="1">IFERROR(__xludf.DUMMYFUNCTION("""COMPUTED_VALUE"""),"व्यसन विनाश का सोपान : H_VM_12")</f>
        <v>व्यसन विनाश का सोपान : H_VM_12</v>
      </c>
      <c r="CD459" s="3" t="str">
        <f ca="1">IFERROR(__xludf.DUMMYFUNCTION("""COMPUTED_VALUE"""),"https://vicharkrantibooks.org/productdetail?book_name=HINP1014_VYASAN_VINASH_KA_SOPAN_xxyyyy&amp;product_id=1579")</f>
        <v>https://vicharkrantibooks.org/productdetail?book_name=HINP1014_VYASAN_VINASH_KA_SOPAN_xxyyyy&amp;product_id=1579</v>
      </c>
      <c r="CE459" s="1" t="str">
        <f ca="1">IFERROR(__xludf.DUMMYFUNCTION("""COMPUTED_VALUE"""),"Audiobook : व्यसन विनाश का सोपान : H_VM_12 : purnima.bharadwaj.24@gmail.com : Recorded")</f>
        <v>Audiobook : व्यसन विनाश का सोपान : H_VM_12 : purnima.bharadwaj.24@gmail.com : Recorded</v>
      </c>
      <c r="CF459" s="1" t="str">
        <f ca="1">IFERROR(__xludf.DUMMYFUNCTION("""COMPUTED_VALUE"""),"#N/A")</f>
        <v>#N/A</v>
      </c>
      <c r="CG459" s="1" t="str">
        <f ca="1">IFERROR(__xludf.DUMMYFUNCTION("""COMPUTED_VALUE"""),"Adarniya पूर्णिमा भारद्वाज  ji व्यसन विनाश का सोपान : H_VM_12 : Allocated on 18-Feb-24 Contact Number  9415389032")</f>
        <v>Adarniya पूर्णिमा भारद्वाज  ji व्यसन विनाश का सोपान : H_VM_12 : Allocated on 18-Feb-24 Contact Number  9415389032</v>
      </c>
      <c r="CH459" s="1" t="str">
        <f ca="1">IFERROR(__xludf.DUMMYFUNCTION("""COMPUTED_VALUE"""),"purnima.bharadwaj.24@gmail.com : व्यसन विनाश का सोपान : H_VM_12")</f>
        <v>purnima.bharadwaj.24@gmail.com : व्यसन विनाश का सोपान : H_VM_12</v>
      </c>
      <c r="CI459" s="5">
        <f ca="1">IFERROR(__xludf.DUMMYFUNCTION("""COMPUTED_VALUE"""),45340.3823220717)</f>
        <v>45340.382322071702</v>
      </c>
    </row>
    <row r="460" spans="1:87" x14ac:dyDescent="0.25">
      <c r="A460" s="5">
        <f ca="1">IFERROR(__xludf.DUMMYFUNCTION("""COMPUTED_VALUE"""),45337.8262151851)</f>
        <v>45337.826215185101</v>
      </c>
      <c r="B460" s="1" t="str">
        <f ca="1">IFERROR(__xludf.DUMMYFUNCTION("""COMPUTED_VALUE"""),"shrutidube.86@gmail.com")</f>
        <v>shrutidube.86@gmail.com</v>
      </c>
      <c r="C460" s="1" t="str">
        <f ca="1">IFERROR(__xludf.DUMMYFUNCTION("""COMPUTED_VALUE"""),"shruti dubey")</f>
        <v>shruti dubey</v>
      </c>
      <c r="D460" s="1">
        <f ca="1">IFERROR(__xludf.DUMMYFUNCTION("""COMPUTED_VALUE"""),7021294023)</f>
        <v>7021294023</v>
      </c>
      <c r="E460" s="1" t="str">
        <f ca="1">IFERROR(__xludf.DUMMYFUNCTION("""COMPUTED_VALUE"""),"Yes")</f>
        <v>Yes</v>
      </c>
      <c r="F460" s="1" t="str">
        <f ca="1">IFERROR(__xludf.DUMMYFUNCTION("""COMPUTED_VALUE"""),"English")</f>
        <v>English</v>
      </c>
      <c r="G460" s="1" t="str">
        <f ca="1">IFERROR(__xludf.DUMMYFUNCTION("""COMPUTED_VALUE"""),"English")</f>
        <v>English</v>
      </c>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f ca="1">IFERROR(__xludf.DUMMYFUNCTION("""COMPUTED_VALUE"""),8)</f>
        <v>8</v>
      </c>
      <c r="BX460" s="1">
        <f ca="1">IFERROR(__xludf.DUMMYFUNCTION("""COMPUTED_VALUE"""),4)</f>
        <v>4</v>
      </c>
      <c r="BY460" s="1">
        <f ca="1">IFERROR(__xludf.DUMMYFUNCTION("""COMPUTED_VALUE"""),4)</f>
        <v>4</v>
      </c>
      <c r="BZ460" s="1">
        <f ca="1">IFERROR(__xludf.DUMMYFUNCTION("""COMPUTED_VALUE"""),1)</f>
        <v>1</v>
      </c>
      <c r="CA460" s="1"/>
      <c r="CB460" s="1"/>
      <c r="CC460" s="1" t="str">
        <f ca="1">IFERROR(__xludf.DUMMYFUNCTION("""COMPUTED_VALUE"""),"Steer The Life For Definite Rewards : EP_128")</f>
        <v>Steer The Life For Definite Rewards : EP_128</v>
      </c>
      <c r="CD460" s="3" t="str">
        <f ca="1">IFERROR(__xludf.DUMMYFUNCTION("""COMPUTED_VALUE"""),"https://vicharkrantibooks.org/productdetail?book_name=ENGP0605_STEER_THE_LIFE_FOR_DEFINITE_REWARDS_xxyyyy&amp;product_id=3513")</f>
        <v>https://vicharkrantibooks.org/productdetail?book_name=ENGP0605_STEER_THE_LIFE_FOR_DEFINITE_REWARDS_xxyyyy&amp;product_id=3513</v>
      </c>
      <c r="CE460" s="1" t="str">
        <f ca="1">IFERROR(__xludf.DUMMYFUNCTION("""COMPUTED_VALUE"""),"Audiobook : Steer The Life For Definite Rewards : EP_128 : shrutidube.86@gmail.com : Recorded")</f>
        <v>Audiobook : Steer The Life For Definite Rewards : EP_128 : shrutidube.86@gmail.com : Recorded</v>
      </c>
      <c r="CF460" s="1" t="str">
        <f ca="1">IFERROR(__xludf.DUMMYFUNCTION("""COMPUTED_VALUE"""),"#N/A")</f>
        <v>#N/A</v>
      </c>
      <c r="CG460" s="1" t="str">
        <f ca="1">IFERROR(__xludf.DUMMYFUNCTION("""COMPUTED_VALUE"""),"Adarniya shruti dubey ji Steer The Life For Definite Rewards : EP_128 : Allocated on 15-Feb-24 Contact Number  7021294023")</f>
        <v>Adarniya shruti dubey ji Steer The Life For Definite Rewards : EP_128 : Allocated on 15-Feb-24 Contact Number  7021294023</v>
      </c>
      <c r="CH460" s="1" t="str">
        <f ca="1">IFERROR(__xludf.DUMMYFUNCTION("""COMPUTED_VALUE"""),"shrutidube.86@gmail.com : Steer The Life For Definite Rewards : EP_128")</f>
        <v>shrutidube.86@gmail.com : Steer The Life For Definite Rewards : EP_128</v>
      </c>
      <c r="CI460" s="5">
        <f ca="1">IFERROR(__xludf.DUMMYFUNCTION("""COMPUTED_VALUE"""),45337.8262151851)</f>
        <v>45337.826215185101</v>
      </c>
    </row>
    <row r="461" spans="1:87" x14ac:dyDescent="0.25">
      <c r="A461" s="5">
        <f ca="1">IFERROR(__xludf.DUMMYFUNCTION("""COMPUTED_VALUE"""),45337.1806292476)</f>
        <v>45337.180629247603</v>
      </c>
      <c r="B461" s="1" t="str">
        <f ca="1">IFERROR(__xludf.DUMMYFUNCTION("""COMPUTED_VALUE"""),"sanjayneha1@yahoo.com")</f>
        <v>sanjayneha1@yahoo.com</v>
      </c>
      <c r="C461" s="1" t="str">
        <f ca="1">IFERROR(__xludf.DUMMYFUNCTION("""COMPUTED_VALUE"""),"Neha Manocha")</f>
        <v>Neha Manocha</v>
      </c>
      <c r="D461" s="1">
        <f ca="1">IFERROR(__xludf.DUMMYFUNCTION("""COMPUTED_VALUE"""),16174130446)</f>
        <v>16174130446</v>
      </c>
      <c r="E461" s="1" t="str">
        <f ca="1">IFERROR(__xludf.DUMMYFUNCTION("""COMPUTED_VALUE"""),"Yes")</f>
        <v>Yes</v>
      </c>
      <c r="F461" s="1" t="str">
        <f ca="1">IFERROR(__xludf.DUMMYFUNCTION("""COMPUTED_VALUE"""),"हिन्दी or English")</f>
        <v>हिन्दी or English</v>
      </c>
      <c r="G461" s="1" t="str">
        <f ca="1">IFERROR(__xludf.DUMMYFUNCTION("""COMPUTED_VALUE"""),"any book or my old book which needs to be rerecorded")</f>
        <v>any book or my old book which needs to be rerecorded</v>
      </c>
      <c r="H461" s="1" t="str">
        <f ca="1">IFERROR(__xludf.DUMMYFUNCTION("""COMPUTED_VALUE"""),"साधना")</f>
        <v>साधना</v>
      </c>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f ca="1">IFERROR(__xludf.DUMMYFUNCTION("""COMPUTED_VALUE"""),33)</f>
        <v>33</v>
      </c>
      <c r="BX461" s="1">
        <f ca="1">IFERROR(__xludf.DUMMYFUNCTION("""COMPUTED_VALUE"""),40)</f>
        <v>40</v>
      </c>
      <c r="BY461" s="1">
        <f ca="1">IFERROR(__xludf.DUMMYFUNCTION("""COMPUTED_VALUE"""),3)</f>
        <v>3</v>
      </c>
      <c r="BZ461" s="1">
        <f ca="1">IFERROR(__xludf.DUMMYFUNCTION("""COMPUTED_VALUE"""),22)</f>
        <v>22</v>
      </c>
      <c r="CA461" s="1"/>
      <c r="CB461" s="1"/>
      <c r="CC461" s="1" t="str">
        <f ca="1">IFERROR(__xludf.DUMMYFUNCTION("""COMPUTED_VALUE"""),"Increase Your Merits And Observe Civility : EP_126")</f>
        <v>Increase Your Merits And Observe Civility : EP_126</v>
      </c>
      <c r="CD461" s="3" t="str">
        <f ca="1">IFERROR(__xludf.DUMMYFUNCTION("""COMPUTED_VALUE"""),"https://vicharkrantibooks.org/productdetail?book_name=ENGP0733_INCREASE_YOUR_MERITS_AND_OBSERVE_CIVILITY_xxyyyy&amp;product_id=3511")</f>
        <v>https://vicharkrantibooks.org/productdetail?book_name=ENGP0733_INCREASE_YOUR_MERITS_AND_OBSERVE_CIVILITY_xxyyyy&amp;product_id=3511</v>
      </c>
      <c r="CE461" s="1" t="str">
        <f ca="1">IFERROR(__xludf.DUMMYFUNCTION("""COMPUTED_VALUE"""),"Audiobook : Increase Your Merits And Observe Civility : EP_126 : sanjayneha1@yahoo.com : Recorded")</f>
        <v>Audiobook : Increase Your Merits And Observe Civility : EP_126 : sanjayneha1@yahoo.com : Recorded</v>
      </c>
      <c r="CF461" s="1" t="str">
        <f ca="1">IFERROR(__xludf.DUMMYFUNCTION("""COMPUTED_VALUE"""),"Audiobook : Increase Your Merits And Observe Civility : EP_126 : sanjayneha1@yahoo.com : Recorded")</f>
        <v>Audiobook : Increase Your Merits And Observe Civility : EP_126 : sanjayneha1@yahoo.com : Recorded</v>
      </c>
      <c r="CG461" s="1" t="str">
        <f ca="1">IFERROR(__xludf.DUMMYFUNCTION("""COMPUTED_VALUE"""),"Adarniya Neha Manocha ji Increase Your Merits And Observe Civility : EP_126 : Allocated on 15-Feb-24 Contact Number  16174130446")</f>
        <v>Adarniya Neha Manocha ji Increase Your Merits And Observe Civility : EP_126 : Allocated on 15-Feb-24 Contact Number  16174130446</v>
      </c>
      <c r="CH461" s="1" t="str">
        <f ca="1">IFERROR(__xludf.DUMMYFUNCTION("""COMPUTED_VALUE"""),"sanjayneha1@yahoo.com : Increase Your Merits And Observe Civility : EP_126")</f>
        <v>sanjayneha1@yahoo.com : Increase Your Merits And Observe Civility : EP_126</v>
      </c>
      <c r="CI461" s="5">
        <f ca="1">IFERROR(__xludf.DUMMYFUNCTION("""COMPUTED_VALUE"""),45337.1806292476)</f>
        <v>45337.180629247603</v>
      </c>
    </row>
    <row r="462" spans="1:87" x14ac:dyDescent="0.25">
      <c r="A462" s="5">
        <f ca="1">IFERROR(__xludf.DUMMYFUNCTION("""COMPUTED_VALUE"""),45335.5927161111)</f>
        <v>45335.592716111103</v>
      </c>
      <c r="B462" s="1" t="str">
        <f ca="1">IFERROR(__xludf.DUMMYFUNCTION("""COMPUTED_VALUE"""),"rekhabhagat2511@gmail.com")</f>
        <v>rekhabhagat2511@gmail.com</v>
      </c>
      <c r="C462" s="1" t="str">
        <f ca="1">IFERROR(__xludf.DUMMYFUNCTION("""COMPUTED_VALUE"""),"Rekha Bhagat")</f>
        <v>Rekha Bhagat</v>
      </c>
      <c r="D462" s="1">
        <f ca="1">IFERROR(__xludf.DUMMYFUNCTION("""COMPUTED_VALUE"""),9424811235)</f>
        <v>9424811235</v>
      </c>
      <c r="E462" s="1" t="str">
        <f ca="1">IFERROR(__xludf.DUMMYFUNCTION("""COMPUTED_VALUE"""),"Yes")</f>
        <v>Yes</v>
      </c>
      <c r="F462" s="1" t="str">
        <f ca="1">IFERROR(__xludf.DUMMYFUNCTION("""COMPUTED_VALUE"""),"हिन्दी")</f>
        <v>हिन्दी</v>
      </c>
      <c r="G462" s="1" t="str">
        <f ca="1">IFERROR(__xludf.DUMMYFUNCTION("""COMPUTED_VALUE"""),"समग्र स्वास्थ्य")</f>
        <v>समग्र स्वास्थ्य</v>
      </c>
      <c r="H462" s="1"/>
      <c r="I462" s="1"/>
      <c r="J462" s="1"/>
      <c r="K462" s="1"/>
      <c r="L462" s="1"/>
      <c r="M462" s="1"/>
      <c r="N462" s="1"/>
      <c r="O462" s="1"/>
      <c r="P462" s="1"/>
      <c r="Q462" s="1"/>
      <c r="R462" s="1"/>
      <c r="S462" s="1"/>
      <c r="T462" s="1"/>
      <c r="U462" s="1" t="str">
        <f ca="1">IFERROR(__xludf.DUMMYFUNCTION("""COMPUTED_VALUE"""),"आहार-विहार एवं उपवास")</f>
        <v>आहार-विहार एवं उपवास</v>
      </c>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f ca="1">IFERROR(__xludf.DUMMYFUNCTION("""COMPUTED_VALUE"""),19)</f>
        <v>19</v>
      </c>
      <c r="BX462" s="1">
        <f ca="1">IFERROR(__xludf.DUMMYFUNCTION("""COMPUTED_VALUE"""),11)</f>
        <v>11</v>
      </c>
      <c r="BY462" s="1">
        <f ca="1">IFERROR(__xludf.DUMMYFUNCTION("""COMPUTED_VALUE"""),8)</f>
        <v>8</v>
      </c>
      <c r="BZ462" s="1">
        <f ca="1">IFERROR(__xludf.DUMMYFUNCTION("""COMPUTED_VALUE"""),4)</f>
        <v>4</v>
      </c>
      <c r="CA462" s="1"/>
      <c r="CB462" s="1"/>
      <c r="CC462" s="1" t="str">
        <f ca="1">IFERROR(__xludf.DUMMYFUNCTION("""COMPUTED_VALUE"""),"मन की निर्मलता और शारीरिक स्वास्थ्य का अटूट सम्बन्ध : Rare Book")</f>
        <v>मन की निर्मलता और शारीरिक स्वास्थ्य का अटूट सम्बन्ध : Rare Book</v>
      </c>
      <c r="CD462" s="3" t="str">
        <f ca="1">IFERROR(__xludf.DUMMYFUNCTION("""COMPUTED_VALUE"""),"https://vicharkrantibooks.org/productdetail?book_name=HINP0486_MAN_KI_NIRMALATA_AUR_SHARIRIK_SWASTHY_KA_ATUT_SAMBANDH_xx1982&amp;product_id=1051")</f>
        <v>https://vicharkrantibooks.org/productdetail?book_name=HINP0486_MAN_KI_NIRMALATA_AUR_SHARIRIK_SWASTHY_KA_ATUT_SAMBANDH_xx1982&amp;product_id=1051</v>
      </c>
      <c r="CE462" s="1" t="str">
        <f ca="1">IFERROR(__xludf.DUMMYFUNCTION("""COMPUTED_VALUE"""),"Audiobook : मन की निर्मलता और शारीरिक स्वास्थ्य का अटूट सम्बन्ध : Rare Book : rekhabhagat2511@gmail.com : Recorded")</f>
        <v>Audiobook : मन की निर्मलता और शारीरिक स्वास्थ्य का अटूट सम्बन्ध : Rare Book : rekhabhagat2511@gmail.com : Recorded</v>
      </c>
      <c r="CF462" s="1" t="str">
        <f ca="1">IFERROR(__xludf.DUMMYFUNCTION("""COMPUTED_VALUE"""),"#N/A")</f>
        <v>#N/A</v>
      </c>
      <c r="CG462" s="1" t="str">
        <f ca="1">IFERROR(__xludf.DUMMYFUNCTION("""COMPUTED_VALUE"""),"Adarniya Rekha Bhagat ji मन की निर्मलता और शारीरिक स्वास्थ्य का अटूट सम्बन्ध : Rare Book : Allocated on 13-Feb-24 Contact Number  9424811235")</f>
        <v>Adarniya Rekha Bhagat ji मन की निर्मलता और शारीरिक स्वास्थ्य का अटूट सम्बन्ध : Rare Book : Allocated on 13-Feb-24 Contact Number  9424811235</v>
      </c>
      <c r="CH462" s="1" t="str">
        <f ca="1">IFERROR(__xludf.DUMMYFUNCTION("""COMPUTED_VALUE"""),"rekhabhagat2511@gmail.com : मन की निर्मलता और शारीरिक स्वास्थ्य का अटूट सम्बन्ध : Rare Book")</f>
        <v>rekhabhagat2511@gmail.com : मन की निर्मलता और शारीरिक स्वास्थ्य का अटूट सम्बन्ध : Rare Book</v>
      </c>
      <c r="CI462" s="5">
        <f ca="1">IFERROR(__xludf.DUMMYFUNCTION("""COMPUTED_VALUE"""),45335.5927161111)</f>
        <v>45335.592716111103</v>
      </c>
    </row>
    <row r="463" spans="1:87" x14ac:dyDescent="0.25">
      <c r="A463" s="5">
        <f ca="1">IFERROR(__xludf.DUMMYFUNCTION("""COMPUTED_VALUE"""),45334.8408177083)</f>
        <v>45334.840817708297</v>
      </c>
      <c r="B463" s="1" t="str">
        <f ca="1">IFERROR(__xludf.DUMMYFUNCTION("""COMPUTED_VALUE"""),"shweta.r.gupta79@gmail.com")</f>
        <v>shweta.r.gupta79@gmail.com</v>
      </c>
      <c r="C463" s="1" t="str">
        <f ca="1">IFERROR(__xludf.DUMMYFUNCTION("""COMPUTED_VALUE"""),"Shweta Gupta")</f>
        <v>Shweta Gupta</v>
      </c>
      <c r="D463" s="1">
        <f ca="1">IFERROR(__xludf.DUMMYFUNCTION("""COMPUTED_VALUE"""),8369516724)</f>
        <v>8369516724</v>
      </c>
      <c r="E463" s="1" t="str">
        <f ca="1">IFERROR(__xludf.DUMMYFUNCTION("""COMPUTED_VALUE"""),"Yes")</f>
        <v>Yes</v>
      </c>
      <c r="F463" s="1" t="str">
        <f ca="1">IFERROR(__xludf.DUMMYFUNCTION("""COMPUTED_VALUE"""),"हिन्दी")</f>
        <v>हिन्दी</v>
      </c>
      <c r="G463" s="1" t="str">
        <f ca="1">IFERROR(__xludf.DUMMYFUNCTION("""COMPUTED_VALUE"""),"परिवार निर्माण")</f>
        <v>परिवार निर्माण</v>
      </c>
      <c r="H463" s="1"/>
      <c r="I463" s="1"/>
      <c r="J463" s="1"/>
      <c r="K463" s="1"/>
      <c r="L463" s="1"/>
      <c r="M463" s="1" t="str">
        <f ca="1">IFERROR(__xludf.DUMMYFUNCTION("""COMPUTED_VALUE"""),"परिवार")</f>
        <v>परिवार</v>
      </c>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f ca="1">IFERROR(__xludf.DUMMYFUNCTION("""COMPUTED_VALUE"""),31)</f>
        <v>31</v>
      </c>
      <c r="BX463" s="1">
        <f ca="1">IFERROR(__xludf.DUMMYFUNCTION("""COMPUTED_VALUE"""),45)</f>
        <v>45</v>
      </c>
      <c r="BY463" s="1">
        <f ca="1">IFERROR(__xludf.DUMMYFUNCTION("""COMPUTED_VALUE"""),3)</f>
        <v>3</v>
      </c>
      <c r="BZ463" s="1">
        <f ca="1">IFERROR(__xludf.DUMMYFUNCTION("""COMPUTED_VALUE"""),40)</f>
        <v>40</v>
      </c>
      <c r="CA463" s="1"/>
      <c r="CB463" s="1"/>
      <c r="CC463" s="1" t="str">
        <f ca="1">IFERROR(__xludf.DUMMYFUNCTION("""COMPUTED_VALUE"""),"शिक्षक अपना दायित्व समझें : H_PP_08")</f>
        <v>शिक्षक अपना दायित्व समझें : H_PP_08</v>
      </c>
      <c r="CD463" s="3" t="str">
        <f ca="1">IFERROR(__xludf.DUMMYFUNCTION("""COMPUTED_VALUE"""),"https://vicharkrantibooks.org/productdetail?book_name=HINP0850_SHIKSHAK_APANA_DAYITV_SAMAJHEN_xxyyyy&amp;product_id=1415")</f>
        <v>https://vicharkrantibooks.org/productdetail?book_name=HINP0850_SHIKSHAK_APANA_DAYITV_SAMAJHEN_xxyyyy&amp;product_id=1415</v>
      </c>
      <c r="CE463" s="1" t="str">
        <f ca="1">IFERROR(__xludf.DUMMYFUNCTION("""COMPUTED_VALUE"""),"Audiobook : शिक्षक अपना दायित्व समझें : H_PP_08 : shweta.r.gupta79@gmail.com : Recorded")</f>
        <v>Audiobook : शिक्षक अपना दायित्व समझें : H_PP_08 : shweta.r.gupta79@gmail.com : Recorded</v>
      </c>
      <c r="CF463" s="1" t="str">
        <f ca="1">IFERROR(__xludf.DUMMYFUNCTION("""COMPUTED_VALUE"""),"#N/A")</f>
        <v>#N/A</v>
      </c>
      <c r="CG463" s="1" t="str">
        <f ca="1">IFERROR(__xludf.DUMMYFUNCTION("""COMPUTED_VALUE"""),"Adarniya Shweta Gupta ji शिक्षक अपना दायित्व समझें : H_PP_08 : Allocated on 12-Feb-24 Contact Number  8369516724")</f>
        <v>Adarniya Shweta Gupta ji शिक्षक अपना दायित्व समझें : H_PP_08 : Allocated on 12-Feb-24 Contact Number  8369516724</v>
      </c>
      <c r="CH463" s="1" t="str">
        <f ca="1">IFERROR(__xludf.DUMMYFUNCTION("""COMPUTED_VALUE"""),"shweta.r.gupta79@gmail.com : शिक्षक अपना दायित्व समझें : H_PP_08")</f>
        <v>shweta.r.gupta79@gmail.com : शिक्षक अपना दायित्व समझें : H_PP_08</v>
      </c>
      <c r="CI463" s="5">
        <f ca="1">IFERROR(__xludf.DUMMYFUNCTION("""COMPUTED_VALUE"""),45334.8408177083)</f>
        <v>45334.840817708297</v>
      </c>
    </row>
    <row r="464" spans="1:87" x14ac:dyDescent="0.25">
      <c r="A464" s="5">
        <f ca="1">IFERROR(__xludf.DUMMYFUNCTION("""COMPUTED_VALUE"""),45333.9526944791)</f>
        <v>45333.9526944791</v>
      </c>
      <c r="B464" s="1" t="str">
        <f ca="1">IFERROR(__xludf.DUMMYFUNCTION("""COMPUTED_VALUE"""),"purnima.bharadwaj.24@gmail.com")</f>
        <v>purnima.bharadwaj.24@gmail.com</v>
      </c>
      <c r="C464" s="1" t="str">
        <f ca="1">IFERROR(__xludf.DUMMYFUNCTION("""COMPUTED_VALUE"""),"पूर्णिमा भारद्वाज ")</f>
        <v xml:space="preserve">पूर्णिमा भारद्वाज </v>
      </c>
      <c r="D464" s="1">
        <f ca="1">IFERROR(__xludf.DUMMYFUNCTION("""COMPUTED_VALUE"""),9415389032)</f>
        <v>9415389032</v>
      </c>
      <c r="E464" s="1" t="str">
        <f ca="1">IFERROR(__xludf.DUMMYFUNCTION("""COMPUTED_VALUE"""),"Yes")</f>
        <v>Yes</v>
      </c>
      <c r="F464" s="1" t="str">
        <f ca="1">IFERROR(__xludf.DUMMYFUNCTION("""COMPUTED_VALUE"""),"हिन्दी")</f>
        <v>हिन्दी</v>
      </c>
      <c r="G464" s="1" t="str">
        <f ca="1">IFERROR(__xludf.DUMMYFUNCTION("""COMPUTED_VALUE"""),"युग द्रष्टा पं. श्रीराम शर्मा आचार्यजी")</f>
        <v>युग द्रष्टा पं. श्रीराम शर्मा आचार्यजी</v>
      </c>
      <c r="H464" s="1"/>
      <c r="I464" s="1"/>
      <c r="J464" s="1"/>
      <c r="K464" s="1"/>
      <c r="L464" s="1"/>
      <c r="M464" s="1"/>
      <c r="N464" s="1"/>
      <c r="O464" s="1"/>
      <c r="P464" s="1" t="str">
        <f ca="1">IFERROR(__xludf.DUMMYFUNCTION("""COMPUTED_VALUE"""),"युगॠषी की अमृतवाणी")</f>
        <v>युगॠषी की अमृतवाणी</v>
      </c>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f ca="1">IFERROR(__xludf.DUMMYFUNCTION("""COMPUTED_VALUE"""),43)</f>
        <v>43</v>
      </c>
      <c r="BX464" s="1">
        <f ca="1">IFERROR(__xludf.DUMMYFUNCTION("""COMPUTED_VALUE"""),36)</f>
        <v>36</v>
      </c>
      <c r="BY464" s="1">
        <f ca="1">IFERROR(__xludf.DUMMYFUNCTION("""COMPUTED_VALUE"""),9)</f>
        <v>9</v>
      </c>
      <c r="BZ464" s="1">
        <f ca="1">IFERROR(__xludf.DUMMYFUNCTION("""COMPUTED_VALUE"""),30)</f>
        <v>30</v>
      </c>
      <c r="CA464" s="1"/>
      <c r="CB464" s="1"/>
      <c r="CC464" s="1" t="str">
        <f ca="1">IFERROR(__xludf.DUMMYFUNCTION("""COMPUTED_VALUE"""),"राजनीति में हमारी भूमिका : H_VP_73")</f>
        <v>राजनीति में हमारी भूमिका : H_VP_73</v>
      </c>
      <c r="CD464" s="3" t="str">
        <f ca="1">IFERROR(__xludf.DUMMYFUNCTION("""COMPUTED_VALUE"""),"https://vicharkrantibooks.org/productdetail?book_name=HINP0696_RAJANITI_MEIN_HAMARI_BHUMIKA_xx2011&amp;product_id=1261")</f>
        <v>https://vicharkrantibooks.org/productdetail?book_name=HINP0696_RAJANITI_MEIN_HAMARI_BHUMIKA_xx2011&amp;product_id=1261</v>
      </c>
      <c r="CE464" s="1" t="str">
        <f ca="1">IFERROR(__xludf.DUMMYFUNCTION("""COMPUTED_VALUE"""),"Audiobook : राजनीति में हमारी भूमिका : H_VP_73 : purnima.bharadwaj.24@gmail.com : Recorded")</f>
        <v>Audiobook : राजनीति में हमारी भूमिका : H_VP_73 : purnima.bharadwaj.24@gmail.com : Recorded</v>
      </c>
      <c r="CF464" s="1" t="str">
        <f ca="1">IFERROR(__xludf.DUMMYFUNCTION("""COMPUTED_VALUE"""),"Audiobook : राजनीति में हमारी भूमिका : H_VP_73 : purnima.bharadwaj.24@gmail.com : Recorded")</f>
        <v>Audiobook : राजनीति में हमारी भूमिका : H_VP_73 : purnima.bharadwaj.24@gmail.com : Recorded</v>
      </c>
      <c r="CG464" s="1" t="str">
        <f ca="1">IFERROR(__xludf.DUMMYFUNCTION("""COMPUTED_VALUE"""),"Adarniya पूर्णिमा भारद्वाज  ji राजनीति में हमारी भूमिका : H_VP_73 : Allocated on 11-Feb-24 Contact Number  9415389032")</f>
        <v>Adarniya पूर्णिमा भारद्वाज  ji राजनीति में हमारी भूमिका : H_VP_73 : Allocated on 11-Feb-24 Contact Number  9415389032</v>
      </c>
      <c r="CH464" s="1" t="str">
        <f ca="1">IFERROR(__xludf.DUMMYFUNCTION("""COMPUTED_VALUE"""),"purnima.bharadwaj.24@gmail.com : राजनीति में हमारी भूमिका : H_VP_73")</f>
        <v>purnima.bharadwaj.24@gmail.com : राजनीति में हमारी भूमिका : H_VP_73</v>
      </c>
      <c r="CI464" s="5">
        <f ca="1">IFERROR(__xludf.DUMMYFUNCTION("""COMPUTED_VALUE"""),45333.9526944791)</f>
        <v>45333.9526944791</v>
      </c>
    </row>
    <row r="465" spans="1:87" x14ac:dyDescent="0.25">
      <c r="A465" s="5">
        <f ca="1">IFERROR(__xludf.DUMMYFUNCTION("""COMPUTED_VALUE"""),45333.7772631944)</f>
        <v>45333.777263194403</v>
      </c>
      <c r="B465" s="1" t="str">
        <f ca="1">IFERROR(__xludf.DUMMYFUNCTION("""COMPUTED_VALUE"""),"kajaliark@gmail.com")</f>
        <v>kajaliark@gmail.com</v>
      </c>
      <c r="C465" s="1" t="str">
        <f ca="1">IFERROR(__xludf.DUMMYFUNCTION("""COMPUTED_VALUE"""),"Mili ")</f>
        <v xml:space="preserve">Mili </v>
      </c>
      <c r="D465" s="1">
        <f ca="1">IFERROR(__xludf.DUMMYFUNCTION("""COMPUTED_VALUE"""),9423032456)</f>
        <v>9423032456</v>
      </c>
      <c r="E465" s="1" t="str">
        <f ca="1">IFERROR(__xludf.DUMMYFUNCTION("""COMPUTED_VALUE"""),"No")</f>
        <v>No</v>
      </c>
      <c r="F465" s="1" t="str">
        <f ca="1">IFERROR(__xludf.DUMMYFUNCTION("""COMPUTED_VALUE"""),"हिन्दी or English")</f>
        <v>हिन्दी or English</v>
      </c>
      <c r="G465" s="1" t="str">
        <f ca="1">IFERROR(__xludf.DUMMYFUNCTION("""COMPUTED_VALUE"""),"English")</f>
        <v>English</v>
      </c>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f ca="1">IFERROR(__xludf.DUMMYFUNCTION("""COMPUTED_VALUE"""),6)</f>
        <v>6</v>
      </c>
      <c r="BX465" s="1">
        <f ca="1">IFERROR(__xludf.DUMMYFUNCTION("""COMPUTED_VALUE"""),2)</f>
        <v>2</v>
      </c>
      <c r="BY465" s="1">
        <f ca="1">IFERROR(__xludf.DUMMYFUNCTION("""COMPUTED_VALUE"""),2)</f>
        <v>2</v>
      </c>
      <c r="BZ465" s="1">
        <f ca="1">IFERROR(__xludf.DUMMYFUNCTION("""COMPUTED_VALUE"""),1)</f>
        <v>1</v>
      </c>
      <c r="CA465" s="1"/>
      <c r="CB465" s="1"/>
      <c r="CC465" s="1" t="str">
        <f ca="1">IFERROR(__xludf.DUMMYFUNCTION("""COMPUTED_VALUE"""),"Steer The Life For Definite Rewards : EP_128")</f>
        <v>Steer The Life For Definite Rewards : EP_128</v>
      </c>
      <c r="CD465" s="3" t="str">
        <f ca="1">IFERROR(__xludf.DUMMYFUNCTION("""COMPUTED_VALUE"""),"https://vicharkrantibooks.org/productdetail?book_name=ENGP0605_STEER_THE_LIFE_FOR_DEFINITE_REWARDS_xxyyyy&amp;product_id=3513")</f>
        <v>https://vicharkrantibooks.org/productdetail?book_name=ENGP0605_STEER_THE_LIFE_FOR_DEFINITE_REWARDS_xxyyyy&amp;product_id=3513</v>
      </c>
      <c r="CE465" s="1" t="str">
        <f ca="1">IFERROR(__xludf.DUMMYFUNCTION("""COMPUTED_VALUE"""),"Audiobook : Steer The Life For Definite Rewards : EP_128 : kajaliark@gmail.com : Recorded")</f>
        <v>Audiobook : Steer The Life For Definite Rewards : EP_128 : kajaliark@gmail.com : Recorded</v>
      </c>
      <c r="CF465" s="1" t="str">
        <f ca="1">IFERROR(__xludf.DUMMYFUNCTION("""COMPUTED_VALUE"""),"#N/A")</f>
        <v>#N/A</v>
      </c>
      <c r="CG465" s="1" t="str">
        <f ca="1">IFERROR(__xludf.DUMMYFUNCTION("""COMPUTED_VALUE"""),"Adarniya Mili  ji Steer The Life For Definite Rewards : EP_128 : Allocated on 11-Feb-24 Contact Number  9423032456")</f>
        <v>Adarniya Mili  ji Steer The Life For Definite Rewards : EP_128 : Allocated on 11-Feb-24 Contact Number  9423032456</v>
      </c>
      <c r="CH465" s="1" t="str">
        <f ca="1">IFERROR(__xludf.DUMMYFUNCTION("""COMPUTED_VALUE"""),"kajaliark@gmail.com : Steer The Life For Definite Rewards : EP_128")</f>
        <v>kajaliark@gmail.com : Steer The Life For Definite Rewards : EP_128</v>
      </c>
      <c r="CI465" s="5">
        <f ca="1">IFERROR(__xludf.DUMMYFUNCTION("""COMPUTED_VALUE"""),45333.7772631944)</f>
        <v>45333.777263194403</v>
      </c>
    </row>
    <row r="466" spans="1:87" x14ac:dyDescent="0.25">
      <c r="A466" s="5">
        <f ca="1">IFERROR(__xludf.DUMMYFUNCTION("""COMPUTED_VALUE"""),45331.7155323148)</f>
        <v>45331.715532314804</v>
      </c>
      <c r="B466" s="1" t="str">
        <f ca="1">IFERROR(__xludf.DUMMYFUNCTION("""COMPUTED_VALUE"""),"jamunashukla17@gmail.com")</f>
        <v>jamunashukla17@gmail.com</v>
      </c>
      <c r="C466" s="1" t="str">
        <f ca="1">IFERROR(__xludf.DUMMYFUNCTION("""COMPUTED_VALUE"""),"Smt J S Shukla ")</f>
        <v xml:space="preserve">Smt J S Shukla </v>
      </c>
      <c r="D466" s="1">
        <f ca="1">IFERROR(__xludf.DUMMYFUNCTION("""COMPUTED_VALUE"""),8390353167)</f>
        <v>8390353167</v>
      </c>
      <c r="E466" s="1" t="str">
        <f ca="1">IFERROR(__xludf.DUMMYFUNCTION("""COMPUTED_VALUE"""),"Yes")</f>
        <v>Yes</v>
      </c>
      <c r="F466" s="1" t="str">
        <f ca="1">IFERROR(__xludf.DUMMYFUNCTION("""COMPUTED_VALUE"""),"हिन्दी")</f>
        <v>हिन्दी</v>
      </c>
      <c r="G466" s="1" t="str">
        <f ca="1">IFERROR(__xludf.DUMMYFUNCTION("""COMPUTED_VALUE"""),"अध्यात्म, धर्म एवं दर्शन")</f>
        <v>अध्यात्म, धर्म एवं दर्शन</v>
      </c>
      <c r="H466" s="1" t="str">
        <f ca="1">IFERROR(__xludf.DUMMYFUNCTION("""COMPUTED_VALUE"""),"अध्यात्म, धर्म एवं आस्तिकता")</f>
        <v>अध्यात्म, धर्म एवं आस्तिकता</v>
      </c>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f ca="1">IFERROR(__xludf.DUMMYFUNCTION("""COMPUTED_VALUE"""),53)</f>
        <v>53</v>
      </c>
      <c r="BX466" s="1">
        <f ca="1">IFERROR(__xludf.DUMMYFUNCTION("""COMPUTED_VALUE"""),53)</f>
        <v>53</v>
      </c>
      <c r="BY466" s="1">
        <f ca="1">IFERROR(__xludf.DUMMYFUNCTION("""COMPUTED_VALUE"""),9)</f>
        <v>9</v>
      </c>
      <c r="BZ466" s="1">
        <f ca="1">IFERROR(__xludf.DUMMYFUNCTION("""COMPUTED_VALUE"""),25)</f>
        <v>25</v>
      </c>
      <c r="CA466" s="1"/>
      <c r="CB466" s="1"/>
      <c r="CC466" s="1" t="str">
        <f ca="1">IFERROR(__xludf.DUMMYFUNCTION("""COMPUTED_VALUE"""),"इक्कीसवीं सदी की दैनिक साधना : Rare Book")</f>
        <v>इक्कीसवीं सदी की दैनिक साधना : Rare Book</v>
      </c>
      <c r="CD466" s="3" t="str">
        <f ca="1">IFERROR(__xludf.DUMMYFUNCTION("""COMPUTED_VALUE"""),"https://vicharkrantibooks.org/productdetail?book_name=HINP0354_IKKISAVI_SADI_KI_DAINIK_SADHANA_xxyyyy&amp;product_id=919")</f>
        <v>https://vicharkrantibooks.org/productdetail?book_name=HINP0354_IKKISAVI_SADI_KI_DAINIK_SADHANA_xxyyyy&amp;product_id=919</v>
      </c>
      <c r="CE466" s="1" t="str">
        <f ca="1">IFERROR(__xludf.DUMMYFUNCTION("""COMPUTED_VALUE"""),"Audiobook : इक्कीसवीं सदी की दैनिक साधना : Rare Book : jamunashukla17@gmail.com : Recorded")</f>
        <v>Audiobook : इक्कीसवीं सदी की दैनिक साधना : Rare Book : jamunashukla17@gmail.com : Recorded</v>
      </c>
      <c r="CF466" s="1" t="str">
        <f ca="1">IFERROR(__xludf.DUMMYFUNCTION("""COMPUTED_VALUE"""),"#N/A")</f>
        <v>#N/A</v>
      </c>
      <c r="CG466" s="1" t="str">
        <f ca="1">IFERROR(__xludf.DUMMYFUNCTION("""COMPUTED_VALUE"""),"Adarniya Smt J S Shukla  ji इक्कीसवीं सदी की दैनिक साधना : Rare Book : Allocated on 09-Feb-24 Contact Number  8390353167")</f>
        <v>Adarniya Smt J S Shukla  ji इक्कीसवीं सदी की दैनिक साधना : Rare Book : Allocated on 09-Feb-24 Contact Number  8390353167</v>
      </c>
      <c r="CH466" s="1" t="str">
        <f ca="1">IFERROR(__xludf.DUMMYFUNCTION("""COMPUTED_VALUE"""),"jamunashukla17@gmail.com : इक्कीसवीं सदी की दैनिक साधना : Rare Book")</f>
        <v>jamunashukla17@gmail.com : इक्कीसवीं सदी की दैनिक साधना : Rare Book</v>
      </c>
      <c r="CI466" s="5">
        <f ca="1">IFERROR(__xludf.DUMMYFUNCTION("""COMPUTED_VALUE"""),45331.7155323148)</f>
        <v>45331.715532314804</v>
      </c>
    </row>
    <row r="467" spans="1:87" x14ac:dyDescent="0.25">
      <c r="A467" s="5">
        <f ca="1">IFERROR(__xludf.DUMMYFUNCTION("""COMPUTED_VALUE"""),45331.5898676851)</f>
        <v>45331.589867685099</v>
      </c>
      <c r="B467" s="1" t="str">
        <f ca="1">IFERROR(__xludf.DUMMYFUNCTION("""COMPUTED_VALUE"""),"purnima.bharadwaj.24@gmail.com")</f>
        <v>purnima.bharadwaj.24@gmail.com</v>
      </c>
      <c r="C467" s="1" t="str">
        <f ca="1">IFERROR(__xludf.DUMMYFUNCTION("""COMPUTED_VALUE"""),"पूर्णिमा भारद्वाज ")</f>
        <v xml:space="preserve">पूर्णिमा भारद्वाज </v>
      </c>
      <c r="D467" s="1">
        <f ca="1">IFERROR(__xludf.DUMMYFUNCTION("""COMPUTED_VALUE"""),9415389032)</f>
        <v>9415389032</v>
      </c>
      <c r="E467" s="1" t="str">
        <f ca="1">IFERROR(__xludf.DUMMYFUNCTION("""COMPUTED_VALUE"""),"Yes")</f>
        <v>Yes</v>
      </c>
      <c r="F467" s="1" t="str">
        <f ca="1">IFERROR(__xludf.DUMMYFUNCTION("""COMPUTED_VALUE"""),"हिन्दी")</f>
        <v>हिन्दी</v>
      </c>
      <c r="G467" s="1" t="str">
        <f ca="1">IFERROR(__xludf.DUMMYFUNCTION("""COMPUTED_VALUE"""),"युग द्रष्टा पं. श्रीराम शर्मा आचार्यजी")</f>
        <v>युग द्रष्टा पं. श्रीराम शर्मा आचार्यजी</v>
      </c>
      <c r="H467" s="1"/>
      <c r="I467" s="1"/>
      <c r="J467" s="1"/>
      <c r="K467" s="1"/>
      <c r="L467" s="1"/>
      <c r="M467" s="1"/>
      <c r="N467" s="1"/>
      <c r="O467" s="1"/>
      <c r="P467" s="1" t="str">
        <f ca="1">IFERROR(__xludf.DUMMYFUNCTION("""COMPUTED_VALUE"""),"युगॠषी की अमृतवाणी")</f>
        <v>युगॠषी की अमृतवाणी</v>
      </c>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f ca="1">IFERROR(__xludf.DUMMYFUNCTION("""COMPUTED_VALUE"""),43)</f>
        <v>43</v>
      </c>
      <c r="BX467" s="1">
        <f ca="1">IFERROR(__xludf.DUMMYFUNCTION("""COMPUTED_VALUE"""),36)</f>
        <v>36</v>
      </c>
      <c r="BY467" s="1">
        <f ca="1">IFERROR(__xludf.DUMMYFUNCTION("""COMPUTED_VALUE"""),9)</f>
        <v>9</v>
      </c>
      <c r="BZ467" s="1">
        <f ca="1">IFERROR(__xludf.DUMMYFUNCTION("""COMPUTED_VALUE"""),30)</f>
        <v>30</v>
      </c>
      <c r="CA467" s="1"/>
      <c r="CB467" s="1"/>
      <c r="CC467" s="1" t="str">
        <f ca="1">IFERROR(__xludf.DUMMYFUNCTION("""COMPUTED_VALUE"""),"ऋषि चिंतन के सान्निध्य में ११ (पोकेट) : H_SJ_28_11")</f>
        <v>ऋषि चिंतन के सान्निध्य में ११ (पोकेट) : H_SJ_28_11</v>
      </c>
      <c r="CD467" s="3" t="str">
        <f ca="1">IFERROR(__xludf.DUMMYFUNCTION("""COMPUTED_VALUE"""),"https://vicharkrantibooks.org/productdetail?book_name=HINP0722_RUSHI_CHINTAN_KE_SANIDHYA_MEIN_11_(POCKET)_xxyyyy&amp;product_id=1287")</f>
        <v>https://vicharkrantibooks.org/productdetail?book_name=HINP0722_RUSHI_CHINTAN_KE_SANIDHYA_MEIN_11_(POCKET)_xxyyyy&amp;product_id=1287</v>
      </c>
      <c r="CE467" s="1" t="str">
        <f ca="1">IFERROR(__xludf.DUMMYFUNCTION("""COMPUTED_VALUE"""),"Audiobook : ऋषि चिंतन के सान्निध्य में ११ (पोकेट) : H_SJ_28_11 : purnima.bharadwaj.24@gmail.com : Recorded")</f>
        <v>Audiobook : ऋषि चिंतन के सान्निध्य में ११ (पोकेट) : H_SJ_28_11 : purnima.bharadwaj.24@gmail.com : Recorded</v>
      </c>
      <c r="CF467" s="1" t="str">
        <f ca="1">IFERROR(__xludf.DUMMYFUNCTION("""COMPUTED_VALUE"""),"Audiobook : ऋषि चिंतन के सान्निध्य में ११ (पोकेट) : H_SJ_28_11 : purnima.bharadwaj.24@gmail.com : Recorded")</f>
        <v>Audiobook : ऋषि चिंतन के सान्निध्य में ११ (पोकेट) : H_SJ_28_11 : purnima.bharadwaj.24@gmail.com : Recorded</v>
      </c>
      <c r="CG467" s="1" t="str">
        <f ca="1">IFERROR(__xludf.DUMMYFUNCTION("""COMPUTED_VALUE"""),"Adarniya पूर्णिमा भारद्वाज  ji ऋषि चिंतन के सान्निध्य में ११ (पोकेट) : H_SJ_28_11 : Allocated on 09-Feb-24 Contact Number  9415389032")</f>
        <v>Adarniya पूर्णिमा भारद्वाज  ji ऋषि चिंतन के सान्निध्य में ११ (पोकेट) : H_SJ_28_11 : Allocated on 09-Feb-24 Contact Number  9415389032</v>
      </c>
      <c r="CH467" s="1" t="str">
        <f ca="1">IFERROR(__xludf.DUMMYFUNCTION("""COMPUTED_VALUE"""),"purnima.bharadwaj.24@gmail.com : ऋषि चिंतन के सान्निध्य में ११ (पोकेट) : H_SJ_28_11")</f>
        <v>purnima.bharadwaj.24@gmail.com : ऋषि चिंतन के सान्निध्य में ११ (पोकेट) : H_SJ_28_11</v>
      </c>
      <c r="CI467" s="5">
        <f ca="1">IFERROR(__xludf.DUMMYFUNCTION("""COMPUTED_VALUE"""),45331.5898676851)</f>
        <v>45331.589867685099</v>
      </c>
    </row>
    <row r="468" spans="1:87" x14ac:dyDescent="0.25">
      <c r="A468" s="5">
        <f ca="1">IFERROR(__xludf.DUMMYFUNCTION("""COMPUTED_VALUE"""),45329.9135691088)</f>
        <v>45329.913569108801</v>
      </c>
      <c r="B468" s="1" t="str">
        <f ca="1">IFERROR(__xludf.DUMMYFUNCTION("""COMPUTED_VALUE"""),"vandana15rastogi@gmail.com")</f>
        <v>vandana15rastogi@gmail.com</v>
      </c>
      <c r="C468" s="1" t="str">
        <f ca="1">IFERROR(__xludf.DUMMYFUNCTION("""COMPUTED_VALUE"""),"Vandana Rastogi")</f>
        <v>Vandana Rastogi</v>
      </c>
      <c r="D468" s="1">
        <f ca="1">IFERROR(__xludf.DUMMYFUNCTION("""COMPUTED_VALUE"""),9359528684)</f>
        <v>9359528684</v>
      </c>
      <c r="E468" s="1" t="str">
        <f ca="1">IFERROR(__xludf.DUMMYFUNCTION("""COMPUTED_VALUE"""),"Yes")</f>
        <v>Yes</v>
      </c>
      <c r="F468" s="1" t="str">
        <f ca="1">IFERROR(__xludf.DUMMYFUNCTION("""COMPUTED_VALUE"""),"हिन्दी")</f>
        <v>हिन्दी</v>
      </c>
      <c r="G468" s="1" t="str">
        <f ca="1">IFERROR(__xludf.DUMMYFUNCTION("""COMPUTED_VALUE"""),"परिवार निर्माण")</f>
        <v>परिवार निर्माण</v>
      </c>
      <c r="H468" s="1"/>
      <c r="I468" s="1"/>
      <c r="J468" s="1"/>
      <c r="K468" s="1"/>
      <c r="L468" s="1"/>
      <c r="M468" s="1" t="str">
        <f ca="1">IFERROR(__xludf.DUMMYFUNCTION("""COMPUTED_VALUE"""),"बाल मनोविज्ञान")</f>
        <v>बाल मनोविज्ञान</v>
      </c>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f ca="1">IFERROR(__xludf.DUMMYFUNCTION("""COMPUTED_VALUE"""),33)</f>
        <v>33</v>
      </c>
      <c r="BX468" s="1">
        <f ca="1">IFERROR(__xludf.DUMMYFUNCTION("""COMPUTED_VALUE"""),19)</f>
        <v>19</v>
      </c>
      <c r="BY468" s="1">
        <f ca="1">IFERROR(__xludf.DUMMYFUNCTION("""COMPUTED_VALUE"""),17)</f>
        <v>17</v>
      </c>
      <c r="BZ468" s="1">
        <f ca="1">IFERROR(__xludf.DUMMYFUNCTION("""COMPUTED_VALUE"""),14)</f>
        <v>14</v>
      </c>
      <c r="CA468" s="1"/>
      <c r="CB468" s="1"/>
      <c r="CC468" s="1" t="str">
        <f ca="1">IFERROR(__xludf.DUMMYFUNCTION("""COMPUTED_VALUE"""),"परिवार में धार्मिक वातावरण बनाएँ : Rare Book")</f>
        <v>परिवार में धार्मिक वातावरण बनाएँ : Rare Book</v>
      </c>
      <c r="CD468" s="3" t="str">
        <f ca="1">IFERROR(__xludf.DUMMYFUNCTION("""COMPUTED_VALUE"""),"https://vicharkrantibooks.org/productdetail?book_name=HINP0632_PARIWAR_MEIN_DHARMIK_VATAVARAN_BANAEN_xx1982&amp;product_id=1197")</f>
        <v>https://vicharkrantibooks.org/productdetail?book_name=HINP0632_PARIWAR_MEIN_DHARMIK_VATAVARAN_BANAEN_xx1982&amp;product_id=1197</v>
      </c>
      <c r="CE468" s="1" t="str">
        <f ca="1">IFERROR(__xludf.DUMMYFUNCTION("""COMPUTED_VALUE"""),"Audiobook : परिवार में धार्मिक वातावरण बनाएँ : Rare Book : vandana15rastogi@gmail.com : Recorded")</f>
        <v>Audiobook : परिवार में धार्मिक वातावरण बनाएँ : Rare Book : vandana15rastogi@gmail.com : Recorded</v>
      </c>
      <c r="CF468" s="1" t="str">
        <f ca="1">IFERROR(__xludf.DUMMYFUNCTION("""COMPUTED_VALUE"""),"Audiobook : परिवार में धार्मिक वातावरण बनाएँ : Rare Book : vandana15rastogi@gmail.com : Recorded")</f>
        <v>Audiobook : परिवार में धार्मिक वातावरण बनाएँ : Rare Book : vandana15rastogi@gmail.com : Recorded</v>
      </c>
      <c r="CG468" s="1" t="str">
        <f ca="1">IFERROR(__xludf.DUMMYFUNCTION("""COMPUTED_VALUE"""),"Adarniya Vandana Rastogi ji परिवार में धार्मिक वातावरण बनाएँ : Rare Book : Allocated on 07-Feb-24 Contact Number  9359528684")</f>
        <v>Adarniya Vandana Rastogi ji परिवार में धार्मिक वातावरण बनाएँ : Rare Book : Allocated on 07-Feb-24 Contact Number  9359528684</v>
      </c>
      <c r="CH468" s="1" t="str">
        <f ca="1">IFERROR(__xludf.DUMMYFUNCTION("""COMPUTED_VALUE"""),"vandana15rastogi@gmail.com : परिवार में धार्मिक वातावरण बनाएँ : Rare Book")</f>
        <v>vandana15rastogi@gmail.com : परिवार में धार्मिक वातावरण बनाएँ : Rare Book</v>
      </c>
      <c r="CI468" s="5">
        <f ca="1">IFERROR(__xludf.DUMMYFUNCTION("""COMPUTED_VALUE"""),45329.9135691088)</f>
        <v>45329.913569108801</v>
      </c>
    </row>
    <row r="469" spans="1:87" x14ac:dyDescent="0.25">
      <c r="A469" s="5">
        <f ca="1">IFERROR(__xludf.DUMMYFUNCTION("""COMPUTED_VALUE"""),45328.7067082638)</f>
        <v>45328.706708263802</v>
      </c>
      <c r="B469" s="1" t="str">
        <f ca="1">IFERROR(__xludf.DUMMYFUNCTION("""COMPUTED_VALUE"""),"purnima.bharadwaj.24@gmail.com")</f>
        <v>purnima.bharadwaj.24@gmail.com</v>
      </c>
      <c r="C469" s="1" t="str">
        <f ca="1">IFERROR(__xludf.DUMMYFUNCTION("""COMPUTED_VALUE"""),"पूर्णिमा भारद्वाज ")</f>
        <v xml:space="preserve">पूर्णिमा भारद्वाज </v>
      </c>
      <c r="D469" s="1">
        <f ca="1">IFERROR(__xludf.DUMMYFUNCTION("""COMPUTED_VALUE"""),9415389032)</f>
        <v>9415389032</v>
      </c>
      <c r="E469" s="1" t="str">
        <f ca="1">IFERROR(__xludf.DUMMYFUNCTION("""COMPUTED_VALUE"""),"Yes")</f>
        <v>Yes</v>
      </c>
      <c r="F469" s="1" t="str">
        <f ca="1">IFERROR(__xludf.DUMMYFUNCTION("""COMPUTED_VALUE"""),"हिन्दी")</f>
        <v>हिन्दी</v>
      </c>
      <c r="G469" s="1" t="str">
        <f ca="1">IFERROR(__xludf.DUMMYFUNCTION("""COMPUTED_VALUE"""),"युग द्रष्टा पं. श्रीराम शर्मा आचार्यजी")</f>
        <v>युग द्रष्टा पं. श्रीराम शर्मा आचार्यजी</v>
      </c>
      <c r="H469" s="1"/>
      <c r="I469" s="1"/>
      <c r="J469" s="1"/>
      <c r="K469" s="1"/>
      <c r="L469" s="1"/>
      <c r="M469" s="1"/>
      <c r="N469" s="1"/>
      <c r="O469" s="1"/>
      <c r="P469" s="1" t="str">
        <f ca="1">IFERROR(__xludf.DUMMYFUNCTION("""COMPUTED_VALUE"""),"युगॠषी की अमृतवाणी")</f>
        <v>युगॠषी की अमृतवाणी</v>
      </c>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f ca="1">IFERROR(__xludf.DUMMYFUNCTION("""COMPUTED_VALUE"""),43)</f>
        <v>43</v>
      </c>
      <c r="BX469" s="1">
        <f ca="1">IFERROR(__xludf.DUMMYFUNCTION("""COMPUTED_VALUE"""),36)</f>
        <v>36</v>
      </c>
      <c r="BY469" s="1">
        <f ca="1">IFERROR(__xludf.DUMMYFUNCTION("""COMPUTED_VALUE"""),9)</f>
        <v>9</v>
      </c>
      <c r="BZ469" s="1">
        <f ca="1">IFERROR(__xludf.DUMMYFUNCTION("""COMPUTED_VALUE"""),30)</f>
        <v>30</v>
      </c>
      <c r="CA469" s="1"/>
      <c r="CB469" s="1"/>
      <c r="CC469" s="1" t="str">
        <f ca="1">IFERROR(__xludf.DUMMYFUNCTION("""COMPUTED_VALUE"""),"नारी हर क्षेत्र में आगे बढें : H_PP_45")</f>
        <v>नारी हर क्षेत्र में आगे बढें : H_PP_45</v>
      </c>
      <c r="CD469" s="3" t="str">
        <f ca="1">IFERROR(__xludf.DUMMYFUNCTION("""COMPUTED_VALUE"""),"https://vicharkrantibooks.org/productdetail?book_name=HINP0555_NARI_HAR_KSHETR_MEIN_AGE_BADHEN_xxyyyy&amp;product_id=1120")</f>
        <v>https://vicharkrantibooks.org/productdetail?book_name=HINP0555_NARI_HAR_KSHETR_MEIN_AGE_BADHEN_xxyyyy&amp;product_id=1120</v>
      </c>
      <c r="CE469" s="1" t="str">
        <f ca="1">IFERROR(__xludf.DUMMYFUNCTION("""COMPUTED_VALUE"""),"Audiobook : नारी हर क्षेत्र में आगे बढें : H_PP_45 : purnima.bharadwaj.24@gmail.com : Recorded")</f>
        <v>Audiobook : नारी हर क्षेत्र में आगे बढें : H_PP_45 : purnima.bharadwaj.24@gmail.com : Recorded</v>
      </c>
      <c r="CF469" s="1" t="str">
        <f ca="1">IFERROR(__xludf.DUMMYFUNCTION("""COMPUTED_VALUE"""),"Audiobook : नारी हर क्षेत्र में आगे बढें : H_PP_45 : purnima.bharadwaj.24@gmail.com : Recorded")</f>
        <v>Audiobook : नारी हर क्षेत्र में आगे बढें : H_PP_45 : purnima.bharadwaj.24@gmail.com : Recorded</v>
      </c>
      <c r="CG469" s="1" t="str">
        <f ca="1">IFERROR(__xludf.DUMMYFUNCTION("""COMPUTED_VALUE"""),"Adarniya पूर्णिमा भारद्वाज  ji नारी हर क्षेत्र में आगे बढें : H_PP_45 : Allocated on 06-Feb-24 Contact Number  9415389032")</f>
        <v>Adarniya पूर्णिमा भारद्वाज  ji नारी हर क्षेत्र में आगे बढें : H_PP_45 : Allocated on 06-Feb-24 Contact Number  9415389032</v>
      </c>
      <c r="CH469" s="1" t="str">
        <f ca="1">IFERROR(__xludf.DUMMYFUNCTION("""COMPUTED_VALUE"""),"purnima.bharadwaj.24@gmail.com : नारी हर क्षेत्र में आगे बढें : H_PP_45")</f>
        <v>purnima.bharadwaj.24@gmail.com : नारी हर क्षेत्र में आगे बढें : H_PP_45</v>
      </c>
      <c r="CI469" s="5">
        <f ca="1">IFERROR(__xludf.DUMMYFUNCTION("""COMPUTED_VALUE"""),45328.7067082638)</f>
        <v>45328.706708263802</v>
      </c>
    </row>
    <row r="470" spans="1:87" x14ac:dyDescent="0.25">
      <c r="A470" s="5">
        <f ca="1">IFERROR(__xludf.DUMMYFUNCTION("""COMPUTED_VALUE"""),45328.0123533101)</f>
        <v>45328.0123533101</v>
      </c>
      <c r="B470" s="1" t="str">
        <f ca="1">IFERROR(__xludf.DUMMYFUNCTION("""COMPUTED_VALUE"""),"rajnivarma24.vns@gmail.com")</f>
        <v>rajnivarma24.vns@gmail.com</v>
      </c>
      <c r="C470" s="1" t="str">
        <f ca="1">IFERROR(__xludf.DUMMYFUNCTION("""COMPUTED_VALUE"""),"Rajni varma")</f>
        <v>Rajni varma</v>
      </c>
      <c r="D470" s="1">
        <f ca="1">IFERROR(__xludf.DUMMYFUNCTION("""COMPUTED_VALUE"""),9335661433)</f>
        <v>9335661433</v>
      </c>
      <c r="E470" s="1" t="str">
        <f ca="1">IFERROR(__xludf.DUMMYFUNCTION("""COMPUTED_VALUE"""),"No")</f>
        <v>No</v>
      </c>
      <c r="F470" s="1" t="str">
        <f ca="1">IFERROR(__xludf.DUMMYFUNCTION("""COMPUTED_VALUE"""),"हिन्दी")</f>
        <v>हिन्दी</v>
      </c>
      <c r="G470" s="1" t="str">
        <f ca="1">IFERROR(__xludf.DUMMYFUNCTION("""COMPUTED_VALUE"""),"युग द्रष्टा पं. श्रीराम शर्मा आचार्यजी")</f>
        <v>युग द्रष्टा पं. श्रीराम शर्मा आचार्यजी</v>
      </c>
      <c r="H470" s="1"/>
      <c r="I470" s="1"/>
      <c r="J470" s="1"/>
      <c r="K470" s="1"/>
      <c r="L470" s="1"/>
      <c r="M470" s="1"/>
      <c r="N470" s="1"/>
      <c r="O470" s="1"/>
      <c r="P470" s="1" t="str">
        <f ca="1">IFERROR(__xludf.DUMMYFUNCTION("""COMPUTED_VALUE"""),"युगॠषी का जीवनदर्शन")</f>
        <v>युगॠषी का जीवनदर्शन</v>
      </c>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f ca="1">IFERROR(__xludf.DUMMYFUNCTION("""COMPUTED_VALUE"""),30)</f>
        <v>30</v>
      </c>
      <c r="BX470" s="1">
        <f ca="1">IFERROR(__xludf.DUMMYFUNCTION("""COMPUTED_VALUE"""),25)</f>
        <v>25</v>
      </c>
      <c r="BY470" s="1">
        <f ca="1">IFERROR(__xludf.DUMMYFUNCTION("""COMPUTED_VALUE"""),7)</f>
        <v>7</v>
      </c>
      <c r="BZ470" s="1">
        <f ca="1">IFERROR(__xludf.DUMMYFUNCTION("""COMPUTED_VALUE"""),7)</f>
        <v>7</v>
      </c>
      <c r="CA470" s="1"/>
      <c r="CB470" s="1"/>
      <c r="CC470" s="1" t="str">
        <f ca="1">IFERROR(__xludf.DUMMYFUNCTION("""COMPUTED_VALUE"""),"स्वयं को उँचा उथाएँ व्यक्तित्ववान बनें : H_JS_12")</f>
        <v>स्वयं को उँचा उथाएँ व्यक्तित्ववान बनें : H_JS_12</v>
      </c>
      <c r="CD470" s="3" t="str">
        <f ca="1">IFERROR(__xludf.DUMMYFUNCTION("""COMPUTED_VALUE"""),"https://vicharkrantibooks.org/productdetail?book_name=HINP0885_SVAYAM_KO_UNCHA_UTHAEN_VYAKTITVAVAN_BANEN_xx2011&amp;product_id=1450")</f>
        <v>https://vicharkrantibooks.org/productdetail?book_name=HINP0885_SVAYAM_KO_UNCHA_UTHAEN_VYAKTITVAVAN_BANEN_xx2011&amp;product_id=1450</v>
      </c>
      <c r="CE470" s="1" t="str">
        <f ca="1">IFERROR(__xludf.DUMMYFUNCTION("""COMPUTED_VALUE"""),"Audiobook : स्वयं को उँचा उथाएँ व्यक्तित्ववान बनें : H_JS_12 : rajnivarma24.vns@gmail.com : Recorded")</f>
        <v>Audiobook : स्वयं को उँचा उथाएँ व्यक्तित्ववान बनें : H_JS_12 : rajnivarma24.vns@gmail.com : Recorded</v>
      </c>
      <c r="CF470" s="1" t="str">
        <f ca="1">IFERROR(__xludf.DUMMYFUNCTION("""COMPUTED_VALUE"""),"Audiobook : स्वयं को उँचा उथाएँ व्यक्तित्ववान बनें : H_JS_12 : rajnivarma24.vns@gmail.com : Recorded")</f>
        <v>Audiobook : स्वयं को उँचा उथाएँ व्यक्तित्ववान बनें : H_JS_12 : rajnivarma24.vns@gmail.com : Recorded</v>
      </c>
      <c r="CG470" s="1" t="str">
        <f ca="1">IFERROR(__xludf.DUMMYFUNCTION("""COMPUTED_VALUE"""),"Adarniya Rajni varma ji स्वयं को उँचा उथाएँ व्यक्तित्ववान बनें : H_JS_12 : Allocated on 06-Feb-24 Contact Number  9335661433")</f>
        <v>Adarniya Rajni varma ji स्वयं को उँचा उथाएँ व्यक्तित्ववान बनें : H_JS_12 : Allocated on 06-Feb-24 Contact Number  9335661433</v>
      </c>
      <c r="CH470" s="1" t="str">
        <f ca="1">IFERROR(__xludf.DUMMYFUNCTION("""COMPUTED_VALUE"""),"rajnivarma24.vns@gmail.com : स्वयं को उँचा उथाएँ व्यक्तित्ववान बनें : H_JS_12")</f>
        <v>rajnivarma24.vns@gmail.com : स्वयं को उँचा उथाएँ व्यक्तित्ववान बनें : H_JS_12</v>
      </c>
      <c r="CI470" s="5">
        <f ca="1">IFERROR(__xludf.DUMMYFUNCTION("""COMPUTED_VALUE"""),45328.0123533101)</f>
        <v>45328.0123533101</v>
      </c>
    </row>
    <row r="471" spans="1:87" x14ac:dyDescent="0.25">
      <c r="A471" s="5">
        <f ca="1">IFERROR(__xludf.DUMMYFUNCTION("""COMPUTED_VALUE"""),45327.9704978125)</f>
        <v>45327.970497812501</v>
      </c>
      <c r="B471" s="1" t="str">
        <f ca="1">IFERROR(__xludf.DUMMYFUNCTION("""COMPUTED_VALUE"""),"druma4107@gmail.com")</f>
        <v>druma4107@gmail.com</v>
      </c>
      <c r="C471" s="1" t="str">
        <f ca="1">IFERROR(__xludf.DUMMYFUNCTION("""COMPUTED_VALUE"""),"Dr Uma Agrawal")</f>
        <v>Dr Uma Agrawal</v>
      </c>
      <c r="D471" s="1">
        <f ca="1">IFERROR(__xludf.DUMMYFUNCTION("""COMPUTED_VALUE"""),9410861182)</f>
        <v>9410861182</v>
      </c>
      <c r="E471" s="1" t="str">
        <f ca="1">IFERROR(__xludf.DUMMYFUNCTION("""COMPUTED_VALUE"""),"Yes")</f>
        <v>Yes</v>
      </c>
      <c r="F471" s="1" t="str">
        <f ca="1">IFERROR(__xludf.DUMMYFUNCTION("""COMPUTED_VALUE"""),"हिन्दी")</f>
        <v>हिन्दी</v>
      </c>
      <c r="G471" s="1" t="str">
        <f ca="1">IFERROR(__xludf.DUMMYFUNCTION("""COMPUTED_VALUE"""),"समाज निर्माण")</f>
        <v>समाज निर्माण</v>
      </c>
      <c r="H471" s="1"/>
      <c r="I471" s="1"/>
      <c r="J471" s="1"/>
      <c r="K471" s="1"/>
      <c r="L471" s="1"/>
      <c r="M471" s="1"/>
      <c r="N471" s="1"/>
      <c r="O471" s="1"/>
      <c r="P471" s="1"/>
      <c r="Q471" s="1"/>
      <c r="R471" s="1"/>
      <c r="S471" s="1"/>
      <c r="T471" s="1"/>
      <c r="U471" s="1"/>
      <c r="V471" s="1" t="str">
        <f ca="1">IFERROR(__xludf.DUMMYFUNCTION("""COMPUTED_VALUE"""),"समाज निर्माण")</f>
        <v>समाज निर्माण</v>
      </c>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f ca="1">IFERROR(__xludf.DUMMYFUNCTION("""COMPUTED_VALUE"""),104)</f>
        <v>104</v>
      </c>
      <c r="BX471" s="1">
        <f ca="1">IFERROR(__xludf.DUMMYFUNCTION("""COMPUTED_VALUE"""),106)</f>
        <v>106</v>
      </c>
      <c r="BY471" s="1">
        <f ca="1">IFERROR(__xludf.DUMMYFUNCTION("""COMPUTED_VALUE"""),9)</f>
        <v>9</v>
      </c>
      <c r="BZ471" s="1">
        <f ca="1">IFERROR(__xludf.DUMMYFUNCTION("""COMPUTED_VALUE"""),43)</f>
        <v>43</v>
      </c>
      <c r="CA471" s="1"/>
      <c r="CB471" s="1"/>
      <c r="CC471" s="1" t="str">
        <f ca="1">IFERROR(__xludf.DUMMYFUNCTION("""COMPUTED_VALUE"""),"यूँ होइये सफ़ल : H_VV_09")</f>
        <v>यूँ होइये सफ़ल : H_VV_09</v>
      </c>
      <c r="CD471" s="3" t="str">
        <f ca="1">IFERROR(__xludf.DUMMYFUNCTION("""COMPUTED_VALUE"""),"https://vicharkrantibooks.org/productdetail?book_name=HINP1070_YUN_HOIE_SAPHAL_xxyyyy&amp;product_id=1635")</f>
        <v>https://vicharkrantibooks.org/productdetail?book_name=HINP1070_YUN_HOIE_SAPHAL_xxyyyy&amp;product_id=1635</v>
      </c>
      <c r="CE471" s="1" t="str">
        <f ca="1">IFERROR(__xludf.DUMMYFUNCTION("""COMPUTED_VALUE"""),"Audiobook : यूँ होइये सफ़ल : H_VV_09 : druma4107@gmail.com : Recorded")</f>
        <v>Audiobook : यूँ होइये सफ़ल : H_VV_09 : druma4107@gmail.com : Recorded</v>
      </c>
      <c r="CF471" s="1" t="str">
        <f ca="1">IFERROR(__xludf.DUMMYFUNCTION("""COMPUTED_VALUE"""),"#N/A")</f>
        <v>#N/A</v>
      </c>
      <c r="CG471" s="1" t="str">
        <f ca="1">IFERROR(__xludf.DUMMYFUNCTION("""COMPUTED_VALUE"""),"Adarniya Dr Uma Agrawal ji यूँ होइये सफ़ल : H_VV_09 : Allocated on 05-Feb-24 Contact Number  9410861182")</f>
        <v>Adarniya Dr Uma Agrawal ji यूँ होइये सफ़ल : H_VV_09 : Allocated on 05-Feb-24 Contact Number  9410861182</v>
      </c>
      <c r="CH471" s="1" t="str">
        <f ca="1">IFERROR(__xludf.DUMMYFUNCTION("""COMPUTED_VALUE"""),"druma4107@gmail.com : यूँ होइये सफ़ल : H_VV_09")</f>
        <v>druma4107@gmail.com : यूँ होइये सफ़ल : H_VV_09</v>
      </c>
      <c r="CI471" s="5">
        <f ca="1">IFERROR(__xludf.DUMMYFUNCTION("""COMPUTED_VALUE"""),45327.9704978125)</f>
        <v>45327.970497812501</v>
      </c>
    </row>
    <row r="472" spans="1:87" x14ac:dyDescent="0.25">
      <c r="A472" s="5">
        <f ca="1">IFERROR(__xludf.DUMMYFUNCTION("""COMPUTED_VALUE"""),45327.925165706)</f>
        <v>45327.925165706001</v>
      </c>
      <c r="B472" s="1" t="str">
        <f ca="1">IFERROR(__xludf.DUMMYFUNCTION("""COMPUTED_VALUE"""),"purnima.bharadwaj.24@gmail.com")</f>
        <v>purnima.bharadwaj.24@gmail.com</v>
      </c>
      <c r="C472" s="1" t="str">
        <f ca="1">IFERROR(__xludf.DUMMYFUNCTION("""COMPUTED_VALUE"""),"पूर्णिमा भारद्वाज ")</f>
        <v xml:space="preserve">पूर्णिमा भारद्वाज </v>
      </c>
      <c r="D472" s="1">
        <f ca="1">IFERROR(__xludf.DUMMYFUNCTION("""COMPUTED_VALUE"""),9415389032)</f>
        <v>9415389032</v>
      </c>
      <c r="E472" s="1" t="str">
        <f ca="1">IFERROR(__xludf.DUMMYFUNCTION("""COMPUTED_VALUE"""),"Yes")</f>
        <v>Yes</v>
      </c>
      <c r="F472" s="1" t="str">
        <f ca="1">IFERROR(__xludf.DUMMYFUNCTION("""COMPUTED_VALUE"""),"हिन्दी")</f>
        <v>हिन्दी</v>
      </c>
      <c r="G472" s="1" t="str">
        <f ca="1">IFERROR(__xludf.DUMMYFUNCTION("""COMPUTED_VALUE"""),"युग द्रष्टा पं. श्रीराम शर्मा आचार्यजी")</f>
        <v>युग द्रष्टा पं. श्रीराम शर्मा आचार्यजी</v>
      </c>
      <c r="H472" s="1"/>
      <c r="I472" s="1"/>
      <c r="J472" s="1"/>
      <c r="K472" s="1"/>
      <c r="L472" s="1"/>
      <c r="M472" s="1"/>
      <c r="N472" s="1"/>
      <c r="O472" s="1"/>
      <c r="P472" s="1" t="str">
        <f ca="1">IFERROR(__xludf.DUMMYFUNCTION("""COMPUTED_VALUE"""),"युगॠषी की अमृतवाणी")</f>
        <v>युगॠषी की अमृतवाणी</v>
      </c>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f ca="1">IFERROR(__xludf.DUMMYFUNCTION("""COMPUTED_VALUE"""),43)</f>
        <v>43</v>
      </c>
      <c r="BX472" s="1">
        <f ca="1">IFERROR(__xludf.DUMMYFUNCTION("""COMPUTED_VALUE"""),36)</f>
        <v>36</v>
      </c>
      <c r="BY472" s="1">
        <f ca="1">IFERROR(__xludf.DUMMYFUNCTION("""COMPUTED_VALUE"""),9)</f>
        <v>9</v>
      </c>
      <c r="BZ472" s="1">
        <f ca="1">IFERROR(__xludf.DUMMYFUNCTION("""COMPUTED_VALUE"""),30)</f>
        <v>30</v>
      </c>
      <c r="CA472" s="1"/>
      <c r="CB472" s="1"/>
      <c r="CC472" s="1" t="str">
        <f ca="1">IFERROR(__xludf.DUMMYFUNCTION("""COMPUTED_VALUE"""),"युवा शक्ति नवसृजन में लगे : H_PP_17")</f>
        <v>युवा शक्ति नवसृजन में लगे : H_PP_17</v>
      </c>
      <c r="CD472" s="3" t="str">
        <f ca="1">IFERROR(__xludf.DUMMYFUNCTION("""COMPUTED_VALUE"""),"https://vicharkrantibooks.org/productdetail?book_name=HINP1072_YUVA_SHAKTI_NAVASRUJAN_MEIN_LAGE_xxyyyy&amp;product_id=1637")</f>
        <v>https://vicharkrantibooks.org/productdetail?book_name=HINP1072_YUVA_SHAKTI_NAVASRUJAN_MEIN_LAGE_xxyyyy&amp;product_id=1637</v>
      </c>
      <c r="CE472" s="1" t="str">
        <f ca="1">IFERROR(__xludf.DUMMYFUNCTION("""COMPUTED_VALUE"""),"Audiobook : युवा शक्ति नवसृजन में लगे : H_PP_17 : purnima.bharadwaj.24@gmail.com : Recorded")</f>
        <v>Audiobook : युवा शक्ति नवसृजन में लगे : H_PP_17 : purnima.bharadwaj.24@gmail.com : Recorded</v>
      </c>
      <c r="CF472" s="1" t="str">
        <f ca="1">IFERROR(__xludf.DUMMYFUNCTION("""COMPUTED_VALUE"""),"Audiobook : युवा शक्ति नवसृजन में लगे : H_PP_17 : purnima.bharadwaj.24@gmail.com : Recorded")</f>
        <v>Audiobook : युवा शक्ति नवसृजन में लगे : H_PP_17 : purnima.bharadwaj.24@gmail.com : Recorded</v>
      </c>
      <c r="CG472" s="1" t="str">
        <f ca="1">IFERROR(__xludf.DUMMYFUNCTION("""COMPUTED_VALUE"""),"Adarniya पूर्णिमा भारद्वाज  ji युवा शक्ति नवसृजन में लगे : H_PP_17 : Allocated on 05-Feb-24 Contact Number  9415389032")</f>
        <v>Adarniya पूर्णिमा भारद्वाज  ji युवा शक्ति नवसृजन में लगे : H_PP_17 : Allocated on 05-Feb-24 Contact Number  9415389032</v>
      </c>
      <c r="CH472" s="1" t="str">
        <f ca="1">IFERROR(__xludf.DUMMYFUNCTION("""COMPUTED_VALUE"""),"purnima.bharadwaj.24@gmail.com : युवा शक्ति नवसृजन में लगे : H_PP_17")</f>
        <v>purnima.bharadwaj.24@gmail.com : युवा शक्ति नवसृजन में लगे : H_PP_17</v>
      </c>
      <c r="CI472" s="5">
        <f ca="1">IFERROR(__xludf.DUMMYFUNCTION("""COMPUTED_VALUE"""),45327.925165706)</f>
        <v>45327.925165706001</v>
      </c>
    </row>
    <row r="473" spans="1:87" x14ac:dyDescent="0.25">
      <c r="A473" s="5">
        <f ca="1">IFERROR(__xludf.DUMMYFUNCTION("""COMPUTED_VALUE"""),45327.9030394675)</f>
        <v>45327.903039467499</v>
      </c>
      <c r="B473" s="1" t="str">
        <f ca="1">IFERROR(__xludf.DUMMYFUNCTION("""COMPUTED_VALUE"""),"vandana15rastogi@gmail.com")</f>
        <v>vandana15rastogi@gmail.com</v>
      </c>
      <c r="C473" s="1" t="str">
        <f ca="1">IFERROR(__xludf.DUMMYFUNCTION("""COMPUTED_VALUE"""),"Vandana Rastogi")</f>
        <v>Vandana Rastogi</v>
      </c>
      <c r="D473" s="1">
        <f ca="1">IFERROR(__xludf.DUMMYFUNCTION("""COMPUTED_VALUE"""),9359528684)</f>
        <v>9359528684</v>
      </c>
      <c r="E473" s="1" t="str">
        <f ca="1">IFERROR(__xludf.DUMMYFUNCTION("""COMPUTED_VALUE"""),"Yes")</f>
        <v>Yes</v>
      </c>
      <c r="F473" s="1" t="str">
        <f ca="1">IFERROR(__xludf.DUMMYFUNCTION("""COMPUTED_VALUE"""),"हिन्दी")</f>
        <v>हिन्दी</v>
      </c>
      <c r="G473" s="1" t="str">
        <f ca="1">IFERROR(__xludf.DUMMYFUNCTION("""COMPUTED_VALUE"""),"समाज निर्माण")</f>
        <v>समाज निर्माण</v>
      </c>
      <c r="H473" s="1"/>
      <c r="I473" s="1"/>
      <c r="J473" s="1"/>
      <c r="K473" s="1"/>
      <c r="L473" s="1"/>
      <c r="M473" s="1"/>
      <c r="N473" s="1"/>
      <c r="O473" s="1"/>
      <c r="P473" s="1"/>
      <c r="Q473" s="1"/>
      <c r="R473" s="1"/>
      <c r="S473" s="1"/>
      <c r="T473" s="1"/>
      <c r="U473" s="1"/>
      <c r="V473" s="1" t="str">
        <f ca="1">IFERROR(__xludf.DUMMYFUNCTION("""COMPUTED_VALUE"""),"आदर्श विवाहों का प्रचलन")</f>
        <v>आदर्श विवाहों का प्रचलन</v>
      </c>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f ca="1">IFERROR(__xludf.DUMMYFUNCTION("""COMPUTED_VALUE"""),33)</f>
        <v>33</v>
      </c>
      <c r="BX473" s="1">
        <f ca="1">IFERROR(__xludf.DUMMYFUNCTION("""COMPUTED_VALUE"""),19)</f>
        <v>19</v>
      </c>
      <c r="BY473" s="1">
        <f ca="1">IFERROR(__xludf.DUMMYFUNCTION("""COMPUTED_VALUE"""),17)</f>
        <v>17</v>
      </c>
      <c r="BZ473" s="1">
        <f ca="1">IFERROR(__xludf.DUMMYFUNCTION("""COMPUTED_VALUE"""),14)</f>
        <v>14</v>
      </c>
      <c r="CA473" s="1"/>
      <c r="CB473" s="1"/>
      <c r="CC473" s="1" t="str">
        <f ca="1">IFERROR(__xludf.DUMMYFUNCTION("""COMPUTED_VALUE"""),"आदर्श को व्यवहार में उतारें यही सच्ची लोक सेवा है : Rare Book")</f>
        <v>आदर्श को व्यवहार में उतारें यही सच्ची लोक सेवा है : Rare Book</v>
      </c>
      <c r="CD473" s="3" t="str">
        <f ca="1">IFERROR(__xludf.DUMMYFUNCTION("""COMPUTED_VALUE"""),"https://vicharkrantibooks.org/productdetail?book_name=HINP0004_ADARSH_KO_VYAVAHAR_MEIN_UTAREN_YAHI_SACHCHI_LOK_SEVA_HAI_xx1981&amp;product_id=569")</f>
        <v>https://vicharkrantibooks.org/productdetail?book_name=HINP0004_ADARSH_KO_VYAVAHAR_MEIN_UTAREN_YAHI_SACHCHI_LOK_SEVA_HAI_xx1981&amp;product_id=569</v>
      </c>
      <c r="CE473" s="1" t="str">
        <f ca="1">IFERROR(__xludf.DUMMYFUNCTION("""COMPUTED_VALUE"""),"Audiobook : आदर्श को व्यवहार में उतारें यही सच्ची लोक सेवा है : Rare Book : vandana15rastogi@gmail.com : Recorded")</f>
        <v>Audiobook : आदर्श को व्यवहार में उतारें यही सच्ची लोक सेवा है : Rare Book : vandana15rastogi@gmail.com : Recorded</v>
      </c>
      <c r="CF473" s="1" t="str">
        <f ca="1">IFERROR(__xludf.DUMMYFUNCTION("""COMPUTED_VALUE"""),"#N/A")</f>
        <v>#N/A</v>
      </c>
      <c r="CG473" s="1" t="str">
        <f ca="1">IFERROR(__xludf.DUMMYFUNCTION("""COMPUTED_VALUE"""),"Adarniya Vandana Rastogi ji आदर्श को व्यवहार में उतारें यही सच्ची लोक सेवा है : Rare Book : Allocated on 05-Feb-24 Contact Number  9359528684")</f>
        <v>Adarniya Vandana Rastogi ji आदर्श को व्यवहार में उतारें यही सच्ची लोक सेवा है : Rare Book : Allocated on 05-Feb-24 Contact Number  9359528684</v>
      </c>
      <c r="CH473" s="1" t="str">
        <f ca="1">IFERROR(__xludf.DUMMYFUNCTION("""COMPUTED_VALUE"""),"vandana15rastogi@gmail.com : आदर्श को व्यवहार में उतारें यही सच्ची लोक सेवा है : Rare Book")</f>
        <v>vandana15rastogi@gmail.com : आदर्श को व्यवहार में उतारें यही सच्ची लोक सेवा है : Rare Book</v>
      </c>
      <c r="CI473" s="5">
        <f ca="1">IFERROR(__xludf.DUMMYFUNCTION("""COMPUTED_VALUE"""),45327.9030394675)</f>
        <v>45327.903039467499</v>
      </c>
    </row>
    <row r="474" spans="1:87" x14ac:dyDescent="0.25">
      <c r="A474" s="5">
        <f ca="1">IFERROR(__xludf.DUMMYFUNCTION("""COMPUTED_VALUE"""),45324.8673587152)</f>
        <v>45324.867358715201</v>
      </c>
      <c r="B474" s="1" t="str">
        <f ca="1">IFERROR(__xludf.DUMMYFUNCTION("""COMPUTED_VALUE"""),"vandanarastogi@gmail.com")</f>
        <v>vandanarastogi@gmail.com</v>
      </c>
      <c r="C474" s="1" t="str">
        <f ca="1">IFERROR(__xludf.DUMMYFUNCTION("""COMPUTED_VALUE"""),"Vandana Rastogi")</f>
        <v>Vandana Rastogi</v>
      </c>
      <c r="D474" s="1">
        <f ca="1">IFERROR(__xludf.DUMMYFUNCTION("""COMPUTED_VALUE"""),9359528684)</f>
        <v>9359528684</v>
      </c>
      <c r="E474" s="1" t="str">
        <f ca="1">IFERROR(__xludf.DUMMYFUNCTION("""COMPUTED_VALUE"""),"Yes")</f>
        <v>Yes</v>
      </c>
      <c r="F474" s="1" t="str">
        <f ca="1">IFERROR(__xludf.DUMMYFUNCTION("""COMPUTED_VALUE"""),"हिन्दी")</f>
        <v>हिन्दी</v>
      </c>
      <c r="G474" s="1" t="str">
        <f ca="1">IFERROR(__xludf.DUMMYFUNCTION("""COMPUTED_VALUE"""),"अध्यात्म, धर्म एवं दर्शन")</f>
        <v>अध्यात्म, धर्म एवं दर्शन</v>
      </c>
      <c r="H474" s="1" t="str">
        <f ca="1">IFERROR(__xludf.DUMMYFUNCTION("""COMPUTED_VALUE"""),"आत्मज्ञान एवं आत्मनिर्माण")</f>
        <v>आत्मज्ञान एवं आत्मनिर्माण</v>
      </c>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f ca="1">IFERROR(__xludf.DUMMYFUNCTION("""COMPUTED_VALUE"""),3)</f>
        <v>3</v>
      </c>
      <c r="BX474" s="1">
        <f ca="1">IFERROR(__xludf.DUMMYFUNCTION("""COMPUTED_VALUE"""),0)</f>
        <v>0</v>
      </c>
      <c r="BY474" s="1">
        <f ca="1">IFERROR(__xludf.DUMMYFUNCTION("""COMPUTED_VALUE"""),3)</f>
        <v>3</v>
      </c>
      <c r="BZ474" s="1">
        <f ca="1">IFERROR(__xludf.DUMMYFUNCTION("""COMPUTED_VALUE"""),0)</f>
        <v>0</v>
      </c>
      <c r="CA474" s="1"/>
      <c r="CB474" s="1"/>
      <c r="CC474" s="1" t="str">
        <f ca="1">IFERROR(__xludf.DUMMYFUNCTION("""COMPUTED_VALUE"""),"हम ईमान सिखाते हैं : H_JS_46")</f>
        <v>हम ईमान सिखाते हैं : H_JS_46</v>
      </c>
      <c r="CD474" s="3" t="str">
        <f ca="1">IFERROR(__xludf.DUMMYFUNCTION("""COMPUTED_VALUE"""),"https://vicharkrantibooks.org/productdetail?book_name=HINP0352_HUM_IMAN_SIKHATE_HAIN_xx2011&amp;product_id=917")</f>
        <v>https://vicharkrantibooks.org/productdetail?book_name=HINP0352_HUM_IMAN_SIKHATE_HAIN_xx2011&amp;product_id=917</v>
      </c>
      <c r="CE474" s="1" t="str">
        <f ca="1">IFERROR(__xludf.DUMMYFUNCTION("""COMPUTED_VALUE"""),"Audiobook : हम ईमान सिखाते हैं : H_JS_46 : vandanarastogi@gmail.com : Recorded")</f>
        <v>Audiobook : हम ईमान सिखाते हैं : H_JS_46 : vandanarastogi@gmail.com : Recorded</v>
      </c>
      <c r="CF474" s="1" t="str">
        <f ca="1">IFERROR(__xludf.DUMMYFUNCTION("""COMPUTED_VALUE"""),"#N/A")</f>
        <v>#N/A</v>
      </c>
      <c r="CG474" s="1" t="str">
        <f ca="1">IFERROR(__xludf.DUMMYFUNCTION("""COMPUTED_VALUE"""),"Adarniya Vandana Rastogi ji हम ईमान सिखाते हैं : H_JS_46 : Allocated on 02-Feb-24 Contact Number  9359528684")</f>
        <v>Adarniya Vandana Rastogi ji हम ईमान सिखाते हैं : H_JS_46 : Allocated on 02-Feb-24 Contact Number  9359528684</v>
      </c>
      <c r="CH474" s="1" t="str">
        <f ca="1">IFERROR(__xludf.DUMMYFUNCTION("""COMPUTED_VALUE"""),"vandanarastogi@gmail.com : हम ईमान सिखाते हैं : H_JS_46")</f>
        <v>vandanarastogi@gmail.com : हम ईमान सिखाते हैं : H_JS_46</v>
      </c>
      <c r="CI474" s="5">
        <f ca="1">IFERROR(__xludf.DUMMYFUNCTION("""COMPUTED_VALUE"""),45324.8673587152)</f>
        <v>45324.867358715201</v>
      </c>
    </row>
    <row r="475" spans="1:87" x14ac:dyDescent="0.25">
      <c r="A475" s="5">
        <f ca="1">IFERROR(__xludf.DUMMYFUNCTION("""COMPUTED_VALUE"""),45324.5888854398)</f>
        <v>45324.5888854398</v>
      </c>
      <c r="B475" s="1" t="str">
        <f ca="1">IFERROR(__xludf.DUMMYFUNCTION("""COMPUTED_VALUE"""),"shweta.r.gupta79@gmail.com")</f>
        <v>shweta.r.gupta79@gmail.com</v>
      </c>
      <c r="C475" s="1" t="str">
        <f ca="1">IFERROR(__xludf.DUMMYFUNCTION("""COMPUTED_VALUE"""),"Shweta Gupta ")</f>
        <v xml:space="preserve">Shweta Gupta </v>
      </c>
      <c r="D475" s="1">
        <f ca="1">IFERROR(__xludf.DUMMYFUNCTION("""COMPUTED_VALUE"""),8369516724)</f>
        <v>8369516724</v>
      </c>
      <c r="E475" s="1" t="str">
        <f ca="1">IFERROR(__xludf.DUMMYFUNCTION("""COMPUTED_VALUE"""),"Yes")</f>
        <v>Yes</v>
      </c>
      <c r="F475" s="1" t="str">
        <f ca="1">IFERROR(__xludf.DUMMYFUNCTION("""COMPUTED_VALUE"""),"हिन्दी")</f>
        <v>हिन्दी</v>
      </c>
      <c r="G475" s="1" t="str">
        <f ca="1">IFERROR(__xludf.DUMMYFUNCTION("""COMPUTED_VALUE"""),"जीवन प्रबंध")</f>
        <v>जीवन प्रबंध</v>
      </c>
      <c r="H475" s="1"/>
      <c r="I475" s="1"/>
      <c r="J475" s="1"/>
      <c r="K475" s="1"/>
      <c r="L475" s="1" t="str">
        <f ca="1">IFERROR(__xludf.DUMMYFUNCTION("""COMPUTED_VALUE"""),"मन की शक्ति एवं मनोविज्ञान")</f>
        <v>मन की शक्ति एवं मनोविज्ञान</v>
      </c>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f ca="1">IFERROR(__xludf.DUMMYFUNCTION("""COMPUTED_VALUE"""),31)</f>
        <v>31</v>
      </c>
      <c r="BX475" s="1">
        <f ca="1">IFERROR(__xludf.DUMMYFUNCTION("""COMPUTED_VALUE"""),45)</f>
        <v>45</v>
      </c>
      <c r="BY475" s="1">
        <f ca="1">IFERROR(__xludf.DUMMYFUNCTION("""COMPUTED_VALUE"""),3)</f>
        <v>3</v>
      </c>
      <c r="BZ475" s="1">
        <f ca="1">IFERROR(__xludf.DUMMYFUNCTION("""COMPUTED_VALUE"""),40)</f>
        <v>40</v>
      </c>
      <c r="CA475" s="1"/>
      <c r="CB475" s="1"/>
      <c r="CC475" s="1" t="str">
        <f ca="1">IFERROR(__xludf.DUMMYFUNCTION("""COMPUTED_VALUE"""),"प्रसन्नता हर परिस्थिति में संभव : Rare Book")</f>
        <v>प्रसन्नता हर परिस्थिति में संभव : Rare Book</v>
      </c>
      <c r="CD475" s="3" t="str">
        <f ca="1">IFERROR(__xludf.DUMMYFUNCTION("""COMPUTED_VALUE"""),"https://vicharkrantibooks.org/productdetail?book_name=HINP0671_PRASANNATA_HAR_PARISTHITI_MEIN_SAMBHAV_xx1982&amp;product_id=1236")</f>
        <v>https://vicharkrantibooks.org/productdetail?book_name=HINP0671_PRASANNATA_HAR_PARISTHITI_MEIN_SAMBHAV_xx1982&amp;product_id=1236</v>
      </c>
      <c r="CE475" s="1" t="str">
        <f ca="1">IFERROR(__xludf.DUMMYFUNCTION("""COMPUTED_VALUE"""),"Audiobook : प्रसन्नता हर परिस्थिति में संभव : Rare Book : shweta.r.gupta79@gmail.com : Recorded")</f>
        <v>Audiobook : प्रसन्नता हर परिस्थिति में संभव : Rare Book : shweta.r.gupta79@gmail.com : Recorded</v>
      </c>
      <c r="CF475" s="1" t="str">
        <f ca="1">IFERROR(__xludf.DUMMYFUNCTION("""COMPUTED_VALUE"""),"Audiobook : प्रसन्नता हर परिस्थिति में संभव : Rare Book : shweta.r.gupta79@gmail.com : Recorded")</f>
        <v>Audiobook : प्रसन्नता हर परिस्थिति में संभव : Rare Book : shweta.r.gupta79@gmail.com : Recorded</v>
      </c>
      <c r="CG475" s="1" t="str">
        <f ca="1">IFERROR(__xludf.DUMMYFUNCTION("""COMPUTED_VALUE"""),"Adarniya Shweta Gupta  ji प्रसन्नता हर परिस्थिति में संभव : Rare Book : Allocated on 02-Feb-24 Contact Number  8369516724")</f>
        <v>Adarniya Shweta Gupta  ji प्रसन्नता हर परिस्थिति में संभव : Rare Book : Allocated on 02-Feb-24 Contact Number  8369516724</v>
      </c>
      <c r="CH475" s="1" t="str">
        <f ca="1">IFERROR(__xludf.DUMMYFUNCTION("""COMPUTED_VALUE"""),"shweta.r.gupta79@gmail.com : प्रसन्नता हर परिस्थिति में संभव : Rare Book")</f>
        <v>shweta.r.gupta79@gmail.com : प्रसन्नता हर परिस्थिति में संभव : Rare Book</v>
      </c>
      <c r="CI475" s="5">
        <f ca="1">IFERROR(__xludf.DUMMYFUNCTION("""COMPUTED_VALUE"""),45324.5888854398)</f>
        <v>45324.5888854398</v>
      </c>
    </row>
    <row r="476" spans="1:87" x14ac:dyDescent="0.25">
      <c r="A476" s="5">
        <f ca="1">IFERROR(__xludf.DUMMYFUNCTION("""COMPUTED_VALUE"""),45324.4659854745)</f>
        <v>45324.465985474497</v>
      </c>
      <c r="B476" s="1" t="str">
        <f ca="1">IFERROR(__xludf.DUMMYFUNCTION("""COMPUTED_VALUE"""),"shraddhasharma78@gmail.com")</f>
        <v>shraddhasharma78@gmail.com</v>
      </c>
      <c r="C476" s="1" t="str">
        <f ca="1">IFERROR(__xludf.DUMMYFUNCTION("""COMPUTED_VALUE"""),"Shraddha Sharma")</f>
        <v>Shraddha Sharma</v>
      </c>
      <c r="D476" s="1">
        <f ca="1">IFERROR(__xludf.DUMMYFUNCTION("""COMPUTED_VALUE"""),9827315141)</f>
        <v>9827315141</v>
      </c>
      <c r="E476" s="1" t="str">
        <f ca="1">IFERROR(__xludf.DUMMYFUNCTION("""COMPUTED_VALUE"""),"No")</f>
        <v>No</v>
      </c>
      <c r="F476" s="1" t="str">
        <f ca="1">IFERROR(__xludf.DUMMYFUNCTION("""COMPUTED_VALUE"""),"हिन्दी")</f>
        <v>हिन्दी</v>
      </c>
      <c r="G476" s="1" t="str">
        <f ca="1">IFERROR(__xludf.DUMMYFUNCTION("""COMPUTED_VALUE"""),"अध्यात्म, धर्म एवं दर्शन")</f>
        <v>अध्यात्म, धर्म एवं दर्शन</v>
      </c>
      <c r="H476" s="1" t="str">
        <f ca="1">IFERROR(__xludf.DUMMYFUNCTION("""COMPUTED_VALUE"""),"अध्यात्म, धर्म एवं आस्तिकता")</f>
        <v>अध्यात्म, धर्म एवं आस्तिकता</v>
      </c>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f ca="1">IFERROR(__xludf.DUMMYFUNCTION("""COMPUTED_VALUE"""),2)</f>
        <v>2</v>
      </c>
      <c r="BX476" s="1">
        <f ca="1">IFERROR(__xludf.DUMMYFUNCTION("""COMPUTED_VALUE"""),0)</f>
        <v>0</v>
      </c>
      <c r="BY476" s="1">
        <f ca="1">IFERROR(__xludf.DUMMYFUNCTION("""COMPUTED_VALUE"""),2)</f>
        <v>2</v>
      </c>
      <c r="BZ476" s="1">
        <f ca="1">IFERROR(__xludf.DUMMYFUNCTION("""COMPUTED_VALUE"""),0)</f>
        <v>0</v>
      </c>
      <c r="CA476" s="1"/>
      <c r="CB476" s="1"/>
      <c r="CC476" s="1" t="str">
        <f ca="1">IFERROR(__xludf.DUMMYFUNCTION("""COMPUTED_VALUE"""),"आत्म बोध से देवत्त्व की प्राप्ति : Rare Book")</f>
        <v>आत्म बोध से देवत्त्व की प्राप्ति : Rare Book</v>
      </c>
      <c r="CD476" s="3" t="str">
        <f ca="1">IFERROR(__xludf.DUMMYFUNCTION("""COMPUTED_VALUE"""),"https://vicharkrantibooks.org/productdetail?book_name=HINF0044_ATM_BODH_SE_DEVATTV_KI_PRAPTI_xxyyyy&amp;product_id=264")</f>
        <v>https://vicharkrantibooks.org/productdetail?book_name=HINF0044_ATM_BODH_SE_DEVATTV_KI_PRAPTI_xxyyyy&amp;product_id=264</v>
      </c>
      <c r="CE476" s="1" t="str">
        <f ca="1">IFERROR(__xludf.DUMMYFUNCTION("""COMPUTED_VALUE"""),"Audiobook : आत्म बोध से देवत्त्व की प्राप्ति : Rare Book : shraddhasharma78@gmail.com : Recorded")</f>
        <v>Audiobook : आत्म बोध से देवत्त्व की प्राप्ति : Rare Book : shraddhasharma78@gmail.com : Recorded</v>
      </c>
      <c r="CF476" s="1" t="str">
        <f ca="1">IFERROR(__xludf.DUMMYFUNCTION("""COMPUTED_VALUE"""),"#N/A")</f>
        <v>#N/A</v>
      </c>
      <c r="CG476" s="1" t="str">
        <f ca="1">IFERROR(__xludf.DUMMYFUNCTION("""COMPUTED_VALUE"""),"Adarniya Shraddha Sharma ji आत्म बोध से देवत्त्व की प्राप्ति : Rare Book : Allocated on 02-Feb-24 Contact Number  9827315141")</f>
        <v>Adarniya Shraddha Sharma ji आत्म बोध से देवत्त्व की प्राप्ति : Rare Book : Allocated on 02-Feb-24 Contact Number  9827315141</v>
      </c>
      <c r="CH476" s="1" t="str">
        <f ca="1">IFERROR(__xludf.DUMMYFUNCTION("""COMPUTED_VALUE"""),"shraddhasharma78@gmail.com : आत्म बोध से देवत्त्व की प्राप्ति : Rare Book")</f>
        <v>shraddhasharma78@gmail.com : आत्म बोध से देवत्त्व की प्राप्ति : Rare Book</v>
      </c>
      <c r="CI476" s="5">
        <f ca="1">IFERROR(__xludf.DUMMYFUNCTION("""COMPUTED_VALUE"""),45324.4659854745)</f>
        <v>45324.465985474497</v>
      </c>
    </row>
    <row r="477" spans="1:87" x14ac:dyDescent="0.25">
      <c r="A477" s="5">
        <f ca="1">IFERROR(__xludf.DUMMYFUNCTION("""COMPUTED_VALUE"""),45323.9540439583)</f>
        <v>45323.9540439583</v>
      </c>
      <c r="B477" s="1" t="str">
        <f ca="1">IFERROR(__xludf.DUMMYFUNCTION("""COMPUTED_VALUE"""),"guptarakhi072@gmail.com")</f>
        <v>guptarakhi072@gmail.com</v>
      </c>
      <c r="C477" s="1" t="str">
        <f ca="1">IFERROR(__xludf.DUMMYFUNCTION("""COMPUTED_VALUE"""),"Rakhi gupta ")</f>
        <v xml:space="preserve">Rakhi gupta </v>
      </c>
      <c r="D477" s="1">
        <f ca="1">IFERROR(__xludf.DUMMYFUNCTION("""COMPUTED_VALUE"""),8128540757)</f>
        <v>8128540757</v>
      </c>
      <c r="E477" s="1" t="str">
        <f ca="1">IFERROR(__xludf.DUMMYFUNCTION("""COMPUTED_VALUE"""),"Yes")</f>
        <v>Yes</v>
      </c>
      <c r="F477" s="1" t="str">
        <f ca="1">IFERROR(__xludf.DUMMYFUNCTION("""COMPUTED_VALUE"""),"हिन्दी")</f>
        <v>हिन्दी</v>
      </c>
      <c r="G477" s="1" t="str">
        <f ca="1">IFERROR(__xludf.DUMMYFUNCTION("""COMPUTED_VALUE"""),"समग्र स्वास्थ्य")</f>
        <v>समग्र स्वास्थ्य</v>
      </c>
      <c r="H477" s="1"/>
      <c r="I477" s="1"/>
      <c r="J477" s="1"/>
      <c r="K477" s="1"/>
      <c r="L477" s="1"/>
      <c r="M477" s="1"/>
      <c r="N477" s="1"/>
      <c r="O477" s="1"/>
      <c r="P477" s="1"/>
      <c r="Q477" s="1"/>
      <c r="R477" s="1"/>
      <c r="S477" s="1"/>
      <c r="T477" s="1"/>
      <c r="U477" s="1" t="str">
        <f ca="1">IFERROR(__xludf.DUMMYFUNCTION("""COMPUTED_VALUE"""),"मानसिक स्वास्थ्य")</f>
        <v>मानसिक स्वास्थ्य</v>
      </c>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f ca="1">IFERROR(__xludf.DUMMYFUNCTION("""COMPUTED_VALUE"""),21)</f>
        <v>21</v>
      </c>
      <c r="BX477" s="1">
        <f ca="1">IFERROR(__xludf.DUMMYFUNCTION("""COMPUTED_VALUE"""),20)</f>
        <v>20</v>
      </c>
      <c r="BY477" s="1">
        <f ca="1">IFERROR(__xludf.DUMMYFUNCTION("""COMPUTED_VALUE"""),2)</f>
        <v>2</v>
      </c>
      <c r="BZ477" s="1">
        <f ca="1">IFERROR(__xludf.DUMMYFUNCTION("""COMPUTED_VALUE"""),14)</f>
        <v>14</v>
      </c>
      <c r="CA477" s="1"/>
      <c r="CB477" s="1"/>
      <c r="CC477" s="1" t="str">
        <f ca="1">IFERROR(__xludf.DUMMYFUNCTION("""COMPUTED_VALUE"""),"साधना में वातावरण और श्रद्धा की महत्ता : H_JS_18")</f>
        <v>साधना में वातावरण और श्रद्धा की महत्ता : H_JS_18</v>
      </c>
      <c r="CD477" s="3" t="str">
        <f ca="1">IFERROR(__xludf.DUMMYFUNCTION("""COMPUTED_VALUE"""),"https://vicharkrantibooks.org/productdetail?book_name=HINP0740_SADHANA_MEIN_VATAVARAN_AUR_SHRADDHA_KI_MAHATTA_xx2011&amp;product_id=1305")</f>
        <v>https://vicharkrantibooks.org/productdetail?book_name=HINP0740_SADHANA_MEIN_VATAVARAN_AUR_SHRADDHA_KI_MAHATTA_xx2011&amp;product_id=1305</v>
      </c>
      <c r="CE477" s="1" t="str">
        <f ca="1">IFERROR(__xludf.DUMMYFUNCTION("""COMPUTED_VALUE"""),"Audiobook : साधना में वातावरण और श्रद्धा की महत्ता : H_JS_18 : guptarakhi072@gmail.com : Recorded")</f>
        <v>Audiobook : साधना में वातावरण और श्रद्धा की महत्ता : H_JS_18 : guptarakhi072@gmail.com : Recorded</v>
      </c>
      <c r="CF477" s="1" t="str">
        <f ca="1">IFERROR(__xludf.DUMMYFUNCTION("""COMPUTED_VALUE"""),"Audiobook : साधना में वातावरण और श्रद्धा की महत्ता : H_JS_18 : guptarakhi072@gmail.com : Recorded")</f>
        <v>Audiobook : साधना में वातावरण और श्रद्धा की महत्ता : H_JS_18 : guptarakhi072@gmail.com : Recorded</v>
      </c>
      <c r="CG477" s="1" t="str">
        <f ca="1">IFERROR(__xludf.DUMMYFUNCTION("""COMPUTED_VALUE"""),"Adarniya Rakhi gupta  ji साधना में वातावरण और श्रद्धा की महत्ता : H_JS_18 : Allocated on 01-Feb-24 Contact Number  8128540757")</f>
        <v>Adarniya Rakhi gupta  ji साधना में वातावरण और श्रद्धा की महत्ता : H_JS_18 : Allocated on 01-Feb-24 Contact Number  8128540757</v>
      </c>
      <c r="CH477" s="1" t="str">
        <f ca="1">IFERROR(__xludf.DUMMYFUNCTION("""COMPUTED_VALUE"""),"guptarakhi072@gmail.com : साधना में वातावरण और श्रद्धा की महत्ता : H_JS_18")</f>
        <v>guptarakhi072@gmail.com : साधना में वातावरण और श्रद्धा की महत्ता : H_JS_18</v>
      </c>
      <c r="CI477" s="5">
        <f ca="1">IFERROR(__xludf.DUMMYFUNCTION("""COMPUTED_VALUE"""),45323.9540439583)</f>
        <v>45323.9540439583</v>
      </c>
    </row>
    <row r="478" spans="1:87" x14ac:dyDescent="0.25">
      <c r="A478" s="5">
        <f ca="1">IFERROR(__xludf.DUMMYFUNCTION("""COMPUTED_VALUE"""),45323.6981655324)</f>
        <v>45323.698165532398</v>
      </c>
      <c r="B478" s="1" t="str">
        <f ca="1">IFERROR(__xludf.DUMMYFUNCTION("""COMPUTED_VALUE"""),"drbrpraj@gmail.com")</f>
        <v>drbrpraj@gmail.com</v>
      </c>
      <c r="C478" s="1" t="str">
        <f ca="1">IFERROR(__xludf.DUMMYFUNCTION("""COMPUTED_VALUE"""),"Dr. Baidyanath Ram Prajapati")</f>
        <v>Dr. Baidyanath Ram Prajapati</v>
      </c>
      <c r="D478" s="1" t="str">
        <f ca="1">IFERROR(__xludf.DUMMYFUNCTION("""COMPUTED_VALUE"""),"09811724821")</f>
        <v>09811724821</v>
      </c>
      <c r="E478" s="1" t="str">
        <f ca="1">IFERROR(__xludf.DUMMYFUNCTION("""COMPUTED_VALUE"""),"Yes")</f>
        <v>Yes</v>
      </c>
      <c r="F478" s="1" t="str">
        <f ca="1">IFERROR(__xludf.DUMMYFUNCTION("""COMPUTED_VALUE"""),"हिन्दी")</f>
        <v>हिन्दी</v>
      </c>
      <c r="G478" s="1" t="str">
        <f ca="1">IFERROR(__xludf.DUMMYFUNCTION("""COMPUTED_VALUE"""),"अध्यात्म, धर्म एवं दर्शन")</f>
        <v>अध्यात्म, धर्म एवं दर्शन</v>
      </c>
      <c r="H478" s="1" t="str">
        <f ca="1">IFERROR(__xludf.DUMMYFUNCTION("""COMPUTED_VALUE"""),"आत्मज्ञान एवं आत्मनिर्माण")</f>
        <v>आत्मज्ञान एवं आत्मनिर्माण</v>
      </c>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f ca="1">IFERROR(__xludf.DUMMYFUNCTION("""COMPUTED_VALUE"""),8)</f>
        <v>8</v>
      </c>
      <c r="BX478" s="1">
        <f ca="1">IFERROR(__xludf.DUMMYFUNCTION("""COMPUTED_VALUE"""),5)</f>
        <v>5</v>
      </c>
      <c r="BY478" s="1">
        <f ca="1">IFERROR(__xludf.DUMMYFUNCTION("""COMPUTED_VALUE"""),3)</f>
        <v>3</v>
      </c>
      <c r="BZ478" s="1">
        <f ca="1">IFERROR(__xludf.DUMMYFUNCTION("""COMPUTED_VALUE"""),1)</f>
        <v>1</v>
      </c>
      <c r="CA478" s="1"/>
      <c r="CB478" s="1"/>
      <c r="CC478" s="1" t="str">
        <f ca="1">IFERROR(__xludf.DUMMYFUNCTION("""COMPUTED_VALUE"""),"तपश्चर्या जीवन को खरा सोना बनाती है : Rare Book")</f>
        <v>तपश्चर्या जीवन को खरा सोना बनाती है : Rare Book</v>
      </c>
      <c r="CD478" s="3" t="str">
        <f ca="1">IFERROR(__xludf.DUMMYFUNCTION("""COMPUTED_VALUE"""),"https://vicharkrantibooks.org/productdetail?book_name=HINP1115_TAPASHCHARYA_JIVAN_KO_KHARA_SONA_BANATI_HAIN_xx1979&amp;product_id=1680")</f>
        <v>https://vicharkrantibooks.org/productdetail?book_name=HINP1115_TAPASHCHARYA_JIVAN_KO_KHARA_SONA_BANATI_HAIN_xx1979&amp;product_id=1680</v>
      </c>
      <c r="CE478" s="1" t="str">
        <f ca="1">IFERROR(__xludf.DUMMYFUNCTION("""COMPUTED_VALUE"""),"Audiobook : तपश्चर्या जीवन को खरा सोना बनाती है : Rare Book : drbrpraj@gmail.com : Recorded")</f>
        <v>Audiobook : तपश्चर्या जीवन को खरा सोना बनाती है : Rare Book : drbrpraj@gmail.com : Recorded</v>
      </c>
      <c r="CF478" s="1" t="str">
        <f ca="1">IFERROR(__xludf.DUMMYFUNCTION("""COMPUTED_VALUE"""),"Audiobook : तपश्चर्या जीवन को खरा सोना बनाती है : Rare Book : drbrpraj@gmail.com : Recorded")</f>
        <v>Audiobook : तपश्चर्या जीवन को खरा सोना बनाती है : Rare Book : drbrpraj@gmail.com : Recorded</v>
      </c>
      <c r="CG478" s="1" t="str">
        <f ca="1">IFERROR(__xludf.DUMMYFUNCTION("""COMPUTED_VALUE"""),"Adarniya Dr. Baidyanath Ram Prajapati ji तपश्चर्या जीवन को खरा सोना बनाती है : Rare Book : Allocated on 01-Feb-24 Contact Number  09811724821")</f>
        <v>Adarniya Dr. Baidyanath Ram Prajapati ji तपश्चर्या जीवन को खरा सोना बनाती है : Rare Book : Allocated on 01-Feb-24 Contact Number  09811724821</v>
      </c>
      <c r="CH478" s="1" t="str">
        <f ca="1">IFERROR(__xludf.DUMMYFUNCTION("""COMPUTED_VALUE"""),"drbrpraj@gmail.com : तपश्चर्या जीवन को खरा सोना बनाती है : Rare Book")</f>
        <v>drbrpraj@gmail.com : तपश्चर्या जीवन को खरा सोना बनाती है : Rare Book</v>
      </c>
      <c r="CI478" s="5">
        <f ca="1">IFERROR(__xludf.DUMMYFUNCTION("""COMPUTED_VALUE"""),45323.6981655324)</f>
        <v>45323.698165532398</v>
      </c>
    </row>
    <row r="479" spans="1:87" x14ac:dyDescent="0.25">
      <c r="A479" s="5">
        <f ca="1">IFERROR(__xludf.DUMMYFUNCTION("""COMPUTED_VALUE"""),45323.3944432175)</f>
        <v>45323.394443217498</v>
      </c>
      <c r="B479" s="1" t="str">
        <f ca="1">IFERROR(__xludf.DUMMYFUNCTION("""COMPUTED_VALUE"""),"druma4107@gmail.com")</f>
        <v>druma4107@gmail.com</v>
      </c>
      <c r="C479" s="1" t="str">
        <f ca="1">IFERROR(__xludf.DUMMYFUNCTION("""COMPUTED_VALUE"""),"Dr Uma Agrawal ")</f>
        <v xml:space="preserve">Dr Uma Agrawal </v>
      </c>
      <c r="D479" s="1">
        <f ca="1">IFERROR(__xludf.DUMMYFUNCTION("""COMPUTED_VALUE"""),9410861182)</f>
        <v>9410861182</v>
      </c>
      <c r="E479" s="1" t="str">
        <f ca="1">IFERROR(__xludf.DUMMYFUNCTION("""COMPUTED_VALUE"""),"Yes")</f>
        <v>Yes</v>
      </c>
      <c r="F479" s="1" t="str">
        <f ca="1">IFERROR(__xludf.DUMMYFUNCTION("""COMPUTED_VALUE"""),"हिन्दी")</f>
        <v>हिन्दी</v>
      </c>
      <c r="G479" s="1" t="str">
        <f ca="1">IFERROR(__xludf.DUMMYFUNCTION("""COMPUTED_VALUE"""),"समाज निर्माण")</f>
        <v>समाज निर्माण</v>
      </c>
      <c r="H479" s="1"/>
      <c r="I479" s="1"/>
      <c r="J479" s="1"/>
      <c r="K479" s="1"/>
      <c r="L479" s="1"/>
      <c r="M479" s="1"/>
      <c r="N479" s="1"/>
      <c r="O479" s="1"/>
      <c r="P479" s="1"/>
      <c r="Q479" s="1"/>
      <c r="R479" s="1"/>
      <c r="S479" s="1"/>
      <c r="T479" s="1"/>
      <c r="U479" s="1"/>
      <c r="V479" s="1" t="str">
        <f ca="1">IFERROR(__xludf.DUMMYFUNCTION("""COMPUTED_VALUE"""),"समाज निर्माण")</f>
        <v>समाज निर्माण</v>
      </c>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f ca="1">IFERROR(__xludf.DUMMYFUNCTION("""COMPUTED_VALUE"""),104)</f>
        <v>104</v>
      </c>
      <c r="BX479" s="1">
        <f ca="1">IFERROR(__xludf.DUMMYFUNCTION("""COMPUTED_VALUE"""),106)</f>
        <v>106</v>
      </c>
      <c r="BY479" s="1">
        <f ca="1">IFERROR(__xludf.DUMMYFUNCTION("""COMPUTED_VALUE"""),9)</f>
        <v>9</v>
      </c>
      <c r="BZ479" s="1">
        <f ca="1">IFERROR(__xludf.DUMMYFUNCTION("""COMPUTED_VALUE"""),43)</f>
        <v>43</v>
      </c>
      <c r="CA479" s="1"/>
      <c r="CB479" s="1"/>
      <c r="CC479" s="1" t="str">
        <f ca="1">IFERROR(__xludf.DUMMYFUNCTION("""COMPUTED_VALUE"""),"अनीति एवं अनाचार मानवी पौरुष को एक चुनौती  : Rare Book")</f>
        <v>अनीति एवं अनाचार मानवी पौरुष को एक चुनौती  : Rare Book</v>
      </c>
      <c r="CD479" s="3" t="str">
        <f ca="1">IFERROR(__xludf.DUMMYFUNCTION("""COMPUTED_VALUE"""),"https://vicharkrantibooks.org/productdetail?book_name=HINP0043_ANITI_EVAM_ANACHAR_MANAVI_PAURUS_KO_EK_CHUNAUTI_xx1981&amp;product_id=608")</f>
        <v>https://vicharkrantibooks.org/productdetail?book_name=HINP0043_ANITI_EVAM_ANACHAR_MANAVI_PAURUS_KO_EK_CHUNAUTI_xx1981&amp;product_id=608</v>
      </c>
      <c r="CE479" s="1" t="str">
        <f ca="1">IFERROR(__xludf.DUMMYFUNCTION("""COMPUTED_VALUE"""),"Audiobook : अनीति एवं अनाचार मानवी पौरुष को एक चुनौती  : Rare Book : druma4107@gmail.com : Recorded")</f>
        <v>Audiobook : अनीति एवं अनाचार मानवी पौरुष को एक चुनौती  : Rare Book : druma4107@gmail.com : Recorded</v>
      </c>
      <c r="CF479" s="1" t="str">
        <f ca="1">IFERROR(__xludf.DUMMYFUNCTION("""COMPUTED_VALUE"""),"#N/A")</f>
        <v>#N/A</v>
      </c>
      <c r="CG479" s="1" t="str">
        <f ca="1">IFERROR(__xludf.DUMMYFUNCTION("""COMPUTED_VALUE"""),"Adarniya Dr Uma Agrawal  ji अनीति एवं अनाचार मानवी पौरुष को एक चुनौती  : Rare Book : Allocated on 01-Feb-24 Contact Number  9410861182")</f>
        <v>Adarniya Dr Uma Agrawal  ji अनीति एवं अनाचार मानवी पौरुष को एक चुनौती  : Rare Book : Allocated on 01-Feb-24 Contact Number  9410861182</v>
      </c>
      <c r="CH479" s="1" t="str">
        <f ca="1">IFERROR(__xludf.DUMMYFUNCTION("""COMPUTED_VALUE"""),"druma4107@gmail.com : अनीति एवं अनाचार मानवी पौरुष को एक चुनौती  : Rare Book")</f>
        <v>druma4107@gmail.com : अनीति एवं अनाचार मानवी पौरुष को एक चुनौती  : Rare Book</v>
      </c>
      <c r="CI479" s="5">
        <f ca="1">IFERROR(__xludf.DUMMYFUNCTION("""COMPUTED_VALUE"""),45323.3944432175)</f>
        <v>45323.394443217498</v>
      </c>
    </row>
    <row r="480" spans="1:87" x14ac:dyDescent="0.25">
      <c r="A480" s="5">
        <f ca="1">IFERROR(__xludf.DUMMYFUNCTION("""COMPUTED_VALUE"""),45322.9045117939)</f>
        <v>45322.904511793902</v>
      </c>
      <c r="B480" s="1" t="str">
        <f ca="1">IFERROR(__xludf.DUMMYFUNCTION("""COMPUTED_VALUE"""),"purnima.bharadwaj.24@gmail.com")</f>
        <v>purnima.bharadwaj.24@gmail.com</v>
      </c>
      <c r="C480" s="1" t="str">
        <f ca="1">IFERROR(__xludf.DUMMYFUNCTION("""COMPUTED_VALUE"""),"पूर्णिमा भारद्वाज ")</f>
        <v xml:space="preserve">पूर्णिमा भारद्वाज </v>
      </c>
      <c r="D480" s="1">
        <f ca="1">IFERROR(__xludf.DUMMYFUNCTION("""COMPUTED_VALUE"""),9415389032)</f>
        <v>9415389032</v>
      </c>
      <c r="E480" s="1" t="str">
        <f ca="1">IFERROR(__xludf.DUMMYFUNCTION("""COMPUTED_VALUE"""),"Yes")</f>
        <v>Yes</v>
      </c>
      <c r="F480" s="1" t="str">
        <f ca="1">IFERROR(__xludf.DUMMYFUNCTION("""COMPUTED_VALUE"""),"हिन्दी")</f>
        <v>हिन्दी</v>
      </c>
      <c r="G480" s="1" t="str">
        <f ca="1">IFERROR(__xludf.DUMMYFUNCTION("""COMPUTED_VALUE"""),"युग द्रष्टा पं. श्रीराम शर्मा आचार्यजी")</f>
        <v>युग द्रष्टा पं. श्रीराम शर्मा आचार्यजी</v>
      </c>
      <c r="H480" s="1"/>
      <c r="I480" s="1"/>
      <c r="J480" s="1"/>
      <c r="K480" s="1"/>
      <c r="L480" s="1"/>
      <c r="M480" s="1"/>
      <c r="N480" s="1"/>
      <c r="O480" s="1"/>
      <c r="P480" s="1" t="str">
        <f ca="1">IFERROR(__xludf.DUMMYFUNCTION("""COMPUTED_VALUE"""),"युगॠषी की अमृतवाणी")</f>
        <v>युगॠषी की अमृतवाणी</v>
      </c>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f ca="1">IFERROR(__xludf.DUMMYFUNCTION("""COMPUTED_VALUE"""),43)</f>
        <v>43</v>
      </c>
      <c r="BX480" s="1">
        <f ca="1">IFERROR(__xludf.DUMMYFUNCTION("""COMPUTED_VALUE"""),36)</f>
        <v>36</v>
      </c>
      <c r="BY480" s="1">
        <f ca="1">IFERROR(__xludf.DUMMYFUNCTION("""COMPUTED_VALUE"""),9)</f>
        <v>9</v>
      </c>
      <c r="BZ480" s="1">
        <f ca="1">IFERROR(__xludf.DUMMYFUNCTION("""COMPUTED_VALUE"""),30)</f>
        <v>30</v>
      </c>
      <c r="CA480" s="1"/>
      <c r="CB480" s="1"/>
      <c r="CC480" s="1" t="str">
        <f ca="1">IFERROR(__xludf.DUMMYFUNCTION("""COMPUTED_VALUE"""),"ऋषि चिंतन के सान्निध्य में १० (पोकेट) : H_SJ_28_10")</f>
        <v>ऋषि चिंतन के सान्निध्य में १० (पोकेट) : H_SJ_28_10</v>
      </c>
      <c r="CD480" s="3" t="str">
        <f ca="1">IFERROR(__xludf.DUMMYFUNCTION("""COMPUTED_VALUE"""),"https://vicharkrantibooks.org/productdetail?book_name=HINP0721_RUSHI_CHINTAN_KE_SANIDHYA_MEIN_10_(POCKET)_xxyyyy&amp;product_id=1286")</f>
        <v>https://vicharkrantibooks.org/productdetail?book_name=HINP0721_RUSHI_CHINTAN_KE_SANIDHYA_MEIN_10_(POCKET)_xxyyyy&amp;product_id=1286</v>
      </c>
      <c r="CE480" s="1" t="str">
        <f ca="1">IFERROR(__xludf.DUMMYFUNCTION("""COMPUTED_VALUE"""),"Audiobook : ऋषि चिंतन के सान्निध्य में १० (पोकेट) : H_SJ_28_10 : purnima.bharadwaj.24@gmail.com : Recorded")</f>
        <v>Audiobook : ऋषि चिंतन के सान्निध्य में १० (पोकेट) : H_SJ_28_10 : purnima.bharadwaj.24@gmail.com : Recorded</v>
      </c>
      <c r="CF480" s="1" t="str">
        <f ca="1">IFERROR(__xludf.DUMMYFUNCTION("""COMPUTED_VALUE"""),"Audiobook : ऋषि चिंतन के सान्निध्य में १० (पोकेट) : H_SJ_28_10 : purnima.bharadwaj.24@gmail.com : Recorded")</f>
        <v>Audiobook : ऋषि चिंतन के सान्निध्य में १० (पोकेट) : H_SJ_28_10 : purnima.bharadwaj.24@gmail.com : Recorded</v>
      </c>
      <c r="CG480" s="1" t="str">
        <f ca="1">IFERROR(__xludf.DUMMYFUNCTION("""COMPUTED_VALUE"""),"Adarniya पूर्णिमा भारद्वाज  ji ऋषि चिंतन के सान्निध्य में १० (पोकेट) : H_SJ_28_10 : Allocated on 31-Jan-24 Contact Number  9415389032")</f>
        <v>Adarniya पूर्णिमा भारद्वाज  ji ऋषि चिंतन के सान्निध्य में १० (पोकेट) : H_SJ_28_10 : Allocated on 31-Jan-24 Contact Number  9415389032</v>
      </c>
      <c r="CH480" s="1" t="str">
        <f ca="1">IFERROR(__xludf.DUMMYFUNCTION("""COMPUTED_VALUE"""),"purnima.bharadwaj.24@gmail.com : ऋषि चिंतन के सान्निध्य में १० (पोकेट) : H_SJ_28_10")</f>
        <v>purnima.bharadwaj.24@gmail.com : ऋषि चिंतन के सान्निध्य में १० (पोकेट) : H_SJ_28_10</v>
      </c>
      <c r="CI480" s="5">
        <f ca="1">IFERROR(__xludf.DUMMYFUNCTION("""COMPUTED_VALUE"""),45322.9045117939)</f>
        <v>45322.904511793902</v>
      </c>
    </row>
    <row r="481" spans="1:87" x14ac:dyDescent="0.25">
      <c r="A481" s="5">
        <f ca="1">IFERROR(__xludf.DUMMYFUNCTION("""COMPUTED_VALUE"""),45321.5702343518)</f>
        <v>45321.570234351799</v>
      </c>
      <c r="B481" s="1" t="str">
        <f ca="1">IFERROR(__xludf.DUMMYFUNCTION("""COMPUTED_VALUE"""),"rajnivarma24.vns@gmail.com")</f>
        <v>rajnivarma24.vns@gmail.com</v>
      </c>
      <c r="C481" s="1" t="str">
        <f ca="1">IFERROR(__xludf.DUMMYFUNCTION("""COMPUTED_VALUE"""),"Rajni varma")</f>
        <v>Rajni varma</v>
      </c>
      <c r="D481" s="1">
        <f ca="1">IFERROR(__xludf.DUMMYFUNCTION("""COMPUTED_VALUE"""),9335661433)</f>
        <v>9335661433</v>
      </c>
      <c r="E481" s="1" t="str">
        <f ca="1">IFERROR(__xludf.DUMMYFUNCTION("""COMPUTED_VALUE"""),"No")</f>
        <v>No</v>
      </c>
      <c r="F481" s="1" t="str">
        <f ca="1">IFERROR(__xludf.DUMMYFUNCTION("""COMPUTED_VALUE"""),"हिन्दी")</f>
        <v>हिन्दी</v>
      </c>
      <c r="G481" s="1" t="str">
        <f ca="1">IFERROR(__xludf.DUMMYFUNCTION("""COMPUTED_VALUE"""),"युग द्रष्टा पं. श्रीराम शर्मा आचार्यजी")</f>
        <v>युग द्रष्टा पं. श्रीराम शर्मा आचार्यजी</v>
      </c>
      <c r="H481" s="1"/>
      <c r="I481" s="1"/>
      <c r="J481" s="1"/>
      <c r="K481" s="1"/>
      <c r="L481" s="1"/>
      <c r="M481" s="1"/>
      <c r="N481" s="1"/>
      <c r="O481" s="1"/>
      <c r="P481" s="1" t="str">
        <f ca="1">IFERROR(__xludf.DUMMYFUNCTION("""COMPUTED_VALUE"""),"युगॠषी का जीवनदर्शन")</f>
        <v>युगॠषी का जीवनदर्शन</v>
      </c>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f ca="1">IFERROR(__xludf.DUMMYFUNCTION("""COMPUTED_VALUE"""),30)</f>
        <v>30</v>
      </c>
      <c r="BX481" s="1">
        <f ca="1">IFERROR(__xludf.DUMMYFUNCTION("""COMPUTED_VALUE"""),25)</f>
        <v>25</v>
      </c>
      <c r="BY481" s="1">
        <f ca="1">IFERROR(__xludf.DUMMYFUNCTION("""COMPUTED_VALUE"""),7)</f>
        <v>7</v>
      </c>
      <c r="BZ481" s="1">
        <f ca="1">IFERROR(__xludf.DUMMYFUNCTION("""COMPUTED_VALUE"""),7)</f>
        <v>7</v>
      </c>
      <c r="CA481" s="1"/>
      <c r="CB481" s="1"/>
      <c r="CC481" s="1" t="str">
        <f ca="1">IFERROR(__xludf.DUMMYFUNCTION("""COMPUTED_VALUE"""),"विश्ववारा देव संस्कृति : H_JS_74")</f>
        <v>विश्ववारा देव संस्कृति : H_JS_74</v>
      </c>
      <c r="CD481" s="3" t="str">
        <f ca="1">IFERROR(__xludf.DUMMYFUNCTION("""COMPUTED_VALUE"""),"https://vicharkrantibooks.org/productdetail?book_name=HINP0986_VISHVAVARA_DEV_SANSKRUTI_xx2011&amp;product_id=1551")</f>
        <v>https://vicharkrantibooks.org/productdetail?book_name=HINP0986_VISHVAVARA_DEV_SANSKRUTI_xx2011&amp;product_id=1551</v>
      </c>
      <c r="CE481" s="1" t="str">
        <f ca="1">IFERROR(__xludf.DUMMYFUNCTION("""COMPUTED_VALUE"""),"Audiobook : विश्ववारा देव संस्कृति : H_JS_74 : rajnivarma24.vns@gmail.com : Recorded")</f>
        <v>Audiobook : विश्ववारा देव संस्कृति : H_JS_74 : rajnivarma24.vns@gmail.com : Recorded</v>
      </c>
      <c r="CF481" s="1" t="str">
        <f ca="1">IFERROR(__xludf.DUMMYFUNCTION("""COMPUTED_VALUE"""),"Audiobook : विश्ववारा देव संस्कृति : H_JS_74 : rajnivarma24.vns@gmail.com : Recorded")</f>
        <v>Audiobook : विश्ववारा देव संस्कृति : H_JS_74 : rajnivarma24.vns@gmail.com : Recorded</v>
      </c>
      <c r="CG481" s="1" t="str">
        <f ca="1">IFERROR(__xludf.DUMMYFUNCTION("""COMPUTED_VALUE"""),"Adarniya Rajni varma ji विश्ववारा देव संस्कृति : H_JS_74 : Allocated on 30-Jan-24 Contact Number  9335661433")</f>
        <v>Adarniya Rajni varma ji विश्ववारा देव संस्कृति : H_JS_74 : Allocated on 30-Jan-24 Contact Number  9335661433</v>
      </c>
      <c r="CH481" s="1" t="str">
        <f ca="1">IFERROR(__xludf.DUMMYFUNCTION("""COMPUTED_VALUE"""),"rajnivarma24.vns@gmail.com : विश्ववारा देव संस्कृति : H_JS_74")</f>
        <v>rajnivarma24.vns@gmail.com : विश्ववारा देव संस्कृति : H_JS_74</v>
      </c>
      <c r="CI481" s="5">
        <f ca="1">IFERROR(__xludf.DUMMYFUNCTION("""COMPUTED_VALUE"""),45321.5702343518)</f>
        <v>45321.570234351799</v>
      </c>
    </row>
    <row r="482" spans="1:87" x14ac:dyDescent="0.25">
      <c r="A482" s="5">
        <f ca="1">IFERROR(__xludf.DUMMYFUNCTION("""COMPUTED_VALUE"""),45321.5083698842)</f>
        <v>45321.508369884199</v>
      </c>
      <c r="B482" s="1" t="str">
        <f ca="1">IFERROR(__xludf.DUMMYFUNCTION("""COMPUTED_VALUE"""),"anu161965@gmail.com")</f>
        <v>anu161965@gmail.com</v>
      </c>
      <c r="C482" s="1" t="str">
        <f ca="1">IFERROR(__xludf.DUMMYFUNCTION("""COMPUTED_VALUE"""),"Anureeta awadh")</f>
        <v>Anureeta awadh</v>
      </c>
      <c r="D482" s="1">
        <f ca="1">IFERROR(__xludf.DUMMYFUNCTION("""COMPUTED_VALUE"""),8860314422)</f>
        <v>8860314422</v>
      </c>
      <c r="E482" s="1" t="str">
        <f ca="1">IFERROR(__xludf.DUMMYFUNCTION("""COMPUTED_VALUE"""),"Yes")</f>
        <v>Yes</v>
      </c>
      <c r="F482" s="1" t="str">
        <f ca="1">IFERROR(__xludf.DUMMYFUNCTION("""COMPUTED_VALUE"""),"हिन्दी")</f>
        <v>हिन्दी</v>
      </c>
      <c r="G482" s="1" t="str">
        <f ca="1">IFERROR(__xludf.DUMMYFUNCTION("""COMPUTED_VALUE"""),"वैज्ञानिक अध्यात्मवाद का प्रतिपादन")</f>
        <v>वैज्ञानिक अध्यात्मवाद का प्रतिपादन</v>
      </c>
      <c r="H482" s="1"/>
      <c r="I482" s="1"/>
      <c r="J482" s="1"/>
      <c r="K482" s="1"/>
      <c r="L482" s="1"/>
      <c r="M482" s="1"/>
      <c r="N482" s="1"/>
      <c r="O482" s="1"/>
      <c r="P482" s="1"/>
      <c r="Q482" s="1"/>
      <c r="R482" s="1"/>
      <c r="S482" s="1" t="str">
        <f ca="1">IFERROR(__xludf.DUMMYFUNCTION("""COMPUTED_VALUE"""),"वैज्ञानिक अध्यात्मवाद का प्रतिपादन")</f>
        <v>वैज्ञानिक अध्यात्मवाद का प्रतिपादन</v>
      </c>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f ca="1">IFERROR(__xludf.DUMMYFUNCTION("""COMPUTED_VALUE"""),24)</f>
        <v>24</v>
      </c>
      <c r="BX482" s="1">
        <f ca="1">IFERROR(__xludf.DUMMYFUNCTION("""COMPUTED_VALUE"""),18)</f>
        <v>18</v>
      </c>
      <c r="BY482" s="1">
        <f ca="1">IFERROR(__xludf.DUMMYFUNCTION("""COMPUTED_VALUE"""),7)</f>
        <v>7</v>
      </c>
      <c r="BZ482" s="1">
        <f ca="1">IFERROR(__xludf.DUMMYFUNCTION("""COMPUTED_VALUE"""),5)</f>
        <v>5</v>
      </c>
      <c r="CA482" s="1"/>
      <c r="CB482" s="1"/>
      <c r="CC482" s="1" t="str">
        <f ca="1">IFERROR(__xludf.DUMMYFUNCTION("""COMPUTED_VALUE"""),"सूक्ष्म शरीर की प्रतिभा प्रखरता का निखार : Rare Book")</f>
        <v>सूक्ष्म शरीर की प्रतिभा प्रखरता का निखार : Rare Book</v>
      </c>
      <c r="CD482" s="3" t="str">
        <f ca="1">IFERROR(__xludf.DUMMYFUNCTION("""COMPUTED_VALUE"""),"https://vicharkrantibooks.org/productdetail?book_name=HINF0275_SUKSHM_SHARIR_KI_PRATIBHA_PRAKHARATA_KA_NIKHAR_xxyyyy&amp;product_id=495")</f>
        <v>https://vicharkrantibooks.org/productdetail?book_name=HINF0275_SUKSHM_SHARIR_KI_PRATIBHA_PRAKHARATA_KA_NIKHAR_xxyyyy&amp;product_id=495</v>
      </c>
      <c r="CE482" s="1" t="str">
        <f ca="1">IFERROR(__xludf.DUMMYFUNCTION("""COMPUTED_VALUE"""),"Audiobook : सूक्ष्म शरीर की प्रतिभा प्रखरता का निखार : Rare Book : anu161965@gmail.com : Recorded")</f>
        <v>Audiobook : सूक्ष्म शरीर की प्रतिभा प्रखरता का निखार : Rare Book : anu161965@gmail.com : Recorded</v>
      </c>
      <c r="CF482" s="1" t="str">
        <f ca="1">IFERROR(__xludf.DUMMYFUNCTION("""COMPUTED_VALUE"""),"Audiobook : सूक्ष्म शरीर की प्रतिभा प्रखरता का निखार : Rare Book : anu161965@gmail.com : Recorded")</f>
        <v>Audiobook : सूक्ष्म शरीर की प्रतिभा प्रखरता का निखार : Rare Book : anu161965@gmail.com : Recorded</v>
      </c>
      <c r="CG482" s="1" t="str">
        <f ca="1">IFERROR(__xludf.DUMMYFUNCTION("""COMPUTED_VALUE"""),"Adarniya Anureeta awadh ji सूक्ष्म शरीर की प्रतिभा प्रखरता का निखार : Rare Book : Allocated on 30-Jan-24 Contact Number  8860314422")</f>
        <v>Adarniya Anureeta awadh ji सूक्ष्म शरीर की प्रतिभा प्रखरता का निखार : Rare Book : Allocated on 30-Jan-24 Contact Number  8860314422</v>
      </c>
      <c r="CH482" s="1" t="str">
        <f ca="1">IFERROR(__xludf.DUMMYFUNCTION("""COMPUTED_VALUE"""),"anu161965@gmail.com : सूक्ष्म शरीर की प्रतिभा प्रखरता का निखार : Rare Book")</f>
        <v>anu161965@gmail.com : सूक्ष्म शरीर की प्रतिभा प्रखरता का निखार : Rare Book</v>
      </c>
      <c r="CI482" s="5">
        <f ca="1">IFERROR(__xludf.DUMMYFUNCTION("""COMPUTED_VALUE"""),45321.5083698842)</f>
        <v>45321.508369884199</v>
      </c>
    </row>
    <row r="483" spans="1:87" x14ac:dyDescent="0.25">
      <c r="A483" s="5">
        <f ca="1">IFERROR(__xludf.DUMMYFUNCTION("""COMPUTED_VALUE"""),45320.9697152777)</f>
        <v>45320.969715277701</v>
      </c>
      <c r="B483" s="1" t="str">
        <f ca="1">IFERROR(__xludf.DUMMYFUNCTION("""COMPUTED_VALUE"""),"jamunashukla17@gmail.com")</f>
        <v>jamunashukla17@gmail.com</v>
      </c>
      <c r="C483" s="1" t="str">
        <f ca="1">IFERROR(__xludf.DUMMYFUNCTION("""COMPUTED_VALUE"""),"Smt J S Shukla")</f>
        <v>Smt J S Shukla</v>
      </c>
      <c r="D483" s="1">
        <f ca="1">IFERROR(__xludf.DUMMYFUNCTION("""COMPUTED_VALUE"""),8390353167)</f>
        <v>8390353167</v>
      </c>
      <c r="E483" s="1" t="str">
        <f ca="1">IFERROR(__xludf.DUMMYFUNCTION("""COMPUTED_VALUE"""),"Yes")</f>
        <v>Yes</v>
      </c>
      <c r="F483" s="1" t="str">
        <f ca="1">IFERROR(__xludf.DUMMYFUNCTION("""COMPUTED_VALUE"""),"हिन्दी")</f>
        <v>हिन्दी</v>
      </c>
      <c r="G483" s="1" t="str">
        <f ca="1">IFERROR(__xludf.DUMMYFUNCTION("""COMPUTED_VALUE"""),"युग परिवर्तन-विचार क्रांति")</f>
        <v>युग परिवर्तन-विचार क्रांति</v>
      </c>
      <c r="H483" s="1"/>
      <c r="I483" s="1"/>
      <c r="J483" s="1"/>
      <c r="K483" s="1"/>
      <c r="L483" s="1"/>
      <c r="M483" s="1"/>
      <c r="N483" s="1"/>
      <c r="O483" s="1"/>
      <c r="P483" s="1"/>
      <c r="Q483" s="1" t="str">
        <f ca="1">IFERROR(__xludf.DUMMYFUNCTION("""COMPUTED_VALUE"""),"विचार क्रांति")</f>
        <v>विचार क्रांति</v>
      </c>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f ca="1">IFERROR(__xludf.DUMMYFUNCTION("""COMPUTED_VALUE"""),53)</f>
        <v>53</v>
      </c>
      <c r="BX483" s="1">
        <f ca="1">IFERROR(__xludf.DUMMYFUNCTION("""COMPUTED_VALUE"""),53)</f>
        <v>53</v>
      </c>
      <c r="BY483" s="1">
        <f ca="1">IFERROR(__xludf.DUMMYFUNCTION("""COMPUTED_VALUE"""),9)</f>
        <v>9</v>
      </c>
      <c r="BZ483" s="1">
        <f ca="1">IFERROR(__xludf.DUMMYFUNCTION("""COMPUTED_VALUE"""),25)</f>
        <v>25</v>
      </c>
      <c r="CA483" s="1"/>
      <c r="CB483" s="1"/>
      <c r="CC483" s="1" t="str">
        <f ca="1">IFERROR(__xludf.DUMMYFUNCTION("""COMPUTED_VALUE"""),"भविष्य वक्ताओं का कथन नवयुग का आगमन : Rare Book")</f>
        <v>भविष्य वक्ताओं का कथन नवयुग का आगमन : Rare Book</v>
      </c>
      <c r="CD483" s="3" t="str">
        <f ca="1">IFERROR(__xludf.DUMMYFUNCTION("""COMPUTED_VALUE"""),"https://vicharkrantibooks.org/productdetail?book_name=HINP0163_BHAVISHY_VAKTAON_KA_KATHAN_NAVAYUG_KA_AGAMAN_xx1981&amp;product_id=728")</f>
        <v>https://vicharkrantibooks.org/productdetail?book_name=HINP0163_BHAVISHY_VAKTAON_KA_KATHAN_NAVAYUG_KA_AGAMAN_xx1981&amp;product_id=728</v>
      </c>
      <c r="CE483" s="1" t="str">
        <f ca="1">IFERROR(__xludf.DUMMYFUNCTION("""COMPUTED_VALUE"""),"Audiobook : भविष्य वक्ताओं का कथन नवयुग का आगमन : Rare Book : jamunashukla17@gmail.com : Recorded")</f>
        <v>Audiobook : भविष्य वक्ताओं का कथन नवयुग का आगमन : Rare Book : jamunashukla17@gmail.com : Recorded</v>
      </c>
      <c r="CF483" s="1" t="str">
        <f ca="1">IFERROR(__xludf.DUMMYFUNCTION("""COMPUTED_VALUE"""),"Audiobook : भविष्य वक्ताओं का कथन नवयुग का आगमन : Rare Book : jamunashukla17@gmail.com : Recorded")</f>
        <v>Audiobook : भविष्य वक्ताओं का कथन नवयुग का आगमन : Rare Book : jamunashukla17@gmail.com : Recorded</v>
      </c>
      <c r="CG483" s="1" t="str">
        <f ca="1">IFERROR(__xludf.DUMMYFUNCTION("""COMPUTED_VALUE"""),"Adarniya Smt J S Shukla ji भविष्य वक्ताओं का कथन नवयुग का आगमन : Rare Book : Allocated on 29-Jan-24 Contact Number  8390353167")</f>
        <v>Adarniya Smt J S Shukla ji भविष्य वक्ताओं का कथन नवयुग का आगमन : Rare Book : Allocated on 29-Jan-24 Contact Number  8390353167</v>
      </c>
      <c r="CH483" s="1" t="str">
        <f ca="1">IFERROR(__xludf.DUMMYFUNCTION("""COMPUTED_VALUE"""),"jamunashukla17@gmail.com : भविष्य वक्ताओं का कथन नवयुग का आगमन : Rare Book")</f>
        <v>jamunashukla17@gmail.com : भविष्य वक्ताओं का कथन नवयुग का आगमन : Rare Book</v>
      </c>
      <c r="CI483" s="5">
        <f ca="1">IFERROR(__xludf.DUMMYFUNCTION("""COMPUTED_VALUE"""),45320.9697152777)</f>
        <v>45320.969715277701</v>
      </c>
    </row>
    <row r="484" spans="1:87" x14ac:dyDescent="0.25">
      <c r="A484" s="5">
        <f ca="1">IFERROR(__xludf.DUMMYFUNCTION("""COMPUTED_VALUE"""),45320.6796603935)</f>
        <v>45320.6796603935</v>
      </c>
      <c r="B484" s="1" t="str">
        <f ca="1">IFERROR(__xludf.DUMMYFUNCTION("""COMPUTED_VALUE"""),"richasharma310575@gmail.com")</f>
        <v>richasharma310575@gmail.com</v>
      </c>
      <c r="C484" s="1" t="str">
        <f ca="1">IFERROR(__xludf.DUMMYFUNCTION("""COMPUTED_VALUE"""),"Richa Sharma")</f>
        <v>Richa Sharma</v>
      </c>
      <c r="D484" s="1" t="str">
        <f ca="1">IFERROR(__xludf.DUMMYFUNCTION("""COMPUTED_VALUE"""),"09479664049")</f>
        <v>09479664049</v>
      </c>
      <c r="E484" s="1" t="str">
        <f ca="1">IFERROR(__xludf.DUMMYFUNCTION("""COMPUTED_VALUE"""),"Yes")</f>
        <v>Yes</v>
      </c>
      <c r="F484" s="1" t="str">
        <f ca="1">IFERROR(__xludf.DUMMYFUNCTION("""COMPUTED_VALUE"""),"हिन्दी")</f>
        <v>हिन्दी</v>
      </c>
      <c r="G484" s="1" t="str">
        <f ca="1">IFERROR(__xludf.DUMMYFUNCTION("""COMPUTED_VALUE"""),"संस्कार, कर्मकाण्ड, पाठ, पूजा, गीत-संगीत")</f>
        <v>संस्कार, कर्मकाण्ड, पाठ, पूजा, गीत-संगीत</v>
      </c>
      <c r="H484" s="1"/>
      <c r="I484" s="1"/>
      <c r="J484" s="1"/>
      <c r="K484" s="1"/>
      <c r="L484" s="1"/>
      <c r="M484" s="1"/>
      <c r="N484" s="1"/>
      <c r="O484" s="1"/>
      <c r="P484" s="1"/>
      <c r="Q484" s="1"/>
      <c r="R484" s="1"/>
      <c r="S484" s="1"/>
      <c r="T484" s="1"/>
      <c r="U484" s="1"/>
      <c r="V484" s="1"/>
      <c r="W484" s="1" t="str">
        <f ca="1">IFERROR(__xludf.DUMMYFUNCTION("""COMPUTED_VALUE"""),"पर्व-त्यौहार, कर्मकाण्ड")</f>
        <v>पर्व-त्यौहार, कर्मकाण्ड</v>
      </c>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t="str">
        <f ca="1">IFERROR(__xludf.DUMMYFUNCTION("""COMPUTED_VALUE"""),"कर्मकांड में छिपा व्यक्तित्व निर्माण का शिक्षण")</f>
        <v>कर्मकांड में छिपा व्यक्तित्व निर्माण का शिक्षण</v>
      </c>
      <c r="BH484" s="1"/>
      <c r="BI484" s="1"/>
      <c r="BJ484" s="1"/>
      <c r="BK484" s="1"/>
      <c r="BL484" s="1"/>
      <c r="BM484" s="1"/>
      <c r="BN484" s="1"/>
      <c r="BO484" s="1"/>
      <c r="BP484" s="1"/>
      <c r="BQ484" s="1"/>
      <c r="BR484" s="1"/>
      <c r="BS484" s="1"/>
      <c r="BT484" s="1"/>
      <c r="BU484" s="1"/>
      <c r="BV484" s="1"/>
      <c r="BW484" s="1">
        <f ca="1">IFERROR(__xludf.DUMMYFUNCTION("""COMPUTED_VALUE"""),23)</f>
        <v>23</v>
      </c>
      <c r="BX484" s="1">
        <f ca="1">IFERROR(__xludf.DUMMYFUNCTION("""COMPUTED_VALUE"""),28)</f>
        <v>28</v>
      </c>
      <c r="BY484" s="1">
        <f ca="1">IFERROR(__xludf.DUMMYFUNCTION("""COMPUTED_VALUE"""),2)</f>
        <v>2</v>
      </c>
      <c r="BZ484" s="1">
        <f ca="1">IFERROR(__xludf.DUMMYFUNCTION("""COMPUTED_VALUE"""),24)</f>
        <v>24</v>
      </c>
      <c r="CA484" s="1"/>
      <c r="CB484" s="1"/>
      <c r="CC484" s="1" t="str">
        <f ca="1">IFERROR(__xludf.DUMMYFUNCTION("""COMPUTED_VALUE"""),"समाज और व्यव्हार दर्शन : H_SN_68")</f>
        <v>समाज और व्यव्हार दर्शन : H_SN_68</v>
      </c>
      <c r="CD484" s="3" t="str">
        <f ca="1">IFERROR(__xludf.DUMMYFUNCTION("""COMPUTED_VALUE"""),"https://vicharkrantibooks.org/productdetail?book_name=HINP1077_SAMAJ_AUR_VYAVHAR_DARSHAN_xxyyyy&amp;product_id=1642")</f>
        <v>https://vicharkrantibooks.org/productdetail?book_name=HINP1077_SAMAJ_AUR_VYAVHAR_DARSHAN_xxyyyy&amp;product_id=1642</v>
      </c>
      <c r="CE484" s="1" t="str">
        <f ca="1">IFERROR(__xludf.DUMMYFUNCTION("""COMPUTED_VALUE"""),"Audiobook : समाज और व्यव्हार दर्शन : H_SN_68 : richasharma310575@gmail.com : Recorded")</f>
        <v>Audiobook : समाज और व्यव्हार दर्शन : H_SN_68 : richasharma310575@gmail.com : Recorded</v>
      </c>
      <c r="CF484" s="1" t="str">
        <f ca="1">IFERROR(__xludf.DUMMYFUNCTION("""COMPUTED_VALUE"""),"Audiobook : समाज और व्यव्हार दर्शन : H_SN_68 : richasharma310575@gmail.com : Recorded")</f>
        <v>Audiobook : समाज और व्यव्हार दर्शन : H_SN_68 : richasharma310575@gmail.com : Recorded</v>
      </c>
      <c r="CG484" s="1" t="str">
        <f ca="1">IFERROR(__xludf.DUMMYFUNCTION("""COMPUTED_VALUE"""),"Adarniya Richa Sharma ji समाज और व्यव्हार दर्शन : H_SN_68 : Allocated on 29-Jan-24 Contact Number  09479664049")</f>
        <v>Adarniya Richa Sharma ji समाज और व्यव्हार दर्शन : H_SN_68 : Allocated on 29-Jan-24 Contact Number  09479664049</v>
      </c>
      <c r="CH484" s="1" t="str">
        <f ca="1">IFERROR(__xludf.DUMMYFUNCTION("""COMPUTED_VALUE"""),"richasharma310575@gmail.com : समाज और व्यव्हार दर्शन : H_SN_68")</f>
        <v>richasharma310575@gmail.com : समाज और व्यव्हार दर्शन : H_SN_68</v>
      </c>
      <c r="CI484" s="5">
        <f ca="1">IFERROR(__xludf.DUMMYFUNCTION("""COMPUTED_VALUE"""),45320.6796603935)</f>
        <v>45320.6796603935</v>
      </c>
    </row>
    <row r="485" spans="1:87" x14ac:dyDescent="0.25">
      <c r="A485" s="5">
        <f ca="1">IFERROR(__xludf.DUMMYFUNCTION("""COMPUTED_VALUE"""),45320.5289937152)</f>
        <v>45320.528993715197</v>
      </c>
      <c r="B485" s="1" t="str">
        <f ca="1">IFERROR(__xludf.DUMMYFUNCTION("""COMPUTED_VALUE"""),"manjusrivastava349@gmail.com")</f>
        <v>manjusrivastava349@gmail.com</v>
      </c>
      <c r="C485" s="1" t="str">
        <f ca="1">IFERROR(__xludf.DUMMYFUNCTION("""COMPUTED_VALUE"""),"Manju srivastava")</f>
        <v>Manju srivastava</v>
      </c>
      <c r="D485" s="1">
        <f ca="1">IFERROR(__xludf.DUMMYFUNCTION("""COMPUTED_VALUE"""),9450345667)</f>
        <v>9450345667</v>
      </c>
      <c r="E485" s="1" t="str">
        <f ca="1">IFERROR(__xludf.DUMMYFUNCTION("""COMPUTED_VALUE"""),"Yes")</f>
        <v>Yes</v>
      </c>
      <c r="F485" s="1" t="str">
        <f ca="1">IFERROR(__xludf.DUMMYFUNCTION("""COMPUTED_VALUE"""),"हिन्दी")</f>
        <v>हिन्दी</v>
      </c>
      <c r="G485" s="1" t="str">
        <f ca="1">IFERROR(__xludf.DUMMYFUNCTION("""COMPUTED_VALUE"""),"युग द्रष्टा पं. श्रीराम शर्मा आचार्यजी")</f>
        <v>युग द्रष्टा पं. श्रीराम शर्मा आचार्यजी</v>
      </c>
      <c r="H485" s="1"/>
      <c r="I485" s="1"/>
      <c r="J485" s="1"/>
      <c r="K485" s="1"/>
      <c r="L485" s="1"/>
      <c r="M485" s="1"/>
      <c r="N485" s="1"/>
      <c r="O485" s="1"/>
      <c r="P485" s="1" t="str">
        <f ca="1">IFERROR(__xludf.DUMMYFUNCTION("""COMPUTED_VALUE"""),"युगॠषी की अमृतवाणी")</f>
        <v>युगॠषी की अमृतवाणी</v>
      </c>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f ca="1">IFERROR(__xludf.DUMMYFUNCTION("""COMPUTED_VALUE"""),10)</f>
        <v>10</v>
      </c>
      <c r="BX485" s="1">
        <f ca="1">IFERROR(__xludf.DUMMYFUNCTION("""COMPUTED_VALUE"""),12)</f>
        <v>12</v>
      </c>
      <c r="BY485" s="1">
        <f ca="1">IFERROR(__xludf.DUMMYFUNCTION("""COMPUTED_VALUE"""),0)</f>
        <v>0</v>
      </c>
      <c r="BZ485" s="1">
        <f ca="1">IFERROR(__xludf.DUMMYFUNCTION("""COMPUTED_VALUE"""),2)</f>
        <v>2</v>
      </c>
      <c r="CA485" s="1"/>
      <c r="CB485" s="1"/>
      <c r="CC485" s="1" t="str">
        <f ca="1">IFERROR(__xludf.DUMMYFUNCTION("""COMPUTED_VALUE"""),"व्यक्ति निर्माण का प्रारम्भिक चरण किशोरावस्था : Rare Book")</f>
        <v>व्यक्ति निर्माण का प्रारम्भिक चरण किशोरावस्था : Rare Book</v>
      </c>
      <c r="CD485" s="3" t="str">
        <f ca="1">IFERROR(__xludf.DUMMYFUNCTION("""COMPUTED_VALUE"""),"https://vicharkrantibooks.org/productdetail?book_name=HINP1008_VYAKTITV_NIRMAN_KA_PRARAMBHIK_CHARAN_KISHORAVASTHA_xx1981&amp;product_id=1573")</f>
        <v>https://vicharkrantibooks.org/productdetail?book_name=HINP1008_VYAKTITV_NIRMAN_KA_PRARAMBHIK_CHARAN_KISHORAVASTHA_xx1981&amp;product_id=1573</v>
      </c>
      <c r="CE485" s="1" t="str">
        <f ca="1">IFERROR(__xludf.DUMMYFUNCTION("""COMPUTED_VALUE"""),"Audiobook : व्यक्ति निर्माण का प्रारम्भिक चरण किशोरावस्था : Rare Book : manjusrivastava349@gmail.com : Recorded")</f>
        <v>Audiobook : व्यक्ति निर्माण का प्रारम्भिक चरण किशोरावस्था : Rare Book : manjusrivastava349@gmail.com : Recorded</v>
      </c>
      <c r="CF485" s="1" t="str">
        <f ca="1">IFERROR(__xludf.DUMMYFUNCTION("""COMPUTED_VALUE"""),"Audiobook : व्यक्ति निर्माण का प्रारम्भिक चरण किशोरावस्था : Rare Book : manjusrivastava349@gmail.com : Recorded")</f>
        <v>Audiobook : व्यक्ति निर्माण का प्रारम्भिक चरण किशोरावस्था : Rare Book : manjusrivastava349@gmail.com : Recorded</v>
      </c>
      <c r="CG485" s="1" t="str">
        <f ca="1">IFERROR(__xludf.DUMMYFUNCTION("""COMPUTED_VALUE"""),"Adarniya Manju srivastava ji व्यक्ति निर्माण का प्रारम्भिक चरण किशोरावस्था : Rare Book : Allocated on 29-Jan-24 Contact Number  9450345667")</f>
        <v>Adarniya Manju srivastava ji व्यक्ति निर्माण का प्रारम्भिक चरण किशोरावस्था : Rare Book : Allocated on 29-Jan-24 Contact Number  9450345667</v>
      </c>
      <c r="CH485" s="1" t="str">
        <f ca="1">IFERROR(__xludf.DUMMYFUNCTION("""COMPUTED_VALUE"""),"manjusrivastava349@gmail.com : व्यक्ति निर्माण का प्रारम्भिक चरण किशोरावस्था : Rare Book")</f>
        <v>manjusrivastava349@gmail.com : व्यक्ति निर्माण का प्रारम्भिक चरण किशोरावस्था : Rare Book</v>
      </c>
      <c r="CI485" s="5">
        <f ca="1">IFERROR(__xludf.DUMMYFUNCTION("""COMPUTED_VALUE"""),45320.5289937152)</f>
        <v>45320.528993715197</v>
      </c>
    </row>
    <row r="486" spans="1:87" x14ac:dyDescent="0.25">
      <c r="A486" s="5">
        <f ca="1">IFERROR(__xludf.DUMMYFUNCTION("""COMPUTED_VALUE"""),45319.704027824)</f>
        <v>45319.704027824002</v>
      </c>
      <c r="B486" s="1" t="str">
        <f ca="1">IFERROR(__xludf.DUMMYFUNCTION("""COMPUTED_VALUE"""),"nksaxena.yoga@gmail.com")</f>
        <v>nksaxena.yoga@gmail.com</v>
      </c>
      <c r="C486" s="1" t="str">
        <f ca="1">IFERROR(__xludf.DUMMYFUNCTION("""COMPUTED_VALUE"""),"Narendra Kumar Saxena ")</f>
        <v xml:space="preserve">Narendra Kumar Saxena </v>
      </c>
      <c r="D486" s="1">
        <f ca="1">IFERROR(__xludf.DUMMYFUNCTION("""COMPUTED_VALUE"""),8826499188)</f>
        <v>8826499188</v>
      </c>
      <c r="E486" s="1" t="str">
        <f ca="1">IFERROR(__xludf.DUMMYFUNCTION("""COMPUTED_VALUE"""),"Yes")</f>
        <v>Yes</v>
      </c>
      <c r="F486" s="1" t="str">
        <f ca="1">IFERROR(__xludf.DUMMYFUNCTION("""COMPUTED_VALUE"""),"हिन्दी")</f>
        <v>हिन्दी</v>
      </c>
      <c r="G486" s="1" t="str">
        <f ca="1">IFERROR(__xludf.DUMMYFUNCTION("""COMPUTED_VALUE"""),"समग्र स्वास्थ्य")</f>
        <v>समग्र स्वास्थ्य</v>
      </c>
      <c r="H486" s="1"/>
      <c r="I486" s="1"/>
      <c r="J486" s="1"/>
      <c r="K486" s="1"/>
      <c r="L486" s="1"/>
      <c r="M486" s="1"/>
      <c r="N486" s="1"/>
      <c r="O486" s="1"/>
      <c r="P486" s="1"/>
      <c r="Q486" s="1"/>
      <c r="R486" s="1"/>
      <c r="S486" s="1"/>
      <c r="T486" s="1"/>
      <c r="U486" s="1" t="str">
        <f ca="1">IFERROR(__xludf.DUMMYFUNCTION("""COMPUTED_VALUE"""),"स्वास्थ्य संवर्धन")</f>
        <v>स्वास्थ्य संवर्धन</v>
      </c>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f ca="1">IFERROR(__xludf.DUMMYFUNCTION("""COMPUTED_VALUE"""),29)</f>
        <v>29</v>
      </c>
      <c r="BX486" s="1">
        <f ca="1">IFERROR(__xludf.DUMMYFUNCTION("""COMPUTED_VALUE"""),30)</f>
        <v>30</v>
      </c>
      <c r="BY486" s="1">
        <f ca="1">IFERROR(__xludf.DUMMYFUNCTION("""COMPUTED_VALUE"""),3)</f>
        <v>3</v>
      </c>
      <c r="BZ486" s="1">
        <f ca="1">IFERROR(__xludf.DUMMYFUNCTION("""COMPUTED_VALUE"""),25)</f>
        <v>25</v>
      </c>
      <c r="CA486" s="1"/>
      <c r="CB486" s="1"/>
      <c r="CC486" s="1" t="str">
        <f ca="1">IFERROR(__xludf.DUMMYFUNCTION("""COMPUTED_VALUE"""),"मन:स्थिति का भोजन पर प्रभाव : Rare Book")</f>
        <v>मन:स्थिति का भोजन पर प्रभाव : Rare Book</v>
      </c>
      <c r="CD486" s="3" t="str">
        <f ca="1">IFERROR(__xludf.DUMMYFUNCTION("""COMPUTED_VALUE"""),"https://vicharkrantibooks.org/productdetail?book_name=HINP0490_MANAHSTHITI_KA_BHOJAN_PAR_PRABHAV_xxyyyy&amp;product_id=1055")</f>
        <v>https://vicharkrantibooks.org/productdetail?book_name=HINP0490_MANAHSTHITI_KA_BHOJAN_PAR_PRABHAV_xxyyyy&amp;product_id=1055</v>
      </c>
      <c r="CE486" s="1" t="str">
        <f ca="1">IFERROR(__xludf.DUMMYFUNCTION("""COMPUTED_VALUE"""),"Audiobook : मन:स्थिति का भोजन पर प्रभाव : Rare Book : nksaxena.yoga@gmail.com : Recorded")</f>
        <v>Audiobook : मन:स्थिति का भोजन पर प्रभाव : Rare Book : nksaxena.yoga@gmail.com : Recorded</v>
      </c>
      <c r="CF486" s="1" t="str">
        <f ca="1">IFERROR(__xludf.DUMMYFUNCTION("""COMPUTED_VALUE"""),"Audiobook : मन:स्थिति का भोजन पर प्रभाव : Rare Book : nksaxena.yoga@gmail.com : Recorded")</f>
        <v>Audiobook : मन:स्थिति का भोजन पर प्रभाव : Rare Book : nksaxena.yoga@gmail.com : Recorded</v>
      </c>
      <c r="CG486" s="1" t="str">
        <f ca="1">IFERROR(__xludf.DUMMYFUNCTION("""COMPUTED_VALUE"""),"Adarniya Narendra Kumar Saxena  ji मन:स्थिति का भोजन पर प्रभाव : Rare Book : Allocated on 28-Jan-24 Contact Number  8826499188")</f>
        <v>Adarniya Narendra Kumar Saxena  ji मन:स्थिति का भोजन पर प्रभाव : Rare Book : Allocated on 28-Jan-24 Contact Number  8826499188</v>
      </c>
      <c r="CH486" s="1" t="str">
        <f ca="1">IFERROR(__xludf.DUMMYFUNCTION("""COMPUTED_VALUE"""),"nksaxena.yoga@gmail.com : मन:स्थिति का भोजन पर प्रभाव : Rare Book")</f>
        <v>nksaxena.yoga@gmail.com : मन:स्थिति का भोजन पर प्रभाव : Rare Book</v>
      </c>
      <c r="CI486" s="5">
        <f ca="1">IFERROR(__xludf.DUMMYFUNCTION("""COMPUTED_VALUE"""),45319.704027824)</f>
        <v>45319.704027824002</v>
      </c>
    </row>
    <row r="487" spans="1:87" x14ac:dyDescent="0.25">
      <c r="A487" s="5">
        <f ca="1">IFERROR(__xludf.DUMMYFUNCTION("""COMPUTED_VALUE"""),45319.33402978)</f>
        <v>45319.334029780002</v>
      </c>
      <c r="B487" s="1" t="str">
        <f ca="1">IFERROR(__xludf.DUMMYFUNCTION("""COMPUTED_VALUE"""),"druma4107@gmail.com")</f>
        <v>druma4107@gmail.com</v>
      </c>
      <c r="C487" s="1" t="str">
        <f ca="1">IFERROR(__xludf.DUMMYFUNCTION("""COMPUTED_VALUE"""),"Dr Uma Agrawal")</f>
        <v>Dr Uma Agrawal</v>
      </c>
      <c r="D487" s="1">
        <f ca="1">IFERROR(__xludf.DUMMYFUNCTION("""COMPUTED_VALUE"""),9410861182)</f>
        <v>9410861182</v>
      </c>
      <c r="E487" s="1" t="str">
        <f ca="1">IFERROR(__xludf.DUMMYFUNCTION("""COMPUTED_VALUE"""),"Yes")</f>
        <v>Yes</v>
      </c>
      <c r="F487" s="1" t="str">
        <f ca="1">IFERROR(__xludf.DUMMYFUNCTION("""COMPUTED_VALUE"""),"हिन्दी")</f>
        <v>हिन्दी</v>
      </c>
      <c r="G487" s="1" t="str">
        <f ca="1">IFERROR(__xludf.DUMMYFUNCTION("""COMPUTED_VALUE"""),"राष्ट्र निर्माण")</f>
        <v>राष्ट्र निर्माण</v>
      </c>
      <c r="H487" s="1"/>
      <c r="I487" s="1"/>
      <c r="J487" s="1"/>
      <c r="K487" s="1"/>
      <c r="L487" s="1"/>
      <c r="M487" s="1"/>
      <c r="N487" s="1"/>
      <c r="O487" s="1"/>
      <c r="P487" s="1"/>
      <c r="Q487" s="1"/>
      <c r="R487" s="1" t="str">
        <f ca="1">IFERROR(__xludf.DUMMYFUNCTION("""COMPUTED_VALUE"""),"राष्ट्र निर्माण")</f>
        <v>राष्ट्र निर्माण</v>
      </c>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f ca="1">IFERROR(__xludf.DUMMYFUNCTION("""COMPUTED_VALUE"""),104)</f>
        <v>104</v>
      </c>
      <c r="BX487" s="1">
        <f ca="1">IFERROR(__xludf.DUMMYFUNCTION("""COMPUTED_VALUE"""),106)</f>
        <v>106</v>
      </c>
      <c r="BY487" s="1">
        <f ca="1">IFERROR(__xludf.DUMMYFUNCTION("""COMPUTED_VALUE"""),9)</f>
        <v>9</v>
      </c>
      <c r="BZ487" s="1">
        <f ca="1">IFERROR(__xludf.DUMMYFUNCTION("""COMPUTED_VALUE"""),43)</f>
        <v>43</v>
      </c>
      <c r="CA487" s="1"/>
      <c r="CB487" s="1"/>
      <c r="CC487" s="1" t="str">
        <f ca="1">IFERROR(__xludf.DUMMYFUNCTION("""COMPUTED_VALUE"""),"जटिल खाद्य समस्या के कुछ सरल समाधान : Rare Book")</f>
        <v>जटिल खाद्य समस्या के कुछ सरल समाधान : Rare Book</v>
      </c>
      <c r="CD487" s="3" t="str">
        <f ca="1">IFERROR(__xludf.DUMMYFUNCTION("""COMPUTED_VALUE"""),"https://vicharkrantibooks.org/productdetail?book_name=HINP0382_JATIL_KHADY_SAMASYA_KA_KUCHH_SARAL_SAMADHAN_xx1982&amp;product_id=947")</f>
        <v>https://vicharkrantibooks.org/productdetail?book_name=HINP0382_JATIL_KHADY_SAMASYA_KA_KUCHH_SARAL_SAMADHAN_xx1982&amp;product_id=947</v>
      </c>
      <c r="CE487" s="1" t="str">
        <f ca="1">IFERROR(__xludf.DUMMYFUNCTION("""COMPUTED_VALUE"""),"Audiobook : जटिल खाद्य समस्या के कुछ सरल समाधान : Rare Book : druma4107@gmail.com : Recorded")</f>
        <v>Audiobook : जटिल खाद्य समस्या के कुछ सरल समाधान : Rare Book : druma4107@gmail.com : Recorded</v>
      </c>
      <c r="CF487" s="1" t="str">
        <f ca="1">IFERROR(__xludf.DUMMYFUNCTION("""COMPUTED_VALUE"""),"Audiobook : जटिल खाद्य समस्या के कुछ सरल समाधान : Rare Book : druma4107@gmail.com : Recorded")</f>
        <v>Audiobook : जटिल खाद्य समस्या के कुछ सरल समाधान : Rare Book : druma4107@gmail.com : Recorded</v>
      </c>
      <c r="CG487" s="1" t="str">
        <f ca="1">IFERROR(__xludf.DUMMYFUNCTION("""COMPUTED_VALUE"""),"Adarniya Dr Uma Agrawal ji जटिल खाद्य समस्या के कुछ सरल समाधान : Rare Book : Allocated on 28-Jan-24 Contact Number  9410861182")</f>
        <v>Adarniya Dr Uma Agrawal ji जटिल खाद्य समस्या के कुछ सरल समाधान : Rare Book : Allocated on 28-Jan-24 Contact Number  9410861182</v>
      </c>
      <c r="CH487" s="1" t="str">
        <f ca="1">IFERROR(__xludf.DUMMYFUNCTION("""COMPUTED_VALUE"""),"druma4107@gmail.com : जटिल खाद्य समस्या के कुछ सरल समाधान : Rare Book")</f>
        <v>druma4107@gmail.com : जटिल खाद्य समस्या के कुछ सरल समाधान : Rare Book</v>
      </c>
      <c r="CI487" s="5">
        <f ca="1">IFERROR(__xludf.DUMMYFUNCTION("""COMPUTED_VALUE"""),45319.33402978)</f>
        <v>45319.334029780002</v>
      </c>
    </row>
    <row r="488" spans="1:87" x14ac:dyDescent="0.25">
      <c r="A488" s="5">
        <f ca="1">IFERROR(__xludf.DUMMYFUNCTION("""COMPUTED_VALUE"""),45319.1113035763)</f>
        <v>45319.111303576297</v>
      </c>
      <c r="B488" s="1" t="str">
        <f ca="1">IFERROR(__xludf.DUMMYFUNCTION("""COMPUTED_VALUE"""),"sanjayneha1@yahoo.com")</f>
        <v>sanjayneha1@yahoo.com</v>
      </c>
      <c r="C488" s="1" t="str">
        <f ca="1">IFERROR(__xludf.DUMMYFUNCTION("""COMPUTED_VALUE"""),"Neha Manocha")</f>
        <v>Neha Manocha</v>
      </c>
      <c r="D488" s="1">
        <f ca="1">IFERROR(__xludf.DUMMYFUNCTION("""COMPUTED_VALUE"""),16174130446)</f>
        <v>16174130446</v>
      </c>
      <c r="E488" s="1" t="str">
        <f ca="1">IFERROR(__xludf.DUMMYFUNCTION("""COMPUTED_VALUE"""),"Yes")</f>
        <v>Yes</v>
      </c>
      <c r="F488" s="1" t="str">
        <f ca="1">IFERROR(__xludf.DUMMYFUNCTION("""COMPUTED_VALUE"""),"हिन्दी or English")</f>
        <v>हिन्दी or English</v>
      </c>
      <c r="G488" s="1" t="str">
        <f ca="1">IFERROR(__xludf.DUMMYFUNCTION("""COMPUTED_VALUE"""),"युग द्रष्टा पं. श्रीराम शर्मा आचार्यजी")</f>
        <v>युग द्रष्टा पं. श्रीराम शर्मा आचार्यजी</v>
      </c>
      <c r="H488" s="1"/>
      <c r="I488" s="1"/>
      <c r="J488" s="1"/>
      <c r="K488" s="1"/>
      <c r="L488" s="1"/>
      <c r="M488" s="1"/>
      <c r="N488" s="1"/>
      <c r="O488" s="1"/>
      <c r="P488" s="1" t="str">
        <f ca="1">IFERROR(__xludf.DUMMYFUNCTION("""COMPUTED_VALUE"""),"युगॠषी की अमृतवाणी")</f>
        <v>युगॠषी की अमृतवाणी</v>
      </c>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f ca="1">IFERROR(__xludf.DUMMYFUNCTION("""COMPUTED_VALUE"""),33)</f>
        <v>33</v>
      </c>
      <c r="BX488" s="1">
        <f ca="1">IFERROR(__xludf.DUMMYFUNCTION("""COMPUTED_VALUE"""),40)</f>
        <v>40</v>
      </c>
      <c r="BY488" s="1">
        <f ca="1">IFERROR(__xludf.DUMMYFUNCTION("""COMPUTED_VALUE"""),3)</f>
        <v>3</v>
      </c>
      <c r="BZ488" s="1">
        <f ca="1">IFERROR(__xludf.DUMMYFUNCTION("""COMPUTED_VALUE"""),22)</f>
        <v>22</v>
      </c>
      <c r="CA488" s="1"/>
      <c r="CB488" s="1"/>
      <c r="CC488" s="1" t="str">
        <f ca="1">IFERROR(__xludf.DUMMYFUNCTION("""COMPUTED_VALUE"""),"Scientific Approach To Talent Growth : EP_130")</f>
        <v>Scientific Approach To Talent Growth : EP_130</v>
      </c>
      <c r="CD488" s="3" t="str">
        <f ca="1">IFERROR(__xludf.DUMMYFUNCTION("""COMPUTED_VALUE"""),"https://vicharkrantibooks.org/productdetail?book_name=ENGP0676_SCIENTIFIC_APPROACH_TO_TALENT_GROWTH_xxyyyy&amp;product_id=3515")</f>
        <v>https://vicharkrantibooks.org/productdetail?book_name=ENGP0676_SCIENTIFIC_APPROACH_TO_TALENT_GROWTH_xxyyyy&amp;product_id=3515</v>
      </c>
      <c r="CE488" s="1" t="str">
        <f ca="1">IFERROR(__xludf.DUMMYFUNCTION("""COMPUTED_VALUE"""),"Audiobook : Scientific Approach To Talent Growth : EP_130 : sanjayneha1@yahoo.com : Recorded")</f>
        <v>Audiobook : Scientific Approach To Talent Growth : EP_130 : sanjayneha1@yahoo.com : Recorded</v>
      </c>
      <c r="CF488" s="1" t="str">
        <f ca="1">IFERROR(__xludf.DUMMYFUNCTION("""COMPUTED_VALUE"""),"Audiobook : Scientific Approach To Talent Growth : EP_130 : sanjayneha1@yahoo.com : Recorded")</f>
        <v>Audiobook : Scientific Approach To Talent Growth : EP_130 : sanjayneha1@yahoo.com : Recorded</v>
      </c>
      <c r="CG488" s="1" t="str">
        <f ca="1">IFERROR(__xludf.DUMMYFUNCTION("""COMPUTED_VALUE"""),"Adarniya Neha Manocha ji Scientific Approach To Talent Growth : EP_130 : Allocated on 28-Jan-24 Contact Number  16174130446")</f>
        <v>Adarniya Neha Manocha ji Scientific Approach To Talent Growth : EP_130 : Allocated on 28-Jan-24 Contact Number  16174130446</v>
      </c>
      <c r="CH488" s="1" t="str">
        <f ca="1">IFERROR(__xludf.DUMMYFUNCTION("""COMPUTED_VALUE"""),"sanjayneha1@yahoo.com : Scientific Approach To Talent Growth : EP_130")</f>
        <v>sanjayneha1@yahoo.com : Scientific Approach To Talent Growth : EP_130</v>
      </c>
      <c r="CI488" s="5">
        <f ca="1">IFERROR(__xludf.DUMMYFUNCTION("""COMPUTED_VALUE"""),45319.1113035763)</f>
        <v>45319.111303576297</v>
      </c>
    </row>
    <row r="489" spans="1:87" x14ac:dyDescent="0.25">
      <c r="A489" s="5">
        <f ca="1">IFERROR(__xludf.DUMMYFUNCTION("""COMPUTED_VALUE"""),45316.6709217245)</f>
        <v>45316.670921724501</v>
      </c>
      <c r="B489" s="1" t="str">
        <f ca="1">IFERROR(__xludf.DUMMYFUNCTION("""COMPUTED_VALUE"""),"sharmabhavna33@gmail.com")</f>
        <v>sharmabhavna33@gmail.com</v>
      </c>
      <c r="C489" s="1" t="str">
        <f ca="1">IFERROR(__xludf.DUMMYFUNCTION("""COMPUTED_VALUE"""),"Bhawana Parashar")</f>
        <v>Bhawana Parashar</v>
      </c>
      <c r="D489" s="1">
        <f ca="1">IFERROR(__xludf.DUMMYFUNCTION("""COMPUTED_VALUE"""),9826248427)</f>
        <v>9826248427</v>
      </c>
      <c r="E489" s="1" t="str">
        <f ca="1">IFERROR(__xludf.DUMMYFUNCTION("""COMPUTED_VALUE"""),"Yes")</f>
        <v>Yes</v>
      </c>
      <c r="F489" s="1" t="str">
        <f ca="1">IFERROR(__xludf.DUMMYFUNCTION("""COMPUTED_VALUE"""),"हिन्दी")</f>
        <v>हिन्दी</v>
      </c>
      <c r="G489" s="1" t="str">
        <f ca="1">IFERROR(__xludf.DUMMYFUNCTION("""COMPUTED_VALUE"""),"युग परिवर्तन-विचार क्रांति")</f>
        <v>युग परिवर्तन-विचार क्रांति</v>
      </c>
      <c r="H489" s="1"/>
      <c r="I489" s="1"/>
      <c r="J489" s="1"/>
      <c r="K489" s="1"/>
      <c r="L489" s="1"/>
      <c r="M489" s="1"/>
      <c r="N489" s="1"/>
      <c r="O489" s="1"/>
      <c r="P489" s="1"/>
      <c r="Q489" s="1" t="str">
        <f ca="1">IFERROR(__xludf.DUMMYFUNCTION("""COMPUTED_VALUE"""),"विचार क्रांति")</f>
        <v>विचार क्रांति</v>
      </c>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f ca="1">IFERROR(__xludf.DUMMYFUNCTION("""COMPUTED_VALUE"""),9)</f>
        <v>9</v>
      </c>
      <c r="BX489" s="1">
        <f ca="1">IFERROR(__xludf.DUMMYFUNCTION("""COMPUTED_VALUE"""),3)</f>
        <v>3</v>
      </c>
      <c r="BY489" s="1">
        <f ca="1">IFERROR(__xludf.DUMMYFUNCTION("""COMPUTED_VALUE"""),6)</f>
        <v>6</v>
      </c>
      <c r="BZ489" s="1">
        <f ca="1">IFERROR(__xludf.DUMMYFUNCTION("""COMPUTED_VALUE"""),1)</f>
        <v>1</v>
      </c>
      <c r="CA489" s="1"/>
      <c r="CB489" s="1"/>
      <c r="CC489" s="1" t="str">
        <f ca="1">IFERROR(__xludf.DUMMYFUNCTION("""COMPUTED_VALUE"""),"प्रतिभा परिष्कार बनाम युग परिवर्तन : Rare Book")</f>
        <v>प्रतिभा परिष्कार बनाम युग परिवर्तन : Rare Book</v>
      </c>
      <c r="CD489" s="3" t="str">
        <f ca="1">IFERROR(__xludf.DUMMYFUNCTION("""COMPUTED_VALUE"""),"https://vicharkrantibooks.org/productdetail?book_name=HINP0675_PRATIBHA_PARISHKAR_BANAM_YUG_PARIVARTAN_xxyyyy&amp;product_id=1240")</f>
        <v>https://vicharkrantibooks.org/productdetail?book_name=HINP0675_PRATIBHA_PARISHKAR_BANAM_YUG_PARIVARTAN_xxyyyy&amp;product_id=1240</v>
      </c>
      <c r="CE489" s="1" t="str">
        <f ca="1">IFERROR(__xludf.DUMMYFUNCTION("""COMPUTED_VALUE"""),"Audiobook : प्रतिभा परिष्कार बनाम युग परिवर्तन : Rare Book : sharmabhavna33@gmail.com : Recorded")</f>
        <v>Audiobook : प्रतिभा परिष्कार बनाम युग परिवर्तन : Rare Book : sharmabhavna33@gmail.com : Recorded</v>
      </c>
      <c r="CF489" s="1" t="str">
        <f ca="1">IFERROR(__xludf.DUMMYFUNCTION("""COMPUTED_VALUE"""),"#N/A")</f>
        <v>#N/A</v>
      </c>
      <c r="CG489" s="1" t="str">
        <f ca="1">IFERROR(__xludf.DUMMYFUNCTION("""COMPUTED_VALUE"""),"Adarniya Bhawana Parashar ji प्रतिभा परिष्कार बनाम युग परिवर्तन : Rare Book : Allocated on 25-Jan-24 Contact Number  9826248427")</f>
        <v>Adarniya Bhawana Parashar ji प्रतिभा परिष्कार बनाम युग परिवर्तन : Rare Book : Allocated on 25-Jan-24 Contact Number  9826248427</v>
      </c>
      <c r="CH489" s="1" t="str">
        <f ca="1">IFERROR(__xludf.DUMMYFUNCTION("""COMPUTED_VALUE"""),"sharmabhavna33@gmail.com : प्रतिभा परिष्कार बनाम युग परिवर्तन : Rare Book")</f>
        <v>sharmabhavna33@gmail.com : प्रतिभा परिष्कार बनाम युग परिवर्तन : Rare Book</v>
      </c>
      <c r="CI489" s="5">
        <f ca="1">IFERROR(__xludf.DUMMYFUNCTION("""COMPUTED_VALUE"""),45316.6709217245)</f>
        <v>45316.670921724501</v>
      </c>
    </row>
    <row r="490" spans="1:87" x14ac:dyDescent="0.25">
      <c r="A490" s="5">
        <f ca="1">IFERROR(__xludf.DUMMYFUNCTION("""COMPUTED_VALUE"""),45315.9830641203)</f>
        <v>45315.983064120301</v>
      </c>
      <c r="B490" s="1" t="str">
        <f ca="1">IFERROR(__xludf.DUMMYFUNCTION("""COMPUTED_VALUE"""),"druma4107@gmail.com")</f>
        <v>druma4107@gmail.com</v>
      </c>
      <c r="C490" s="1" t="str">
        <f ca="1">IFERROR(__xludf.DUMMYFUNCTION("""COMPUTED_VALUE"""),"Dr Uma Agrawal")</f>
        <v>Dr Uma Agrawal</v>
      </c>
      <c r="D490" s="1">
        <f ca="1">IFERROR(__xludf.DUMMYFUNCTION("""COMPUTED_VALUE"""),9410861182)</f>
        <v>9410861182</v>
      </c>
      <c r="E490" s="1" t="str">
        <f ca="1">IFERROR(__xludf.DUMMYFUNCTION("""COMPUTED_VALUE"""),"Yes")</f>
        <v>Yes</v>
      </c>
      <c r="F490" s="1" t="str">
        <f ca="1">IFERROR(__xludf.DUMMYFUNCTION("""COMPUTED_VALUE"""),"हिन्दी")</f>
        <v>हिन्दी</v>
      </c>
      <c r="G490" s="1" t="str">
        <f ca="1">IFERROR(__xludf.DUMMYFUNCTION("""COMPUTED_VALUE"""),"राष्ट्र निर्माण")</f>
        <v>राष्ट्र निर्माण</v>
      </c>
      <c r="H490" s="1"/>
      <c r="I490" s="1"/>
      <c r="J490" s="1"/>
      <c r="K490" s="1"/>
      <c r="L490" s="1"/>
      <c r="M490" s="1"/>
      <c r="N490" s="1"/>
      <c r="O490" s="1"/>
      <c r="P490" s="1"/>
      <c r="Q490" s="1"/>
      <c r="R490" s="1" t="str">
        <f ca="1">IFERROR(__xludf.DUMMYFUNCTION("""COMPUTED_VALUE"""),"राष्ट्र निर्माण")</f>
        <v>राष्ट्र निर्माण</v>
      </c>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f ca="1">IFERROR(__xludf.DUMMYFUNCTION("""COMPUTED_VALUE"""),104)</f>
        <v>104</v>
      </c>
      <c r="BX490" s="1">
        <f ca="1">IFERROR(__xludf.DUMMYFUNCTION("""COMPUTED_VALUE"""),106)</f>
        <v>106</v>
      </c>
      <c r="BY490" s="1">
        <f ca="1">IFERROR(__xludf.DUMMYFUNCTION("""COMPUTED_VALUE"""),9)</f>
        <v>9</v>
      </c>
      <c r="BZ490" s="1">
        <f ca="1">IFERROR(__xludf.DUMMYFUNCTION("""COMPUTED_VALUE"""),43)</f>
        <v>43</v>
      </c>
      <c r="CA490" s="1"/>
      <c r="CB490" s="1"/>
      <c r="CC490" s="1" t="str">
        <f ca="1">IFERROR(__xludf.DUMMYFUNCTION("""COMPUTED_VALUE"""),"आजीविका के स्त्रोत देहात में खोजें : Rare Book")</f>
        <v>आजीविका के स्त्रोत देहात में खोजें : Rare Book</v>
      </c>
      <c r="CD490" s="3" t="str">
        <f ca="1">IFERROR(__xludf.DUMMYFUNCTION("""COMPUTED_VALUE"""),"https://vicharkrantibooks.org/productdetail?book_name=HINF0025_AJIVIKA_KE_STROT_DEHAT_MEIN_KHOJEN_xxyyyy&amp;product_id=245")</f>
        <v>https://vicharkrantibooks.org/productdetail?book_name=HINF0025_AJIVIKA_KE_STROT_DEHAT_MEIN_KHOJEN_xxyyyy&amp;product_id=245</v>
      </c>
      <c r="CE490" s="1" t="str">
        <f ca="1">IFERROR(__xludf.DUMMYFUNCTION("""COMPUTED_VALUE"""),"Audiobook : आजीविका के स्त्रोत देहात में खोजें : Rare Book : druma4107@gmail.com : Recorded")</f>
        <v>Audiobook : आजीविका के स्त्रोत देहात में खोजें : Rare Book : druma4107@gmail.com : Recorded</v>
      </c>
      <c r="CF490" s="1" t="str">
        <f ca="1">IFERROR(__xludf.DUMMYFUNCTION("""COMPUTED_VALUE"""),"Audiobook : आजीविका के स्त्रोत देहात में खोजें : Rare Book : druma4107@gmail.com : Recorded")</f>
        <v>Audiobook : आजीविका के स्त्रोत देहात में खोजें : Rare Book : druma4107@gmail.com : Recorded</v>
      </c>
      <c r="CG490" s="1" t="str">
        <f ca="1">IFERROR(__xludf.DUMMYFUNCTION("""COMPUTED_VALUE"""),"Adarniya Dr Uma Agrawal ji आजीविका के स्त्रोत देहात में खोजें : Rare Book : Allocated on 24-Jan-24 Contact Number  9410861182")</f>
        <v>Adarniya Dr Uma Agrawal ji आजीविका के स्त्रोत देहात में खोजें : Rare Book : Allocated on 24-Jan-24 Contact Number  9410861182</v>
      </c>
      <c r="CH490" s="1" t="str">
        <f ca="1">IFERROR(__xludf.DUMMYFUNCTION("""COMPUTED_VALUE"""),"druma4107@gmail.com : आजीविका के स्त्रोत देहात में खोजें : Rare Book")</f>
        <v>druma4107@gmail.com : आजीविका के स्त्रोत देहात में खोजें : Rare Book</v>
      </c>
      <c r="CI490" s="5">
        <f ca="1">IFERROR(__xludf.DUMMYFUNCTION("""COMPUTED_VALUE"""),45315.9830641203)</f>
        <v>45315.983064120301</v>
      </c>
    </row>
    <row r="491" spans="1:87" x14ac:dyDescent="0.25">
      <c r="A491" s="5">
        <f ca="1">IFERROR(__xludf.DUMMYFUNCTION("""COMPUTED_VALUE"""),45315.7811469675)</f>
        <v>45315.7811469675</v>
      </c>
      <c r="B491" s="1" t="str">
        <f ca="1">IFERROR(__xludf.DUMMYFUNCTION("""COMPUTED_VALUE"""),"amrita_dube@yahoo.com")</f>
        <v>amrita_dube@yahoo.com</v>
      </c>
      <c r="C491" s="1"/>
      <c r="D491" s="1">
        <f ca="1">IFERROR(__xludf.DUMMYFUNCTION("""COMPUTED_VALUE"""),8767202225)</f>
        <v>8767202225</v>
      </c>
      <c r="E491" s="1" t="str">
        <f ca="1">IFERROR(__xludf.DUMMYFUNCTION("""COMPUTED_VALUE"""),"No")</f>
        <v>No</v>
      </c>
      <c r="F491" s="1" t="str">
        <f ca="1">IFERROR(__xludf.DUMMYFUNCTION("""COMPUTED_VALUE"""),"English")</f>
        <v>English</v>
      </c>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f ca="1">IFERROR(__xludf.DUMMYFUNCTION("""COMPUTED_VALUE"""),17)</f>
        <v>17</v>
      </c>
      <c r="BX491" s="1">
        <f ca="1">IFERROR(__xludf.DUMMYFUNCTION("""COMPUTED_VALUE"""),14)</f>
        <v>14</v>
      </c>
      <c r="BY491" s="1">
        <f ca="1">IFERROR(__xludf.DUMMYFUNCTION("""COMPUTED_VALUE"""),6)</f>
        <v>6</v>
      </c>
      <c r="BZ491" s="1">
        <f ca="1">IFERROR(__xludf.DUMMYFUNCTION("""COMPUTED_VALUE"""),5)</f>
        <v>5</v>
      </c>
      <c r="CA491" s="1"/>
      <c r="CB491" s="1"/>
      <c r="CC491" s="1" t="str">
        <f ca="1">IFERROR(__xludf.DUMMYFUNCTION("""COMPUTED_VALUE"""),"Determination Paves The Way To Success : EP_123")</f>
        <v>Determination Paves The Way To Success : EP_123</v>
      </c>
      <c r="CD491" s="3" t="str">
        <f ca="1">IFERROR(__xludf.DUMMYFUNCTION("""COMPUTED_VALUE"""),"https://vicharkrantibooks.org/productdetail?book_name=ENGP0810_DETERMINATION_PAVES_THE_WAY_TO_SUCCESS_xxyyyy&amp;product_id=3508")</f>
        <v>https://vicharkrantibooks.org/productdetail?book_name=ENGP0810_DETERMINATION_PAVES_THE_WAY_TO_SUCCESS_xxyyyy&amp;product_id=3508</v>
      </c>
      <c r="CE491" s="1" t="str">
        <f ca="1">IFERROR(__xludf.DUMMYFUNCTION("""COMPUTED_VALUE"""),"Audiobook : Determination Paves The Way To Success : EP_123 : amrita_dube@yahoo.com : Recorded")</f>
        <v>Audiobook : Determination Paves The Way To Success : EP_123 : amrita_dube@yahoo.com : Recorded</v>
      </c>
      <c r="CF491" s="1" t="str">
        <f ca="1">IFERROR(__xludf.DUMMYFUNCTION("""COMPUTED_VALUE"""),"#N/A")</f>
        <v>#N/A</v>
      </c>
      <c r="CG491" s="1" t="str">
        <f ca="1">IFERROR(__xludf.DUMMYFUNCTION("""COMPUTED_VALUE"""),"Adarniya  ji Determination Paves The Way To Success : EP_123 : Allocated on 24-Jan-24 Contact Number  8767202225")</f>
        <v>Adarniya  ji Determination Paves The Way To Success : EP_123 : Allocated on 24-Jan-24 Contact Number  8767202225</v>
      </c>
      <c r="CH491" s="1" t="str">
        <f ca="1">IFERROR(__xludf.DUMMYFUNCTION("""COMPUTED_VALUE"""),"amrita_dube@yahoo.com : Determination Paves The Way To Success : EP_123")</f>
        <v>amrita_dube@yahoo.com : Determination Paves The Way To Success : EP_123</v>
      </c>
      <c r="CI491" s="5">
        <f ca="1">IFERROR(__xludf.DUMMYFUNCTION("""COMPUTED_VALUE"""),45315.7811469675)</f>
        <v>45315.7811469675</v>
      </c>
    </row>
    <row r="492" spans="1:87" x14ac:dyDescent="0.25">
      <c r="A492" s="5">
        <f ca="1">IFERROR(__xludf.DUMMYFUNCTION("""COMPUTED_VALUE"""),45315.6623191203)</f>
        <v>45315.662319120303</v>
      </c>
      <c r="B492" s="1" t="str">
        <f ca="1">IFERROR(__xludf.DUMMYFUNCTION("""COMPUTED_VALUE"""),"suryakriti18@gmail.com")</f>
        <v>suryakriti18@gmail.com</v>
      </c>
      <c r="C492" s="1" t="str">
        <f ca="1">IFERROR(__xludf.DUMMYFUNCTION("""COMPUTED_VALUE"""),"SANJEEV KUMAR")</f>
        <v>SANJEEV KUMAR</v>
      </c>
      <c r="D492" s="1">
        <f ca="1">IFERROR(__xludf.DUMMYFUNCTION("""COMPUTED_VALUE"""),9873714108)</f>
        <v>9873714108</v>
      </c>
      <c r="E492" s="1" t="str">
        <f ca="1">IFERROR(__xludf.DUMMYFUNCTION("""COMPUTED_VALUE"""),"Yes")</f>
        <v>Yes</v>
      </c>
      <c r="F492" s="1" t="str">
        <f ca="1">IFERROR(__xludf.DUMMYFUNCTION("""COMPUTED_VALUE"""),"हिन्दी")</f>
        <v>हिन्दी</v>
      </c>
      <c r="G492" s="1" t="str">
        <f ca="1">IFERROR(__xludf.DUMMYFUNCTION("""COMPUTED_VALUE"""),"व्यक्ति निर्माण, युवा/विद्यार्थी एवं शिक्षक")</f>
        <v>व्यक्ति निर्माण, युवा/विद्यार्थी एवं शिक्षक</v>
      </c>
      <c r="H492" s="1"/>
      <c r="I492" s="1"/>
      <c r="J492" s="1"/>
      <c r="K492" s="1"/>
      <c r="L492" s="1"/>
      <c r="M492" s="1"/>
      <c r="N492" s="1"/>
      <c r="O492" s="1"/>
      <c r="P492" s="1"/>
      <c r="Q492" s="1"/>
      <c r="R492" s="1"/>
      <c r="S492" s="1"/>
      <c r="T492" s="1" t="str">
        <f ca="1">IFERROR(__xludf.DUMMYFUNCTION("""COMPUTED_VALUE"""),"विद्यार्थी एवं शिक्षक")</f>
        <v>विद्यार्थी एवं शिक्षक</v>
      </c>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f ca="1">IFERROR(__xludf.DUMMYFUNCTION("""COMPUTED_VALUE"""),4)</f>
        <v>4</v>
      </c>
      <c r="BX492" s="1">
        <f ca="1">IFERROR(__xludf.DUMMYFUNCTION("""COMPUTED_VALUE"""),1)</f>
        <v>1</v>
      </c>
      <c r="BY492" s="1">
        <f ca="1">IFERROR(__xludf.DUMMYFUNCTION("""COMPUTED_VALUE"""),3)</f>
        <v>3</v>
      </c>
      <c r="BZ492" s="1">
        <f ca="1">IFERROR(__xludf.DUMMYFUNCTION("""COMPUTED_VALUE"""),0)</f>
        <v>0</v>
      </c>
      <c r="CA492" s="1"/>
      <c r="CB492" s="1"/>
      <c r="CC492" s="1" t="str">
        <f ca="1">IFERROR(__xludf.DUMMYFUNCTION("""COMPUTED_VALUE"""),"अहंकार छोड़ें विनम्र बनें : Rare Book")</f>
        <v>अहंकार छोड़ें विनम्र बनें : Rare Book</v>
      </c>
      <c r="CD492" s="3" t="str">
        <f ca="1">IFERROR(__xludf.DUMMYFUNCTION("""COMPUTED_VALUE"""),"https://vicharkrantibooks.org/productdetail?book_name=HINP0031_AHANKAR_CHHODEN_VINAMR_BANEN_xxyyyy&amp;product_id=596")</f>
        <v>https://vicharkrantibooks.org/productdetail?book_name=HINP0031_AHANKAR_CHHODEN_VINAMR_BANEN_xxyyyy&amp;product_id=596</v>
      </c>
      <c r="CE492" s="1" t="str">
        <f ca="1">IFERROR(__xludf.DUMMYFUNCTION("""COMPUTED_VALUE"""),"Audiobook : अहंकार छोड़ें विनम्र बनें : Rare Book : suryakriti18@gmail.com : Recorded")</f>
        <v>Audiobook : अहंकार छोड़ें विनम्र बनें : Rare Book : suryakriti18@gmail.com : Recorded</v>
      </c>
      <c r="CF492" s="1" t="str">
        <f ca="1">IFERROR(__xludf.DUMMYFUNCTION("""COMPUTED_VALUE"""),"#N/A")</f>
        <v>#N/A</v>
      </c>
      <c r="CG492" s="1" t="str">
        <f ca="1">IFERROR(__xludf.DUMMYFUNCTION("""COMPUTED_VALUE"""),"Adarniya SANJEEV KUMAR ji अहंकार छोड़ें विनम्र बनें : Rare Book : Allocated on 24-Jan-24 Contact Number  9873714108")</f>
        <v>Adarniya SANJEEV KUMAR ji अहंकार छोड़ें विनम्र बनें : Rare Book : Allocated on 24-Jan-24 Contact Number  9873714108</v>
      </c>
      <c r="CH492" s="1" t="str">
        <f ca="1">IFERROR(__xludf.DUMMYFUNCTION("""COMPUTED_VALUE"""),"suryakriti18@gmail.com : अहंकार छोड़ें विनम्र बनें : Rare Book")</f>
        <v>suryakriti18@gmail.com : अहंकार छोड़ें विनम्र बनें : Rare Book</v>
      </c>
      <c r="CI492" s="5">
        <f ca="1">IFERROR(__xludf.DUMMYFUNCTION("""COMPUTED_VALUE"""),45315.6623191203)</f>
        <v>45315.662319120303</v>
      </c>
    </row>
    <row r="493" spans="1:87" x14ac:dyDescent="0.25">
      <c r="A493" s="5">
        <f ca="1">IFERROR(__xludf.DUMMYFUNCTION("""COMPUTED_VALUE"""),45314.6202273263)</f>
        <v>45314.620227326297</v>
      </c>
      <c r="B493" s="1" t="str">
        <f ca="1">IFERROR(__xludf.DUMMYFUNCTION("""COMPUTED_VALUE"""),"shivangijyoti@gmail.com")</f>
        <v>shivangijyoti@gmail.com</v>
      </c>
      <c r="C493" s="1" t="str">
        <f ca="1">IFERROR(__xludf.DUMMYFUNCTION("""COMPUTED_VALUE"""),"Jyoti Shrivastava ")</f>
        <v xml:space="preserve">Jyoti Shrivastava </v>
      </c>
      <c r="D493" s="1">
        <f ca="1">IFERROR(__xludf.DUMMYFUNCTION("""COMPUTED_VALUE"""),9406759903)</f>
        <v>9406759903</v>
      </c>
      <c r="E493" s="1" t="str">
        <f ca="1">IFERROR(__xludf.DUMMYFUNCTION("""COMPUTED_VALUE"""),"Yes")</f>
        <v>Yes</v>
      </c>
      <c r="F493" s="1" t="str">
        <f ca="1">IFERROR(__xludf.DUMMYFUNCTION("""COMPUTED_VALUE"""),"हिन्दी")</f>
        <v>हिन्दी</v>
      </c>
      <c r="G493" s="1" t="str">
        <f ca="1">IFERROR(__xludf.DUMMYFUNCTION("""COMPUTED_VALUE"""),"युग द्रष्टा पं. श्रीराम शर्मा आचार्यजी")</f>
        <v>युग द्रष्टा पं. श्रीराम शर्मा आचार्यजी</v>
      </c>
      <c r="H493" s="1"/>
      <c r="I493" s="1"/>
      <c r="J493" s="1"/>
      <c r="K493" s="1"/>
      <c r="L493" s="1"/>
      <c r="M493" s="1"/>
      <c r="N493" s="1"/>
      <c r="O493" s="1"/>
      <c r="P493" s="1" t="str">
        <f ca="1">IFERROR(__xludf.DUMMYFUNCTION("""COMPUTED_VALUE"""),"युगॠषी की अमृतवाणी")</f>
        <v>युगॠषी की अमृतवाणी</v>
      </c>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f ca="1">IFERROR(__xludf.DUMMYFUNCTION("""COMPUTED_VALUE"""),6)</f>
        <v>6</v>
      </c>
      <c r="BX493" s="1">
        <f ca="1">IFERROR(__xludf.DUMMYFUNCTION("""COMPUTED_VALUE"""),1)</f>
        <v>1</v>
      </c>
      <c r="BY493" s="1">
        <f ca="1">IFERROR(__xludf.DUMMYFUNCTION("""COMPUTED_VALUE"""),5)</f>
        <v>5</v>
      </c>
      <c r="BZ493" s="1">
        <f ca="1">IFERROR(__xludf.DUMMYFUNCTION("""COMPUTED_VALUE"""),0)</f>
        <v>0</v>
      </c>
      <c r="CA493" s="1"/>
      <c r="CB493" s="1"/>
      <c r="CC493" s="1" t="str">
        <f ca="1">IFERROR(__xludf.DUMMYFUNCTION("""COMPUTED_VALUE"""),"अचिन्त्य चिन्तन से मनोबल न गंवायें : Rare Book")</f>
        <v>अचिन्त्य चिन्तन से मनोबल न गंवायें : Rare Book</v>
      </c>
      <c r="CD493" s="3" t="str">
        <f ca="1">IFERROR(__xludf.DUMMYFUNCTION("""COMPUTED_VALUE"""),"https://vicharkrantibooks.org/productdetail?book_name=HINF0002_ACHINTY_CHINTAN_SE_MANOBAL_NA_GAVAYEN_xxyyyy&amp;product_id=222")</f>
        <v>https://vicharkrantibooks.org/productdetail?book_name=HINF0002_ACHINTY_CHINTAN_SE_MANOBAL_NA_GAVAYEN_xxyyyy&amp;product_id=222</v>
      </c>
      <c r="CE493" s="1" t="str">
        <f ca="1">IFERROR(__xludf.DUMMYFUNCTION("""COMPUTED_VALUE"""),"Audiobook : अचिन्त्य चिन्तन से मनोबल न गंवायें : Rare Book : shivangijyoti@gmail.com : Recorded")</f>
        <v>Audiobook : अचिन्त्य चिन्तन से मनोबल न गंवायें : Rare Book : shivangijyoti@gmail.com : Recorded</v>
      </c>
      <c r="CF493" s="1" t="str">
        <f ca="1">IFERROR(__xludf.DUMMYFUNCTION("""COMPUTED_VALUE"""),"#N/A")</f>
        <v>#N/A</v>
      </c>
      <c r="CG493" s="1" t="str">
        <f ca="1">IFERROR(__xludf.DUMMYFUNCTION("""COMPUTED_VALUE"""),"Adarniya Jyoti Shrivastava  ji अचिन्त्य चिन्तन से मनोबल न गंवायें : Rare Book : Allocated on 23-Jan-24 Contact Number  9406759903")</f>
        <v>Adarniya Jyoti Shrivastava  ji अचिन्त्य चिन्तन से मनोबल न गंवायें : Rare Book : Allocated on 23-Jan-24 Contact Number  9406759903</v>
      </c>
      <c r="CH493" s="1" t="str">
        <f ca="1">IFERROR(__xludf.DUMMYFUNCTION("""COMPUTED_VALUE"""),"shivangijyoti@gmail.com : अचिन्त्य चिन्तन से मनोबल न गंवायें : Rare Book")</f>
        <v>shivangijyoti@gmail.com : अचिन्त्य चिन्तन से मनोबल न गंवायें : Rare Book</v>
      </c>
      <c r="CI493" s="5">
        <f ca="1">IFERROR(__xludf.DUMMYFUNCTION("""COMPUTED_VALUE"""),45314.6202273263)</f>
        <v>45314.620227326297</v>
      </c>
    </row>
    <row r="494" spans="1:87" x14ac:dyDescent="0.25">
      <c r="A494" s="5">
        <f ca="1">IFERROR(__xludf.DUMMYFUNCTION("""COMPUTED_VALUE"""),45312.4203608101)</f>
        <v>45312.420360810102</v>
      </c>
      <c r="B494" s="1" t="str">
        <f ca="1">IFERROR(__xludf.DUMMYFUNCTION("""COMPUTED_VALUE"""),"anshtraders19@gmail.com")</f>
        <v>anshtraders19@gmail.com</v>
      </c>
      <c r="C494" s="1" t="str">
        <f ca="1">IFERROR(__xludf.DUMMYFUNCTION("""COMPUTED_VALUE"""),"Anshu")</f>
        <v>Anshu</v>
      </c>
      <c r="D494" s="1">
        <f ca="1">IFERROR(__xludf.DUMMYFUNCTION("""COMPUTED_VALUE"""),8700767356)</f>
        <v>8700767356</v>
      </c>
      <c r="E494" s="1" t="str">
        <f ca="1">IFERROR(__xludf.DUMMYFUNCTION("""COMPUTED_VALUE"""),"Yes")</f>
        <v>Yes</v>
      </c>
      <c r="F494" s="1" t="str">
        <f ca="1">IFERROR(__xludf.DUMMYFUNCTION("""COMPUTED_VALUE"""),"हिन्दी")</f>
        <v>हिन्दी</v>
      </c>
      <c r="G494" s="1" t="str">
        <f ca="1">IFERROR(__xludf.DUMMYFUNCTION("""COMPUTED_VALUE"""),"युग द्रष्टा पं. श्रीराम शर्मा आचार्यजी")</f>
        <v>युग द्रष्टा पं. श्रीराम शर्मा आचार्यजी</v>
      </c>
      <c r="H494" s="1"/>
      <c r="I494" s="1"/>
      <c r="J494" s="1"/>
      <c r="K494" s="1"/>
      <c r="L494" s="1"/>
      <c r="M494" s="1"/>
      <c r="N494" s="1"/>
      <c r="O494" s="1"/>
      <c r="P494" s="1" t="str">
        <f ca="1">IFERROR(__xludf.DUMMYFUNCTION("""COMPUTED_VALUE"""),"युगॠषी की अमृतवाणी")</f>
        <v>युगॠषी की अमृतवाणी</v>
      </c>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f ca="1">IFERROR(__xludf.DUMMYFUNCTION("""COMPUTED_VALUE"""),3)</f>
        <v>3</v>
      </c>
      <c r="BX494" s="1">
        <f ca="1">IFERROR(__xludf.DUMMYFUNCTION("""COMPUTED_VALUE"""),1)</f>
        <v>1</v>
      </c>
      <c r="BY494" s="1">
        <f ca="1">IFERROR(__xludf.DUMMYFUNCTION("""COMPUTED_VALUE"""),3)</f>
        <v>3</v>
      </c>
      <c r="BZ494" s="1">
        <f ca="1">IFERROR(__xludf.DUMMYFUNCTION("""COMPUTED_VALUE"""),1)</f>
        <v>1</v>
      </c>
      <c r="CA494" s="1"/>
      <c r="CB494" s="1"/>
      <c r="CC494" s="1" t="str">
        <f ca="1">IFERROR(__xludf.DUMMYFUNCTION("""COMPUTED_VALUE"""),"भगवान बुद्ध का उत्तरार्ध प्राज्ञाअवतार (पॉकेट) : H_SJ_77")</f>
        <v>भगवान बुद्ध का उत्तरार्ध प्राज्ञाअवतार (पॉकेट) : H_SJ_77</v>
      </c>
      <c r="CD494" s="3" t="str">
        <f ca="1">IFERROR(__xludf.DUMMYFUNCTION("""COMPUTED_VALUE"""),"https://vicharkrantibooks.org/productdetail?book_name=HINP0136_BHAGAVAN_BUDDH_KA_UTTARARDDH_PRAGYAVATAR_(POCKET)_xxyyyy&amp;product_id=701")</f>
        <v>https://vicharkrantibooks.org/productdetail?book_name=HINP0136_BHAGAVAN_BUDDH_KA_UTTARARDDH_PRAGYAVATAR_(POCKET)_xxyyyy&amp;product_id=701</v>
      </c>
      <c r="CE494" s="1" t="str">
        <f ca="1">IFERROR(__xludf.DUMMYFUNCTION("""COMPUTED_VALUE"""),"Audiobook : भगवान बुद्ध का उत्तरार्ध प्राज्ञाअवतार (पॉकेट) : H_SJ_77 : anshtraders19@gmail.com : Recorded")</f>
        <v>Audiobook : भगवान बुद्ध का उत्तरार्ध प्राज्ञाअवतार (पॉकेट) : H_SJ_77 : anshtraders19@gmail.com : Recorded</v>
      </c>
      <c r="CF494" s="1" t="str">
        <f ca="1">IFERROR(__xludf.DUMMYFUNCTION("""COMPUTED_VALUE"""),"#N/A")</f>
        <v>#N/A</v>
      </c>
      <c r="CG494" s="1" t="str">
        <f ca="1">IFERROR(__xludf.DUMMYFUNCTION("""COMPUTED_VALUE"""),"Adarniya Anshu ji भगवान बुद्ध का उत्तरार्ध प्राज्ञाअवतार (पॉकेट) : H_SJ_77 : Allocated on 21-Jan-24 Contact Number  8700767356")</f>
        <v>Adarniya Anshu ji भगवान बुद्ध का उत्तरार्ध प्राज्ञाअवतार (पॉकेट) : H_SJ_77 : Allocated on 21-Jan-24 Contact Number  8700767356</v>
      </c>
      <c r="CH494" s="1" t="str">
        <f ca="1">IFERROR(__xludf.DUMMYFUNCTION("""COMPUTED_VALUE"""),"anshtraders19@gmail.com : भगवान बुद्ध का उत्तरार्ध प्राज्ञाअवतार (पॉकेट) : H_SJ_77")</f>
        <v>anshtraders19@gmail.com : भगवान बुद्ध का उत्तरार्ध प्राज्ञाअवतार (पॉकेट) : H_SJ_77</v>
      </c>
      <c r="CI494" s="5">
        <f ca="1">IFERROR(__xludf.DUMMYFUNCTION("""COMPUTED_VALUE"""),45312.4203608101)</f>
        <v>45312.420360810102</v>
      </c>
    </row>
    <row r="495" spans="1:87" x14ac:dyDescent="0.25">
      <c r="A495" s="5">
        <f ca="1">IFERROR(__xludf.DUMMYFUNCTION("""COMPUTED_VALUE"""),45312.402507199)</f>
        <v>45312.402507199004</v>
      </c>
      <c r="B495" s="1" t="str">
        <f ca="1">IFERROR(__xludf.DUMMYFUNCTION("""COMPUTED_VALUE"""),"druma4107@gmail.com")</f>
        <v>druma4107@gmail.com</v>
      </c>
      <c r="C495" s="1" t="str">
        <f ca="1">IFERROR(__xludf.DUMMYFUNCTION("""COMPUTED_VALUE"""),"Dr Uma Agrawal")</f>
        <v>Dr Uma Agrawal</v>
      </c>
      <c r="D495" s="1">
        <f ca="1">IFERROR(__xludf.DUMMYFUNCTION("""COMPUTED_VALUE"""),9410861182)</f>
        <v>9410861182</v>
      </c>
      <c r="E495" s="1" t="str">
        <f ca="1">IFERROR(__xludf.DUMMYFUNCTION("""COMPUTED_VALUE"""),"Yes")</f>
        <v>Yes</v>
      </c>
      <c r="F495" s="1" t="str">
        <f ca="1">IFERROR(__xludf.DUMMYFUNCTION("""COMPUTED_VALUE"""),"हिन्दी")</f>
        <v>हिन्दी</v>
      </c>
      <c r="G495" s="1" t="str">
        <f ca="1">IFERROR(__xludf.DUMMYFUNCTION("""COMPUTED_VALUE"""),"युग द्रष्टा पं. श्रीराम शर्मा आचार्यजी")</f>
        <v>युग द्रष्टा पं. श्रीराम शर्मा आचार्यजी</v>
      </c>
      <c r="H495" s="1"/>
      <c r="I495" s="1"/>
      <c r="J495" s="1"/>
      <c r="K495" s="1"/>
      <c r="L495" s="1"/>
      <c r="M495" s="1"/>
      <c r="N495" s="1"/>
      <c r="O495" s="1"/>
      <c r="P495" s="1" t="str">
        <f ca="1">IFERROR(__xludf.DUMMYFUNCTION("""COMPUTED_VALUE"""),"युगॠषी की अमृतवाणी")</f>
        <v>युगॠषी की अमृतवाणी</v>
      </c>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f ca="1">IFERROR(__xludf.DUMMYFUNCTION("""COMPUTED_VALUE"""),104)</f>
        <v>104</v>
      </c>
      <c r="BX495" s="1">
        <f ca="1">IFERROR(__xludf.DUMMYFUNCTION("""COMPUTED_VALUE"""),106)</f>
        <v>106</v>
      </c>
      <c r="BY495" s="1">
        <f ca="1">IFERROR(__xludf.DUMMYFUNCTION("""COMPUTED_VALUE"""),9)</f>
        <v>9</v>
      </c>
      <c r="BZ495" s="1">
        <f ca="1">IFERROR(__xludf.DUMMYFUNCTION("""COMPUTED_VALUE"""),43)</f>
        <v>43</v>
      </c>
      <c r="CA495" s="1"/>
      <c r="CB495" s="1"/>
      <c r="CC495" s="1" t="str">
        <f ca="1">IFERROR(__xludf.DUMMYFUNCTION("""COMPUTED_VALUE"""),"अंतरग्रहिय परिस्थितियों के पर्यवेक्षण की वेधशाला : Rare Book")</f>
        <v>अंतरग्रहिय परिस्थितियों के पर्यवेक्षण की वेधशाला : Rare Book</v>
      </c>
      <c r="CD495" s="3" t="str">
        <f ca="1">IFERROR(__xludf.DUMMYFUNCTION("""COMPUTED_VALUE"""),"https://vicharkrantibooks.org/productdetail?book_name=HINF0027_ANTARAGRAHIY_PARISTHITIYON_KE_PARYAVEKSHAN_KI_VEDHASHALA_xxyyyy&amp;product_id=247")</f>
        <v>https://vicharkrantibooks.org/productdetail?book_name=HINF0027_ANTARAGRAHIY_PARISTHITIYON_KE_PARYAVEKSHAN_KI_VEDHASHALA_xxyyyy&amp;product_id=247</v>
      </c>
      <c r="CE495" s="1" t="str">
        <f ca="1">IFERROR(__xludf.DUMMYFUNCTION("""COMPUTED_VALUE"""),"Audiobook : अंतरग्रहिय परिस्थितियों के पर्यवेक्षण की वेधशाला : Rare Book : druma4107@gmail.com : Recorded")</f>
        <v>Audiobook : अंतरग्रहिय परिस्थितियों के पर्यवेक्षण की वेधशाला : Rare Book : druma4107@gmail.com : Recorded</v>
      </c>
      <c r="CF495" s="1" t="str">
        <f ca="1">IFERROR(__xludf.DUMMYFUNCTION("""COMPUTED_VALUE"""),"Audiobook : अंतरग्रहिय परिस्थितियों के पर्यवेक्षण की वेधशाला : Rare Book : druma4107@gmail.com : Recorded")</f>
        <v>Audiobook : अंतरग्रहिय परिस्थितियों के पर्यवेक्षण की वेधशाला : Rare Book : druma4107@gmail.com : Recorded</v>
      </c>
      <c r="CG495" s="1" t="str">
        <f ca="1">IFERROR(__xludf.DUMMYFUNCTION("""COMPUTED_VALUE"""),"Adarniya Dr Uma Agrawal ji अंतरग्रहिय परिस्थितियों के पर्यवेक्षण की वेधशाला : Rare Book : Allocated on 21-Jan-24 Contact Number  9410861182")</f>
        <v>Adarniya Dr Uma Agrawal ji अंतरग्रहिय परिस्थितियों के पर्यवेक्षण की वेधशाला : Rare Book : Allocated on 21-Jan-24 Contact Number  9410861182</v>
      </c>
      <c r="CH495" s="1" t="str">
        <f ca="1">IFERROR(__xludf.DUMMYFUNCTION("""COMPUTED_VALUE"""),"druma4107@gmail.com : अंतरग्रहिय परिस्थितियों के पर्यवेक्षण की वेधशाला : Rare Book")</f>
        <v>druma4107@gmail.com : अंतरग्रहिय परिस्थितियों के पर्यवेक्षण की वेधशाला : Rare Book</v>
      </c>
      <c r="CI495" s="5">
        <f ca="1">IFERROR(__xludf.DUMMYFUNCTION("""COMPUTED_VALUE"""),45312.402507199)</f>
        <v>45312.402507199004</v>
      </c>
    </row>
    <row r="496" spans="1:87" x14ac:dyDescent="0.25">
      <c r="A496" s="5">
        <f ca="1">IFERROR(__xludf.DUMMYFUNCTION("""COMPUTED_VALUE"""),45311.9730890393)</f>
        <v>45311.973089039297</v>
      </c>
      <c r="B496" s="1" t="str">
        <f ca="1">IFERROR(__xludf.DUMMYFUNCTION("""COMPUTED_VALUE"""),"anu161965@gmail.com")</f>
        <v>anu161965@gmail.com</v>
      </c>
      <c r="C496" s="1" t="str">
        <f ca="1">IFERROR(__xludf.DUMMYFUNCTION("""COMPUTED_VALUE"""),"Anureeta awadh ")</f>
        <v xml:space="preserve">Anureeta awadh </v>
      </c>
      <c r="D496" s="1">
        <f ca="1">IFERROR(__xludf.DUMMYFUNCTION("""COMPUTED_VALUE"""),8860314422)</f>
        <v>8860314422</v>
      </c>
      <c r="E496" s="1" t="str">
        <f ca="1">IFERROR(__xludf.DUMMYFUNCTION("""COMPUTED_VALUE"""),"Yes")</f>
        <v>Yes</v>
      </c>
      <c r="F496" s="1" t="str">
        <f ca="1">IFERROR(__xludf.DUMMYFUNCTION("""COMPUTED_VALUE"""),"हिन्दी")</f>
        <v>हिन्दी</v>
      </c>
      <c r="G496" s="1" t="str">
        <f ca="1">IFERROR(__xludf.DUMMYFUNCTION("""COMPUTED_VALUE"""),"वैज्ञानिक अध्यात्मवाद का प्रतिपादन")</f>
        <v>वैज्ञानिक अध्यात्मवाद का प्रतिपादन</v>
      </c>
      <c r="H496" s="1"/>
      <c r="I496" s="1"/>
      <c r="J496" s="1"/>
      <c r="K496" s="1"/>
      <c r="L496" s="1"/>
      <c r="M496" s="1"/>
      <c r="N496" s="1"/>
      <c r="O496" s="1"/>
      <c r="P496" s="1"/>
      <c r="Q496" s="1"/>
      <c r="R496" s="1"/>
      <c r="S496" s="1" t="str">
        <f ca="1">IFERROR(__xludf.DUMMYFUNCTION("""COMPUTED_VALUE"""),"वैज्ञानिक अध्यात्मवाद का प्रतिपादन")</f>
        <v>वैज्ञानिक अध्यात्मवाद का प्रतिपादन</v>
      </c>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f ca="1">IFERROR(__xludf.DUMMYFUNCTION("""COMPUTED_VALUE"""),24)</f>
        <v>24</v>
      </c>
      <c r="BX496" s="1">
        <f ca="1">IFERROR(__xludf.DUMMYFUNCTION("""COMPUTED_VALUE"""),18)</f>
        <v>18</v>
      </c>
      <c r="BY496" s="1">
        <f ca="1">IFERROR(__xludf.DUMMYFUNCTION("""COMPUTED_VALUE"""),7)</f>
        <v>7</v>
      </c>
      <c r="BZ496" s="1">
        <f ca="1">IFERROR(__xludf.DUMMYFUNCTION("""COMPUTED_VALUE"""),5)</f>
        <v>5</v>
      </c>
      <c r="CA496" s="1"/>
      <c r="CB496" s="1"/>
      <c r="CC496" s="1" t="str">
        <f ca="1">IFERROR(__xludf.DUMMYFUNCTION("""COMPUTED_VALUE"""),"वाक्‌ शक्ति एवं मंत्र सिद्धि : Rare Book")</f>
        <v>वाक्‌ शक्ति एवं मंत्र सिद्धि : Rare Book</v>
      </c>
      <c r="CD496" s="3" t="str">
        <f ca="1">IFERROR(__xludf.DUMMYFUNCTION("""COMPUTED_VALUE"""),"https://vicharkrantibooks.org/productdetail?book_name=HINF0309_VAK%E2%80%8C_SHAKTI_EVAM_MANTR_SIDDHI_xxyyyy&amp;product_id=529")</f>
        <v>https://vicharkrantibooks.org/productdetail?book_name=HINF0309_VAK%E2%80%8C_SHAKTI_EVAM_MANTR_SIDDHI_xxyyyy&amp;product_id=529</v>
      </c>
      <c r="CE496" s="1" t="str">
        <f ca="1">IFERROR(__xludf.DUMMYFUNCTION("""COMPUTED_VALUE"""),"Audiobook : वाक्‌ शक्ति एवं मंत्र सिद्धि : Rare Book : anu161965@gmail.com : Recorded")</f>
        <v>Audiobook : वाक्‌ शक्ति एवं मंत्र सिद्धि : Rare Book : anu161965@gmail.com : Recorded</v>
      </c>
      <c r="CF496" s="1" t="str">
        <f ca="1">IFERROR(__xludf.DUMMYFUNCTION("""COMPUTED_VALUE"""),"Audiobook : वाक्‌ शक्ति एवं मंत्र सिद्धि : Rare Book : anu161965@gmail.com : Recorded")</f>
        <v>Audiobook : वाक्‌ शक्ति एवं मंत्र सिद्धि : Rare Book : anu161965@gmail.com : Recorded</v>
      </c>
      <c r="CG496" s="1" t="str">
        <f ca="1">IFERROR(__xludf.DUMMYFUNCTION("""COMPUTED_VALUE"""),"Adarniya Anureeta awadh  ji वाक्‌ शक्ति एवं मंत्र सिद्धि : Rare Book : Allocated on 20-Jan-24 Contact Number  8860314422")</f>
        <v>Adarniya Anureeta awadh  ji वाक्‌ शक्ति एवं मंत्र सिद्धि : Rare Book : Allocated on 20-Jan-24 Contact Number  8860314422</v>
      </c>
      <c r="CH496" s="1" t="str">
        <f ca="1">IFERROR(__xludf.DUMMYFUNCTION("""COMPUTED_VALUE"""),"anu161965@gmail.com : वाक्‌ शक्ति एवं मंत्र सिद्धि : Rare Book")</f>
        <v>anu161965@gmail.com : वाक्‌ शक्ति एवं मंत्र सिद्धि : Rare Book</v>
      </c>
      <c r="CI496" s="5">
        <f ca="1">IFERROR(__xludf.DUMMYFUNCTION("""COMPUTED_VALUE"""),45311.9730890393)</f>
        <v>45311.973089039297</v>
      </c>
    </row>
    <row r="497" spans="1:87" x14ac:dyDescent="0.25">
      <c r="A497" s="5">
        <f ca="1">IFERROR(__xludf.DUMMYFUNCTION("""COMPUTED_VALUE"""),45310.3880706944)</f>
        <v>45310.388070694396</v>
      </c>
      <c r="B497" s="1" t="str">
        <f ca="1">IFERROR(__xludf.DUMMYFUNCTION("""COMPUTED_VALUE"""),"druma4107@gmail.com")</f>
        <v>druma4107@gmail.com</v>
      </c>
      <c r="C497" s="1" t="str">
        <f ca="1">IFERROR(__xludf.DUMMYFUNCTION("""COMPUTED_VALUE"""),"Dr Uma Agrawal ")</f>
        <v xml:space="preserve">Dr Uma Agrawal </v>
      </c>
      <c r="D497" s="1">
        <f ca="1">IFERROR(__xludf.DUMMYFUNCTION("""COMPUTED_VALUE"""),9410861182)</f>
        <v>9410861182</v>
      </c>
      <c r="E497" s="1" t="str">
        <f ca="1">IFERROR(__xludf.DUMMYFUNCTION("""COMPUTED_VALUE"""),"Yes")</f>
        <v>Yes</v>
      </c>
      <c r="F497" s="1" t="str">
        <f ca="1">IFERROR(__xludf.DUMMYFUNCTION("""COMPUTED_VALUE"""),"हिन्दी")</f>
        <v>हिन्दी</v>
      </c>
      <c r="G497" s="1" t="str">
        <f ca="1">IFERROR(__xludf.DUMMYFUNCTION("""COMPUTED_VALUE"""),"युग द्रष्टा पं. श्रीराम शर्मा आचार्यजी")</f>
        <v>युग द्रष्टा पं. श्रीराम शर्मा आचार्यजी</v>
      </c>
      <c r="H497" s="1"/>
      <c r="I497" s="1"/>
      <c r="J497" s="1"/>
      <c r="K497" s="1"/>
      <c r="L497" s="1"/>
      <c r="M497" s="1"/>
      <c r="N497" s="1"/>
      <c r="O497" s="1"/>
      <c r="P497" s="1" t="str">
        <f ca="1">IFERROR(__xludf.DUMMYFUNCTION("""COMPUTED_VALUE"""),"युगॠषी का जीवनदर्शन")</f>
        <v>युगॠषी का जीवनदर्शन</v>
      </c>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f ca="1">IFERROR(__xludf.DUMMYFUNCTION("""COMPUTED_VALUE"""),104)</f>
        <v>104</v>
      </c>
      <c r="BX497" s="1">
        <f ca="1">IFERROR(__xludf.DUMMYFUNCTION("""COMPUTED_VALUE"""),106)</f>
        <v>106</v>
      </c>
      <c r="BY497" s="1">
        <f ca="1">IFERROR(__xludf.DUMMYFUNCTION("""COMPUTED_VALUE"""),9)</f>
        <v>9</v>
      </c>
      <c r="BZ497" s="1">
        <f ca="1">IFERROR(__xludf.DUMMYFUNCTION("""COMPUTED_VALUE"""),43)</f>
        <v>43</v>
      </c>
      <c r="CA497" s="1"/>
      <c r="CB497" s="1"/>
      <c r="CC497" s="1" t="str">
        <f ca="1">IFERROR(__xludf.DUMMYFUNCTION("""COMPUTED_VALUE"""),"मनीषी एवं ऋषि के रुप में हमारी परोक्ष भूमिका : Rare Book")</f>
        <v>मनीषी एवं ऋषि के रुप में हमारी परोक्ष भूमिका : Rare Book</v>
      </c>
      <c r="CD497" s="3" t="str">
        <f ca="1">IFERROR(__xludf.DUMMYFUNCTION("""COMPUTED_VALUE"""),"https://vicharkrantibooks.org/productdetail?book_name=HINP0512_MANISHI_EVAM_RUSHI_KE_RUP_MEIN_HAMARI_PAROKSH_BHUMIKA_xxyyyy&amp;product_id=1077")</f>
        <v>https://vicharkrantibooks.org/productdetail?book_name=HINP0512_MANISHI_EVAM_RUSHI_KE_RUP_MEIN_HAMARI_PAROKSH_BHUMIKA_xxyyyy&amp;product_id=1077</v>
      </c>
      <c r="CE497" s="1" t="str">
        <f ca="1">IFERROR(__xludf.DUMMYFUNCTION("""COMPUTED_VALUE"""),"Audiobook : मनीषी एवं ऋषि के रुप में हमारी परोक्ष भूमिका : Rare Book : druma4107@gmail.com : Recorded")</f>
        <v>Audiobook : मनीषी एवं ऋषि के रुप में हमारी परोक्ष भूमिका : Rare Book : druma4107@gmail.com : Recorded</v>
      </c>
      <c r="CF497" s="1" t="str">
        <f ca="1">IFERROR(__xludf.DUMMYFUNCTION("""COMPUTED_VALUE"""),"Audiobook : मनीषी एवं ऋषि के रुप में हमारी परोक्ष भूमिका : Rare Book : druma4107@gmail.com : Recorded")</f>
        <v>Audiobook : मनीषी एवं ऋषि के रुप में हमारी परोक्ष भूमिका : Rare Book : druma4107@gmail.com : Recorded</v>
      </c>
      <c r="CG497" s="1" t="str">
        <f ca="1">IFERROR(__xludf.DUMMYFUNCTION("""COMPUTED_VALUE"""),"Adarniya Dr Uma Agrawal  ji मनीषी एवं ऋषि के रुप में हमारी परोक्ष भूमिका : Rare Book : Allocated on 19-Jan-24 Contact Number  9410861182")</f>
        <v>Adarniya Dr Uma Agrawal  ji मनीषी एवं ऋषि के रुप में हमारी परोक्ष भूमिका : Rare Book : Allocated on 19-Jan-24 Contact Number  9410861182</v>
      </c>
      <c r="CH497" s="1" t="str">
        <f ca="1">IFERROR(__xludf.DUMMYFUNCTION("""COMPUTED_VALUE"""),"druma4107@gmail.com : मनीषी एवं ऋषि के रुप में हमारी परोक्ष भूमिका : Rare Book")</f>
        <v>druma4107@gmail.com : मनीषी एवं ऋषि के रुप में हमारी परोक्ष भूमिका : Rare Book</v>
      </c>
      <c r="CI497" s="5">
        <f ca="1">IFERROR(__xludf.DUMMYFUNCTION("""COMPUTED_VALUE"""),45310.3880706944)</f>
        <v>45310.388070694396</v>
      </c>
    </row>
    <row r="498" spans="1:87" x14ac:dyDescent="0.25">
      <c r="A498" s="5">
        <f ca="1">IFERROR(__xludf.DUMMYFUNCTION("""COMPUTED_VALUE"""),45309.7002531712)</f>
        <v>45309.700253171199</v>
      </c>
      <c r="B498" s="1" t="str">
        <f ca="1">IFERROR(__xludf.DUMMYFUNCTION("""COMPUTED_VALUE"""),"vandana15rastogi@gmail.com")</f>
        <v>vandana15rastogi@gmail.com</v>
      </c>
      <c r="C498" s="1" t="str">
        <f ca="1">IFERROR(__xludf.DUMMYFUNCTION("""COMPUTED_VALUE"""),"Vandana Rastogi")</f>
        <v>Vandana Rastogi</v>
      </c>
      <c r="D498" s="1">
        <f ca="1">IFERROR(__xludf.DUMMYFUNCTION("""COMPUTED_VALUE"""),9359528684)</f>
        <v>9359528684</v>
      </c>
      <c r="E498" s="1" t="str">
        <f ca="1">IFERROR(__xludf.DUMMYFUNCTION("""COMPUTED_VALUE"""),"Yes")</f>
        <v>Yes</v>
      </c>
      <c r="F498" s="1" t="str">
        <f ca="1">IFERROR(__xludf.DUMMYFUNCTION("""COMPUTED_VALUE"""),"हिन्दी")</f>
        <v>हिन्दी</v>
      </c>
      <c r="G498" s="1" t="str">
        <f ca="1">IFERROR(__xludf.DUMMYFUNCTION("""COMPUTED_VALUE"""),"व्यक्ति निर्माण, युवा/विद्यार्थी एवं शिक्षक")</f>
        <v>व्यक्ति निर्माण, युवा/विद्यार्थी एवं शिक्षक</v>
      </c>
      <c r="H498" s="1"/>
      <c r="I498" s="1"/>
      <c r="J498" s="1"/>
      <c r="K498" s="1"/>
      <c r="L498" s="1"/>
      <c r="M498" s="1"/>
      <c r="N498" s="1"/>
      <c r="O498" s="1"/>
      <c r="P498" s="1"/>
      <c r="Q498" s="1"/>
      <c r="R498" s="1"/>
      <c r="S498" s="1"/>
      <c r="T498" s="1" t="str">
        <f ca="1">IFERROR(__xludf.DUMMYFUNCTION("""COMPUTED_VALUE"""),"युवा जागृति")</f>
        <v>युवा जागृति</v>
      </c>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f ca="1">IFERROR(__xludf.DUMMYFUNCTION("""COMPUTED_VALUE"""),33)</f>
        <v>33</v>
      </c>
      <c r="BX498" s="1">
        <f ca="1">IFERROR(__xludf.DUMMYFUNCTION("""COMPUTED_VALUE"""),19)</f>
        <v>19</v>
      </c>
      <c r="BY498" s="1">
        <f ca="1">IFERROR(__xludf.DUMMYFUNCTION("""COMPUTED_VALUE"""),17)</f>
        <v>17</v>
      </c>
      <c r="BZ498" s="1">
        <f ca="1">IFERROR(__xludf.DUMMYFUNCTION("""COMPUTED_VALUE"""),14)</f>
        <v>14</v>
      </c>
      <c r="CA498" s="1"/>
      <c r="CB498" s="1"/>
      <c r="CC498" s="1" t="str">
        <f ca="1">IFERROR(__xludf.DUMMYFUNCTION("""COMPUTED_VALUE"""),"मूर्धन्यो जागो : H_PP_28")</f>
        <v>मूर्धन्यो जागो : H_PP_28</v>
      </c>
      <c r="CD498" s="3" t="str">
        <f ca="1">IFERROR(__xludf.DUMMYFUNCTION("""COMPUTED_VALUE"""),"https://vicharkrantibooks.org/productdetail?book_name=HINP0542_MURDHANYO_JAGO_xxyyyy&amp;product_id=1107")</f>
        <v>https://vicharkrantibooks.org/productdetail?book_name=HINP0542_MURDHANYO_JAGO_xxyyyy&amp;product_id=1107</v>
      </c>
      <c r="CE498" s="1" t="str">
        <f ca="1">IFERROR(__xludf.DUMMYFUNCTION("""COMPUTED_VALUE"""),"Audiobook : मूर्धन्यो जागो : H_PP_28 : vandana15rastogi@gmail.com : Recorded")</f>
        <v>Audiobook : मूर्धन्यो जागो : H_PP_28 : vandana15rastogi@gmail.com : Recorded</v>
      </c>
      <c r="CF498" s="1" t="str">
        <f ca="1">IFERROR(__xludf.DUMMYFUNCTION("""COMPUTED_VALUE"""),"#N/A")</f>
        <v>#N/A</v>
      </c>
      <c r="CG498" s="1" t="str">
        <f ca="1">IFERROR(__xludf.DUMMYFUNCTION("""COMPUTED_VALUE"""),"Adarniya Vandana Rastogi ji मूर्धन्यो जागो : H_PP_28 : Allocated on 18-Jan-24 Contact Number  9359528684")</f>
        <v>Adarniya Vandana Rastogi ji मूर्धन्यो जागो : H_PP_28 : Allocated on 18-Jan-24 Contact Number  9359528684</v>
      </c>
      <c r="CH498" s="1" t="str">
        <f ca="1">IFERROR(__xludf.DUMMYFUNCTION("""COMPUTED_VALUE"""),"vandana15rastogi@gmail.com : मूर्धन्यो जागो : H_PP_28")</f>
        <v>vandana15rastogi@gmail.com : मूर्धन्यो जागो : H_PP_28</v>
      </c>
      <c r="CI498" s="5">
        <f ca="1">IFERROR(__xludf.DUMMYFUNCTION("""COMPUTED_VALUE"""),45309.7002531712)</f>
        <v>45309.700253171199</v>
      </c>
    </row>
    <row r="499" spans="1:87" x14ac:dyDescent="0.25">
      <c r="A499" s="5">
        <f ca="1">IFERROR(__xludf.DUMMYFUNCTION("""COMPUTED_VALUE"""),45309.6519981597)</f>
        <v>45309.651998159701</v>
      </c>
      <c r="B499" s="1" t="str">
        <f ca="1">IFERROR(__xludf.DUMMYFUNCTION("""COMPUTED_VALUE"""),"pragyapaliwal78@gmail.com")</f>
        <v>pragyapaliwal78@gmail.com</v>
      </c>
      <c r="C499" s="1" t="str">
        <f ca="1">IFERROR(__xludf.DUMMYFUNCTION("""COMPUTED_VALUE"""),"Pragya paliwal")</f>
        <v>Pragya paliwal</v>
      </c>
      <c r="D499" s="1">
        <f ca="1">IFERROR(__xludf.DUMMYFUNCTION("""COMPUTED_VALUE"""),8696296388)</f>
        <v>8696296388</v>
      </c>
      <c r="E499" s="1" t="str">
        <f ca="1">IFERROR(__xludf.DUMMYFUNCTION("""COMPUTED_VALUE"""),"Yes")</f>
        <v>Yes</v>
      </c>
      <c r="F499" s="1" t="str">
        <f ca="1">IFERROR(__xludf.DUMMYFUNCTION("""COMPUTED_VALUE"""),"हिन्दी or English")</f>
        <v>हिन्दी or English</v>
      </c>
      <c r="G499" s="1" t="str">
        <f ca="1">IFERROR(__xludf.DUMMYFUNCTION("""COMPUTED_VALUE"""),"वैज्ञानिक अध्यात्मवाद का प्रतिपादन")</f>
        <v>वैज्ञानिक अध्यात्मवाद का प्रतिपादन</v>
      </c>
      <c r="H499" s="1"/>
      <c r="I499" s="1"/>
      <c r="J499" s="1"/>
      <c r="K499" s="1"/>
      <c r="L499" s="1"/>
      <c r="M499" s="1"/>
      <c r="N499" s="1"/>
      <c r="O499" s="1"/>
      <c r="P499" s="1"/>
      <c r="Q499" s="1"/>
      <c r="R499" s="1"/>
      <c r="S499" s="1" t="str">
        <f ca="1">IFERROR(__xludf.DUMMYFUNCTION("""COMPUTED_VALUE"""),"वैज्ञानिक अध्यात्मवाद का प्रतिपादन")</f>
        <v>वैज्ञानिक अध्यात्मवाद का प्रतिपादन</v>
      </c>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f ca="1">IFERROR(__xludf.DUMMYFUNCTION("""COMPUTED_VALUE"""),11)</f>
        <v>11</v>
      </c>
      <c r="BX499" s="1">
        <f ca="1">IFERROR(__xludf.DUMMYFUNCTION("""COMPUTED_VALUE"""),3)</f>
        <v>3</v>
      </c>
      <c r="BY499" s="1">
        <f ca="1">IFERROR(__xludf.DUMMYFUNCTION("""COMPUTED_VALUE"""),8)</f>
        <v>8</v>
      </c>
      <c r="BZ499" s="1">
        <f ca="1">IFERROR(__xludf.DUMMYFUNCTION("""COMPUTED_VALUE"""),0)</f>
        <v>0</v>
      </c>
      <c r="CA499" s="1"/>
      <c r="CB499" s="1"/>
      <c r="CC499" s="1" t="str">
        <f ca="1">IFERROR(__xludf.DUMMYFUNCTION("""COMPUTED_VALUE"""),"सहअस्तित्व का नैसर्गिक नियम : Rare Book")</f>
        <v>सहअस्तित्व का नैसर्गिक नियम : Rare Book</v>
      </c>
      <c r="CD499" s="3" t="str">
        <f ca="1">IFERROR(__xludf.DUMMYFUNCTION("""COMPUTED_VALUE"""),"https://vicharkrantibooks.org/productdetail?book_name=HINP0749_SAHASTITV_KA_NAISARGIK_NIYAM_xx1982&amp;product_id=1314")</f>
        <v>https://vicharkrantibooks.org/productdetail?book_name=HINP0749_SAHASTITV_KA_NAISARGIK_NIYAM_xx1982&amp;product_id=1314</v>
      </c>
      <c r="CE499" s="1" t="str">
        <f ca="1">IFERROR(__xludf.DUMMYFUNCTION("""COMPUTED_VALUE"""),"Audiobook : सहअस्तित्व का नैसर्गिक नियम : Rare Book : pragyapaliwal78@gmail.com : Recorded")</f>
        <v>Audiobook : सहअस्तित्व का नैसर्गिक नियम : Rare Book : pragyapaliwal78@gmail.com : Recorded</v>
      </c>
      <c r="CF499" s="1" t="str">
        <f ca="1">IFERROR(__xludf.DUMMYFUNCTION("""COMPUTED_VALUE"""),"#N/A")</f>
        <v>#N/A</v>
      </c>
      <c r="CG499" s="1" t="str">
        <f ca="1">IFERROR(__xludf.DUMMYFUNCTION("""COMPUTED_VALUE"""),"Adarniya Pragya paliwal ji सहअस्तित्व का नैसर्गिक नियम : Rare Book : Allocated on 18-Jan-24 Contact Number  8696296388")</f>
        <v>Adarniya Pragya paliwal ji सहअस्तित्व का नैसर्गिक नियम : Rare Book : Allocated on 18-Jan-24 Contact Number  8696296388</v>
      </c>
      <c r="CH499" s="1" t="str">
        <f ca="1">IFERROR(__xludf.DUMMYFUNCTION("""COMPUTED_VALUE"""),"pragyapaliwal78@gmail.com : सहअस्तित्व का नैसर्गिक नियम : Rare Book")</f>
        <v>pragyapaliwal78@gmail.com : सहअस्तित्व का नैसर्गिक नियम : Rare Book</v>
      </c>
      <c r="CI499" s="5">
        <f ca="1">IFERROR(__xludf.DUMMYFUNCTION("""COMPUTED_VALUE"""),45309.6519981597)</f>
        <v>45309.651998159701</v>
      </c>
    </row>
    <row r="500" spans="1:87" x14ac:dyDescent="0.25">
      <c r="A500" s="5">
        <f ca="1">IFERROR(__xludf.DUMMYFUNCTION("""COMPUTED_VALUE"""),45309.6014036689)</f>
        <v>45309.601403668901</v>
      </c>
      <c r="B500" s="1" t="str">
        <f ca="1">IFERROR(__xludf.DUMMYFUNCTION("""COMPUTED_VALUE"""),"purnima.bharadwaj.24@gmail.com")</f>
        <v>purnima.bharadwaj.24@gmail.com</v>
      </c>
      <c r="C500" s="1" t="str">
        <f ca="1">IFERROR(__xludf.DUMMYFUNCTION("""COMPUTED_VALUE"""),"पूर्णिमा भारद्वाज ")</f>
        <v xml:space="preserve">पूर्णिमा भारद्वाज </v>
      </c>
      <c r="D500" s="1">
        <f ca="1">IFERROR(__xludf.DUMMYFUNCTION("""COMPUTED_VALUE"""),9415389032)</f>
        <v>9415389032</v>
      </c>
      <c r="E500" s="1" t="str">
        <f ca="1">IFERROR(__xludf.DUMMYFUNCTION("""COMPUTED_VALUE"""),"Yes")</f>
        <v>Yes</v>
      </c>
      <c r="F500" s="1" t="str">
        <f ca="1">IFERROR(__xludf.DUMMYFUNCTION("""COMPUTED_VALUE"""),"हिन्दी")</f>
        <v>हिन्दी</v>
      </c>
      <c r="G500" s="1" t="str">
        <f ca="1">IFERROR(__xludf.DUMMYFUNCTION("""COMPUTED_VALUE"""),"युग द्रष्टा पं. श्रीराम शर्मा आचार्यजी")</f>
        <v>युग द्रष्टा पं. श्रीराम शर्मा आचार्यजी</v>
      </c>
      <c r="H500" s="1"/>
      <c r="I500" s="1"/>
      <c r="J500" s="1"/>
      <c r="K500" s="1"/>
      <c r="L500" s="1"/>
      <c r="M500" s="1"/>
      <c r="N500" s="1"/>
      <c r="O500" s="1"/>
      <c r="P500" s="1" t="str">
        <f ca="1">IFERROR(__xludf.DUMMYFUNCTION("""COMPUTED_VALUE"""),"युगॠषी की अमृतवाणी")</f>
        <v>युगॠषी की अमृतवाणी</v>
      </c>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f ca="1">IFERROR(__xludf.DUMMYFUNCTION("""COMPUTED_VALUE"""),43)</f>
        <v>43</v>
      </c>
      <c r="BX500" s="1">
        <f ca="1">IFERROR(__xludf.DUMMYFUNCTION("""COMPUTED_VALUE"""),36)</f>
        <v>36</v>
      </c>
      <c r="BY500" s="1">
        <f ca="1">IFERROR(__xludf.DUMMYFUNCTION("""COMPUTED_VALUE"""),9)</f>
        <v>9</v>
      </c>
      <c r="BZ500" s="1">
        <f ca="1">IFERROR(__xludf.DUMMYFUNCTION("""COMPUTED_VALUE"""),30)</f>
        <v>30</v>
      </c>
      <c r="CA500" s="1"/>
      <c r="CB500" s="1"/>
      <c r="CC500" s="1" t="str">
        <f ca="1">IFERROR(__xludf.DUMMYFUNCTION("""COMPUTED_VALUE"""),"ऋषि चिंतन के सान्निध्य में ०९ (पोकेट) : H_SJ_28_9")</f>
        <v>ऋषि चिंतन के सान्निध्य में ०९ (पोकेट) : H_SJ_28_9</v>
      </c>
      <c r="CD500" s="3" t="str">
        <f ca="1">IFERROR(__xludf.DUMMYFUNCTION("""COMPUTED_VALUE"""),"https://vicharkrantibooks.org/productdetail?book_name=HINP0720_RUSHI_CHINTAN_KE_SANIDHYA_MEIN_09_(POCKET)_xxyyyy&amp;product_id=1285")</f>
        <v>https://vicharkrantibooks.org/productdetail?book_name=HINP0720_RUSHI_CHINTAN_KE_SANIDHYA_MEIN_09_(POCKET)_xxyyyy&amp;product_id=1285</v>
      </c>
      <c r="CE500" s="1" t="str">
        <f ca="1">IFERROR(__xludf.DUMMYFUNCTION("""COMPUTED_VALUE"""),"Audiobook : ऋषि चिंतन के सान्निध्य में ०९ (पोकेट) : H_SJ_28_9 : purnima.bharadwaj.24@gmail.com : Recorded")</f>
        <v>Audiobook : ऋषि चिंतन के सान्निध्य में ०९ (पोकेट) : H_SJ_28_9 : purnima.bharadwaj.24@gmail.com : Recorded</v>
      </c>
      <c r="CF500" s="1" t="str">
        <f ca="1">IFERROR(__xludf.DUMMYFUNCTION("""COMPUTED_VALUE"""),"Audiobook : ऋषि चिंतन के सान्निध्य में ०९ (पोकेट) : H_SJ_28_9 : purnima.bharadwaj.24@gmail.com : Recorded")</f>
        <v>Audiobook : ऋषि चिंतन के सान्निध्य में ०९ (पोकेट) : H_SJ_28_9 : purnima.bharadwaj.24@gmail.com : Recorded</v>
      </c>
      <c r="CG500" s="1" t="str">
        <f ca="1">IFERROR(__xludf.DUMMYFUNCTION("""COMPUTED_VALUE"""),"Adarniya पूर्णिमा भारद्वाज  ji ऋषि चिंतन के सान्निध्य में ०९ (पोकेट) : H_SJ_28_9 : Allocated on 18-Jan-24 Contact Number  9415389032")</f>
        <v>Adarniya पूर्णिमा भारद्वाज  ji ऋषि चिंतन के सान्निध्य में ०९ (पोकेट) : H_SJ_28_9 : Allocated on 18-Jan-24 Contact Number  9415389032</v>
      </c>
      <c r="CH500" s="1" t="str">
        <f ca="1">IFERROR(__xludf.DUMMYFUNCTION("""COMPUTED_VALUE"""),"purnima.bharadwaj.24@gmail.com : ऋषि चिंतन के सान्निध्य में ०९ (पोकेट) : H_SJ_28_9")</f>
        <v>purnima.bharadwaj.24@gmail.com : ऋषि चिंतन के सान्निध्य में ०९ (पोकेट) : H_SJ_28_9</v>
      </c>
      <c r="CI500" s="5">
        <f ca="1">IFERROR(__xludf.DUMMYFUNCTION("""COMPUTED_VALUE"""),45309.6014036689)</f>
        <v>45309.601403668901</v>
      </c>
    </row>
    <row r="501" spans="1:87" x14ac:dyDescent="0.25">
      <c r="A501" s="5">
        <f ca="1">IFERROR(__xludf.DUMMYFUNCTION("""COMPUTED_VALUE"""),45309.5294190393)</f>
        <v>45309.529419039303</v>
      </c>
      <c r="B501" s="1" t="str">
        <f ca="1">IFERROR(__xludf.DUMMYFUNCTION("""COMPUTED_VALUE"""),"rashmi0363@gmai.com")</f>
        <v>rashmi0363@gmai.com</v>
      </c>
      <c r="C501" s="1" t="str">
        <f ca="1">IFERROR(__xludf.DUMMYFUNCTION("""COMPUTED_VALUE"""),"Rashmi Sinha")</f>
        <v>Rashmi Sinha</v>
      </c>
      <c r="D501" s="1">
        <f ca="1">IFERROR(__xludf.DUMMYFUNCTION("""COMPUTED_VALUE"""),9212688575)</f>
        <v>9212688575</v>
      </c>
      <c r="E501" s="1" t="str">
        <f ca="1">IFERROR(__xludf.DUMMYFUNCTION("""COMPUTED_VALUE"""),"No")</f>
        <v>No</v>
      </c>
      <c r="F501" s="1" t="str">
        <f ca="1">IFERROR(__xludf.DUMMYFUNCTION("""COMPUTED_VALUE"""),"हिन्दी")</f>
        <v>हिन्दी</v>
      </c>
      <c r="G501" s="1" t="str">
        <f ca="1">IFERROR(__xludf.DUMMYFUNCTION("""COMPUTED_VALUE"""),"भारतीय संस्कृति")</f>
        <v>भारतीय संस्कृति</v>
      </c>
      <c r="H501" s="1"/>
      <c r="I501" s="1"/>
      <c r="J501" s="1"/>
      <c r="K501" s="1"/>
      <c r="L501" s="1"/>
      <c r="M501" s="1"/>
      <c r="N501" s="1"/>
      <c r="O501" s="1" t="str">
        <f ca="1">IFERROR(__xludf.DUMMYFUNCTION("""COMPUTED_VALUE"""),"यज्ञ")</f>
        <v>यज्ञ</v>
      </c>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f ca="1">IFERROR(__xludf.DUMMYFUNCTION("""COMPUTED_VALUE"""),1)</f>
        <v>1</v>
      </c>
      <c r="BX501" s="1">
        <f ca="1">IFERROR(__xludf.DUMMYFUNCTION("""COMPUTED_VALUE"""),0)</f>
        <v>0</v>
      </c>
      <c r="BY501" s="1">
        <f ca="1">IFERROR(__xludf.DUMMYFUNCTION("""COMPUTED_VALUE"""),1)</f>
        <v>1</v>
      </c>
      <c r="BZ501" s="1">
        <f ca="1">IFERROR(__xludf.DUMMYFUNCTION("""COMPUTED_VALUE"""),0)</f>
        <v>0</v>
      </c>
      <c r="CA501" s="1"/>
      <c r="CB501" s="1"/>
      <c r="CC501" s="1" t="str">
        <f ca="1">IFERROR(__xludf.DUMMYFUNCTION("""COMPUTED_VALUE"""),"योग प्रसुप्त की जाग्रति का उच्चस्तरीय विज्ञान : H_SA_42")</f>
        <v>योग प्रसुप्त की जाग्रति का उच्चस्तरीय विज्ञान : H_SA_42</v>
      </c>
      <c r="CD501" s="3" t="str">
        <f ca="1">IFERROR(__xludf.DUMMYFUNCTION("""COMPUTED_VALUE"""),"https://vicharkrantibooks.org/productdetail?book_name=HINP1079_YOG_PRASUPT_KI_JAGRUTI_KA_UCHCHASTARIY_VIGYAN_xxyyyy&amp;product_id=1644")</f>
        <v>https://vicharkrantibooks.org/productdetail?book_name=HINP1079_YOG_PRASUPT_KI_JAGRUTI_KA_UCHCHASTARIY_VIGYAN_xxyyyy&amp;product_id=1644</v>
      </c>
      <c r="CE501" s="1" t="str">
        <f ca="1">IFERROR(__xludf.DUMMYFUNCTION("""COMPUTED_VALUE"""),"Audiobook : योग प्रसुप्त की जाग्रति का उच्चस्तरीय विज्ञान : H_SA_42 : rashmi0363@gmai.com : Recorded")</f>
        <v>Audiobook : योग प्रसुप्त की जाग्रति का उच्चस्तरीय विज्ञान : H_SA_42 : rashmi0363@gmai.com : Recorded</v>
      </c>
      <c r="CF501" s="1" t="str">
        <f ca="1">IFERROR(__xludf.DUMMYFUNCTION("""COMPUTED_VALUE"""),"#N/A")</f>
        <v>#N/A</v>
      </c>
      <c r="CG501" s="1" t="str">
        <f ca="1">IFERROR(__xludf.DUMMYFUNCTION("""COMPUTED_VALUE"""),"Adarniya Rashmi Sinha ji योग प्रसुप्त की जाग्रति का उच्चस्तरीय विज्ञान : H_SA_42 : Allocated on 18-Jan-24 Contact Number  9212688575")</f>
        <v>Adarniya Rashmi Sinha ji योग प्रसुप्त की जाग्रति का उच्चस्तरीय विज्ञान : H_SA_42 : Allocated on 18-Jan-24 Contact Number  9212688575</v>
      </c>
      <c r="CH501" s="1" t="str">
        <f ca="1">IFERROR(__xludf.DUMMYFUNCTION("""COMPUTED_VALUE"""),"rashmi0363@gmai.com : योग प्रसुप्त की जाग्रति का उच्चस्तरीय विज्ञान : H_SA_42")</f>
        <v>rashmi0363@gmai.com : योग प्रसुप्त की जाग्रति का उच्चस्तरीय विज्ञान : H_SA_42</v>
      </c>
      <c r="CI501" s="5">
        <f ca="1">IFERROR(__xludf.DUMMYFUNCTION("""COMPUTED_VALUE"""),45309.5294190393)</f>
        <v>45309.529419039303</v>
      </c>
    </row>
    <row r="502" spans="1:87" x14ac:dyDescent="0.25">
      <c r="A502" s="5">
        <f ca="1">IFERROR(__xludf.DUMMYFUNCTION("""COMPUTED_VALUE"""),45309.4724694212)</f>
        <v>45309.472469421198</v>
      </c>
      <c r="B502" s="1" t="str">
        <f ca="1">IFERROR(__xludf.DUMMYFUNCTION("""COMPUTED_VALUE"""),"monikashri2026@gmail.com")</f>
        <v>monikashri2026@gmail.com</v>
      </c>
      <c r="C502" s="1" t="str">
        <f ca="1">IFERROR(__xludf.DUMMYFUNCTION("""COMPUTED_VALUE"""),"Monika")</f>
        <v>Monika</v>
      </c>
      <c r="D502" s="1">
        <f ca="1">IFERROR(__xludf.DUMMYFUNCTION("""COMPUTED_VALUE"""),9650104871)</f>
        <v>9650104871</v>
      </c>
      <c r="E502" s="1" t="str">
        <f ca="1">IFERROR(__xludf.DUMMYFUNCTION("""COMPUTED_VALUE"""),"Yes")</f>
        <v>Yes</v>
      </c>
      <c r="F502" s="1" t="str">
        <f ca="1">IFERROR(__xludf.DUMMYFUNCTION("""COMPUTED_VALUE"""),"हिन्दी")</f>
        <v>हिन्दी</v>
      </c>
      <c r="G502" s="1" t="str">
        <f ca="1">IFERROR(__xludf.DUMMYFUNCTION("""COMPUTED_VALUE"""),"राष्ट्र निर्माण")</f>
        <v>राष्ट्र निर्माण</v>
      </c>
      <c r="H502" s="1"/>
      <c r="I502" s="1"/>
      <c r="J502" s="1"/>
      <c r="K502" s="1"/>
      <c r="L502" s="1"/>
      <c r="M502" s="1"/>
      <c r="N502" s="1"/>
      <c r="O502" s="1"/>
      <c r="P502" s="1"/>
      <c r="Q502" s="1"/>
      <c r="R502" s="1" t="str">
        <f ca="1">IFERROR(__xludf.DUMMYFUNCTION("""COMPUTED_VALUE"""),"राष्ट्र निर्माण")</f>
        <v>राष्ट्र निर्माण</v>
      </c>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f ca="1">IFERROR(__xludf.DUMMYFUNCTION("""COMPUTED_VALUE"""),2)</f>
        <v>2</v>
      </c>
      <c r="BX502" s="1">
        <f ca="1">IFERROR(__xludf.DUMMYFUNCTION("""COMPUTED_VALUE"""),2)</f>
        <v>2</v>
      </c>
      <c r="BY502" s="1">
        <f ca="1">IFERROR(__xludf.DUMMYFUNCTION("""COMPUTED_VALUE"""),1)</f>
        <v>1</v>
      </c>
      <c r="BZ502" s="1">
        <f ca="1">IFERROR(__xludf.DUMMYFUNCTION("""COMPUTED_VALUE"""),2)</f>
        <v>2</v>
      </c>
      <c r="CA502" s="1"/>
      <c r="CB502" s="1"/>
      <c r="CC502" s="1" t="str">
        <f ca="1">IFERROR(__xludf.DUMMYFUNCTION("""COMPUTED_VALUE"""),"जनता के सुप्रीम कोर्ट में समस्याओं के समाधान की गुहार : H_VP_72")</f>
        <v>जनता के सुप्रीम कोर्ट में समस्याओं के समाधान की गुहार : H_VP_72</v>
      </c>
      <c r="CD502" s="3" t="str">
        <f ca="1">IFERROR(__xludf.DUMMYFUNCTION("""COMPUTED_VALUE"""),"https://vicharkrantibooks.org/productdetail?book_name=HINP1075_JANATA_KE_SUPRIM_COURT_MAIN_SAMASYAON_KE_SAMADHAN_KI_GUHAR_Re2015&amp;product_id=1640")</f>
        <v>https://vicharkrantibooks.org/productdetail?book_name=HINP1075_JANATA_KE_SUPRIM_COURT_MAIN_SAMASYAON_KE_SAMADHAN_KI_GUHAR_Re2015&amp;product_id=1640</v>
      </c>
      <c r="CE502" s="1" t="str">
        <f ca="1">IFERROR(__xludf.DUMMYFUNCTION("""COMPUTED_VALUE"""),"Audiobook : जनता के सुप्रीम कोर्ट में समस्याओं के समाधान की गुहार : H_VP_72 : monikashri2026@gmail.com : Recorded")</f>
        <v>Audiobook : जनता के सुप्रीम कोर्ट में समस्याओं के समाधान की गुहार : H_VP_72 : monikashri2026@gmail.com : Recorded</v>
      </c>
      <c r="CF502" s="1" t="str">
        <f ca="1">IFERROR(__xludf.DUMMYFUNCTION("""COMPUTED_VALUE"""),"#N/A")</f>
        <v>#N/A</v>
      </c>
      <c r="CG502" s="1" t="str">
        <f ca="1">IFERROR(__xludf.DUMMYFUNCTION("""COMPUTED_VALUE"""),"Adarniya Monika ji जनता के सुप्रीम कोर्ट में समस्याओं के समाधान की गुहार : H_VP_72 : Allocated on 18-Jan-24 Contact Number  9650104871")</f>
        <v>Adarniya Monika ji जनता के सुप्रीम कोर्ट में समस्याओं के समाधान की गुहार : H_VP_72 : Allocated on 18-Jan-24 Contact Number  9650104871</v>
      </c>
      <c r="CH502" s="1" t="str">
        <f ca="1">IFERROR(__xludf.DUMMYFUNCTION("""COMPUTED_VALUE"""),"monikashri2026@gmail.com : जनता के सुप्रीम कोर्ट में समस्याओं के समाधान की गुहार : H_VP_72")</f>
        <v>monikashri2026@gmail.com : जनता के सुप्रीम कोर्ट में समस्याओं के समाधान की गुहार : H_VP_72</v>
      </c>
      <c r="CI502" s="5">
        <f ca="1">IFERROR(__xludf.DUMMYFUNCTION("""COMPUTED_VALUE"""),45309.4724694212)</f>
        <v>45309.472469421198</v>
      </c>
    </row>
    <row r="503" spans="1:87" x14ac:dyDescent="0.25">
      <c r="A503" s="5">
        <f ca="1">IFERROR(__xludf.DUMMYFUNCTION("""COMPUTED_VALUE"""),45309.3535807638)</f>
        <v>45309.353580763804</v>
      </c>
      <c r="B503" s="1" t="str">
        <f ca="1">IFERROR(__xludf.DUMMYFUNCTION("""COMPUTED_VALUE"""),"guptarakhi072@gmail.com")</f>
        <v>guptarakhi072@gmail.com</v>
      </c>
      <c r="C503" s="1" t="str">
        <f ca="1">IFERROR(__xludf.DUMMYFUNCTION("""COMPUTED_VALUE"""),"Rakhi gupta ")</f>
        <v xml:space="preserve">Rakhi gupta </v>
      </c>
      <c r="D503" s="1">
        <f ca="1">IFERROR(__xludf.DUMMYFUNCTION("""COMPUTED_VALUE"""),8128540757)</f>
        <v>8128540757</v>
      </c>
      <c r="E503" s="1" t="str">
        <f ca="1">IFERROR(__xludf.DUMMYFUNCTION("""COMPUTED_VALUE"""),"Yes")</f>
        <v>Yes</v>
      </c>
      <c r="F503" s="1" t="str">
        <f ca="1">IFERROR(__xludf.DUMMYFUNCTION("""COMPUTED_VALUE"""),"हिन्दी")</f>
        <v>हिन्दी</v>
      </c>
      <c r="G503" s="1"/>
      <c r="H503" s="1" t="str">
        <f ca="1">IFERROR(__xludf.DUMMYFUNCTION("""COMPUTED_VALUE"""),"आत्मज्ञान एवं आत्मनिर्माण")</f>
        <v>आत्मज्ञान एवं आत्मनिर्माण</v>
      </c>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f ca="1">IFERROR(__xludf.DUMMYFUNCTION("""COMPUTED_VALUE"""),21)</f>
        <v>21</v>
      </c>
      <c r="BX503" s="1">
        <f ca="1">IFERROR(__xludf.DUMMYFUNCTION("""COMPUTED_VALUE"""),20)</f>
        <v>20</v>
      </c>
      <c r="BY503" s="1">
        <f ca="1">IFERROR(__xludf.DUMMYFUNCTION("""COMPUTED_VALUE"""),2)</f>
        <v>2</v>
      </c>
      <c r="BZ503" s="1">
        <f ca="1">IFERROR(__xludf.DUMMYFUNCTION("""COMPUTED_VALUE"""),14)</f>
        <v>14</v>
      </c>
      <c r="CA503" s="1"/>
      <c r="CB503" s="1"/>
      <c r="CC503" s="1" t="str">
        <f ca="1">IFERROR(__xludf.DUMMYFUNCTION("""COMPUTED_VALUE"""),"नारी विवेकशील बने कुरीतियाँ मिटाएँ : H_PP_43")</f>
        <v>नारी विवेकशील बने कुरीतियाँ मिटाएँ : H_PP_43</v>
      </c>
      <c r="CD503" s="3" t="str">
        <f ca="1">IFERROR(__xludf.DUMMYFUNCTION("""COMPUTED_VALUE"""),"https://vicharkrantibooks.org/productdetail?book_name=HINP0589_NARI_VIVEKASHIL_BANE_KURITIYAN_MITAEN_xxyyyy&amp;product_id=1154")</f>
        <v>https://vicharkrantibooks.org/productdetail?book_name=HINP0589_NARI_VIVEKASHIL_BANE_KURITIYAN_MITAEN_xxyyyy&amp;product_id=1154</v>
      </c>
      <c r="CE503" s="1" t="str">
        <f ca="1">IFERROR(__xludf.DUMMYFUNCTION("""COMPUTED_VALUE"""),"Audiobook : नारी विवेकशील बने कुरीतियाँ मिटाएँ : H_PP_43 : guptarakhi072@gmail.com : Recorded")</f>
        <v>Audiobook : नारी विवेकशील बने कुरीतियाँ मिटाएँ : H_PP_43 : guptarakhi072@gmail.com : Recorded</v>
      </c>
      <c r="CF503" s="1" t="str">
        <f ca="1">IFERROR(__xludf.DUMMYFUNCTION("""COMPUTED_VALUE"""),"Audiobook : नारी विवेकशील बने कुरीतियाँ मिटाएँ : H_PP_43 : guptarakhi072@gmail.com : Recorded")</f>
        <v>Audiobook : नारी विवेकशील बने कुरीतियाँ मिटाएँ : H_PP_43 : guptarakhi072@gmail.com : Recorded</v>
      </c>
      <c r="CG503" s="1" t="str">
        <f ca="1">IFERROR(__xludf.DUMMYFUNCTION("""COMPUTED_VALUE"""),"Adarniya Rakhi gupta  ji नारी विवेकशील बने कुरीतियाँ मिटाएँ : H_PP_43 : Allocated on 18-Jan-24 Contact Number  8128540757")</f>
        <v>Adarniya Rakhi gupta  ji नारी विवेकशील बने कुरीतियाँ मिटाएँ : H_PP_43 : Allocated on 18-Jan-24 Contact Number  8128540757</v>
      </c>
      <c r="CH503" s="1" t="str">
        <f ca="1">IFERROR(__xludf.DUMMYFUNCTION("""COMPUTED_VALUE"""),"guptarakhi072@gmail.com : नारी विवेकशील बने कुरीतियाँ मिटाएँ : H_PP_43")</f>
        <v>guptarakhi072@gmail.com : नारी विवेकशील बने कुरीतियाँ मिटाएँ : H_PP_43</v>
      </c>
      <c r="CI503" s="5">
        <f ca="1">IFERROR(__xludf.DUMMYFUNCTION("""COMPUTED_VALUE"""),45309.3535807638)</f>
        <v>45309.353580763804</v>
      </c>
    </row>
    <row r="504" spans="1:87" x14ac:dyDescent="0.25">
      <c r="A504" s="5">
        <f ca="1">IFERROR(__xludf.DUMMYFUNCTION("""COMPUTED_VALUE"""),45308.3208769097)</f>
        <v>45308.320876909696</v>
      </c>
      <c r="B504" s="1" t="str">
        <f ca="1">IFERROR(__xludf.DUMMYFUNCTION("""COMPUTED_VALUE"""),"vjatul025@gmail.com")</f>
        <v>vjatul025@gmail.com</v>
      </c>
      <c r="C504" s="1" t="str">
        <f ca="1">IFERROR(__xludf.DUMMYFUNCTION("""COMPUTED_VALUE"""),"Vandana Joshi ")</f>
        <v xml:space="preserve">Vandana Joshi </v>
      </c>
      <c r="D504" s="1">
        <f ca="1">IFERROR(__xludf.DUMMYFUNCTION("""COMPUTED_VALUE"""),9174756367)</f>
        <v>9174756367</v>
      </c>
      <c r="E504" s="1" t="str">
        <f ca="1">IFERROR(__xludf.DUMMYFUNCTION("""COMPUTED_VALUE"""),"Yes")</f>
        <v>Yes</v>
      </c>
      <c r="F504" s="1" t="str">
        <f ca="1">IFERROR(__xludf.DUMMYFUNCTION("""COMPUTED_VALUE"""),"हिन्दी")</f>
        <v>हिन्दी</v>
      </c>
      <c r="G504" s="1" t="str">
        <f ca="1">IFERROR(__xludf.DUMMYFUNCTION("""COMPUTED_VALUE"""),"अध्यात्म, धर्म एवं दर्शन")</f>
        <v>अध्यात्म, धर्म एवं दर्शन</v>
      </c>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f ca="1">IFERROR(__xludf.DUMMYFUNCTION("""COMPUTED_VALUE"""),8)</f>
        <v>8</v>
      </c>
      <c r="BX504" s="1">
        <f ca="1">IFERROR(__xludf.DUMMYFUNCTION("""COMPUTED_VALUE"""),6)</f>
        <v>6</v>
      </c>
      <c r="BY504" s="1">
        <f ca="1">IFERROR(__xludf.DUMMYFUNCTION("""COMPUTED_VALUE"""),2)</f>
        <v>2</v>
      </c>
      <c r="BZ504" s="1">
        <f ca="1">IFERROR(__xludf.DUMMYFUNCTION("""COMPUTED_VALUE"""),0)</f>
        <v>0</v>
      </c>
      <c r="CA504" s="1"/>
      <c r="CB504" s="1"/>
      <c r="CC504" s="1" t="str">
        <f ca="1">IFERROR(__xludf.DUMMYFUNCTION("""COMPUTED_VALUE"""),"तपश्चर्या का तत्वदर्शन  : Rare Book")</f>
        <v>तपश्चर्या का तत्वदर्शन  : Rare Book</v>
      </c>
      <c r="CD504" s="3" t="str">
        <f ca="1">IFERROR(__xludf.DUMMYFUNCTION("""COMPUTED_VALUE"""),"https://vicharkrantibooks.org/productdetail?book_name=HINP0904_TAPASHCHARYA_KA_TATVADARSHAN_xx1981&amp;product_id=1469")</f>
        <v>https://vicharkrantibooks.org/productdetail?book_name=HINP0904_TAPASHCHARYA_KA_TATVADARSHAN_xx1981&amp;product_id=1469</v>
      </c>
      <c r="CE504" s="1" t="str">
        <f ca="1">IFERROR(__xludf.DUMMYFUNCTION("""COMPUTED_VALUE"""),"Audiobook : तपश्चर्या का तत्वदर्शन  : Rare Book : vjatul025@gmail.com : Recorded")</f>
        <v>Audiobook : तपश्चर्या का तत्वदर्शन  : Rare Book : vjatul025@gmail.com : Recorded</v>
      </c>
      <c r="CF504" s="1" t="str">
        <f ca="1">IFERROR(__xludf.DUMMYFUNCTION("""COMPUTED_VALUE"""),"Audiobook : तपश्चर्या का तत्वदर्शन  : Rare Book : vjatul025@gmail.com : Recorded")</f>
        <v>Audiobook : तपश्चर्या का तत्वदर्शन  : Rare Book : vjatul025@gmail.com : Recorded</v>
      </c>
      <c r="CG504" s="1" t="str">
        <f ca="1">IFERROR(__xludf.DUMMYFUNCTION("""COMPUTED_VALUE"""),"Adarniya Vandana Joshi  ji तपश्चर्या का तत्वदर्शन  : Rare Book : Allocated on 17-Jan-24 Contact Number  9174756367")</f>
        <v>Adarniya Vandana Joshi  ji तपश्चर्या का तत्वदर्शन  : Rare Book : Allocated on 17-Jan-24 Contact Number  9174756367</v>
      </c>
      <c r="CH504" s="1" t="str">
        <f ca="1">IFERROR(__xludf.DUMMYFUNCTION("""COMPUTED_VALUE"""),"vjatul025@gmail.com : तपश्चर्या का तत्वदर्शन  : Rare Book")</f>
        <v>vjatul025@gmail.com : तपश्चर्या का तत्वदर्शन  : Rare Book</v>
      </c>
      <c r="CI504" s="5">
        <f ca="1">IFERROR(__xludf.DUMMYFUNCTION("""COMPUTED_VALUE"""),45308.3208769097)</f>
        <v>45308.320876909696</v>
      </c>
    </row>
    <row r="505" spans="1:87" x14ac:dyDescent="0.25">
      <c r="A505" s="5">
        <f ca="1">IFERROR(__xludf.DUMMYFUNCTION("""COMPUTED_VALUE"""),45307.9403041435)</f>
        <v>45307.9403041435</v>
      </c>
      <c r="B505" s="1" t="str">
        <f ca="1">IFERROR(__xludf.DUMMYFUNCTION("""COMPUTED_VALUE"""),"rajnivarma24.vns@gmail.com")</f>
        <v>rajnivarma24.vns@gmail.com</v>
      </c>
      <c r="C505" s="1" t="str">
        <f ca="1">IFERROR(__xludf.DUMMYFUNCTION("""COMPUTED_VALUE"""),"Rajni varma")</f>
        <v>Rajni varma</v>
      </c>
      <c r="D505" s="1">
        <f ca="1">IFERROR(__xludf.DUMMYFUNCTION("""COMPUTED_VALUE"""),9335661433)</f>
        <v>9335661433</v>
      </c>
      <c r="E505" s="1" t="str">
        <f ca="1">IFERROR(__xludf.DUMMYFUNCTION("""COMPUTED_VALUE"""),"No")</f>
        <v>No</v>
      </c>
      <c r="F505" s="1" t="str">
        <f ca="1">IFERROR(__xludf.DUMMYFUNCTION("""COMPUTED_VALUE"""),"हिन्दी")</f>
        <v>हिन्दी</v>
      </c>
      <c r="G505" s="1" t="str">
        <f ca="1">IFERROR(__xludf.DUMMYFUNCTION("""COMPUTED_VALUE"""),"युग द्रष्टा पं. श्रीराम शर्मा आचार्यजी")</f>
        <v>युग द्रष्टा पं. श्रीराम शर्मा आचार्यजी</v>
      </c>
      <c r="H505" s="1"/>
      <c r="I505" s="1"/>
      <c r="J505" s="1"/>
      <c r="K505" s="1"/>
      <c r="L505" s="1"/>
      <c r="M505" s="1"/>
      <c r="N505" s="1"/>
      <c r="O505" s="1"/>
      <c r="P505" s="1" t="str">
        <f ca="1">IFERROR(__xludf.DUMMYFUNCTION("""COMPUTED_VALUE"""),"युगॠषी का जीवनदर्शन")</f>
        <v>युगॠषी का जीवनदर्शन</v>
      </c>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f ca="1">IFERROR(__xludf.DUMMYFUNCTION("""COMPUTED_VALUE"""),30)</f>
        <v>30</v>
      </c>
      <c r="BX505" s="1">
        <f ca="1">IFERROR(__xludf.DUMMYFUNCTION("""COMPUTED_VALUE"""),25)</f>
        <v>25</v>
      </c>
      <c r="BY505" s="1">
        <f ca="1">IFERROR(__xludf.DUMMYFUNCTION("""COMPUTED_VALUE"""),7)</f>
        <v>7</v>
      </c>
      <c r="BZ505" s="1">
        <f ca="1">IFERROR(__xludf.DUMMYFUNCTION("""COMPUTED_VALUE"""),7)</f>
        <v>7</v>
      </c>
      <c r="CA505" s="1"/>
      <c r="CB505" s="1"/>
      <c r="CC505" s="1" t="str">
        <f ca="1">IFERROR(__xludf.DUMMYFUNCTION("""COMPUTED_VALUE"""),"साधना की सफलता : H_SA_32")</f>
        <v>साधना की सफलता : H_SA_32</v>
      </c>
      <c r="CD505" s="3" t="str">
        <f ca="1">IFERROR(__xludf.DUMMYFUNCTION("""COMPUTED_VALUE"""),"https://vicharkrantibooks.org/productdetail?book_name=HINP0737_SADHANA_KI_SAPHALATA_xxyyyy&amp;product_id=1302")</f>
        <v>https://vicharkrantibooks.org/productdetail?book_name=HINP0737_SADHANA_KI_SAPHALATA_xxyyyy&amp;product_id=1302</v>
      </c>
      <c r="CE505" s="1" t="str">
        <f ca="1">IFERROR(__xludf.DUMMYFUNCTION("""COMPUTED_VALUE"""),"Audiobook : साधना की सफलता : H_SA_32 : rajnivarma24.vns@gmail.com : Recorded")</f>
        <v>Audiobook : साधना की सफलता : H_SA_32 : rajnivarma24.vns@gmail.com : Recorded</v>
      </c>
      <c r="CF505" s="1" t="str">
        <f ca="1">IFERROR(__xludf.DUMMYFUNCTION("""COMPUTED_VALUE"""),"Audiobook : साधना की सफलता : H_SA_32 : rajnivarma24.vns@gmail.com : Recorded")</f>
        <v>Audiobook : साधना की सफलता : H_SA_32 : rajnivarma24.vns@gmail.com : Recorded</v>
      </c>
      <c r="CG505" s="1" t="str">
        <f ca="1">IFERROR(__xludf.DUMMYFUNCTION("""COMPUTED_VALUE"""),"Adarniya Rajni varma ji साधना की सफलता : H_SA_32 : Allocated on 16-Jan-24 Contact Number  9335661433")</f>
        <v>Adarniya Rajni varma ji साधना की सफलता : H_SA_32 : Allocated on 16-Jan-24 Contact Number  9335661433</v>
      </c>
      <c r="CH505" s="1" t="str">
        <f ca="1">IFERROR(__xludf.DUMMYFUNCTION("""COMPUTED_VALUE"""),"rajnivarma24.vns@gmail.com : साधना की सफलता : H_SA_32")</f>
        <v>rajnivarma24.vns@gmail.com : साधना की सफलता : H_SA_32</v>
      </c>
      <c r="CI505" s="5">
        <f ca="1">IFERROR(__xludf.DUMMYFUNCTION("""COMPUTED_VALUE"""),45307.9403041435)</f>
        <v>45307.9403041435</v>
      </c>
    </row>
    <row r="506" spans="1:87" x14ac:dyDescent="0.25">
      <c r="A506" s="5">
        <f ca="1">IFERROR(__xludf.DUMMYFUNCTION("""COMPUTED_VALUE"""),45307.6534719328)</f>
        <v>45307.653471932797</v>
      </c>
      <c r="B506" s="1" t="str">
        <f ca="1">IFERROR(__xludf.DUMMYFUNCTION("""COMPUTED_VALUE"""),"saratkar.awgp@gmail.com")</f>
        <v>saratkar.awgp@gmail.com</v>
      </c>
      <c r="C506" s="1" t="str">
        <f ca="1">IFERROR(__xludf.DUMMYFUNCTION("""COMPUTED_VALUE"""),"Beniram Saratkar ")</f>
        <v xml:space="preserve">Beniram Saratkar </v>
      </c>
      <c r="D506" s="1" t="str">
        <f ca="1">IFERROR(__xludf.DUMMYFUNCTION("""COMPUTED_VALUE"""),"+917218896169")</f>
        <v>+917218896169</v>
      </c>
      <c r="E506" s="1" t="str">
        <f ca="1">IFERROR(__xludf.DUMMYFUNCTION("""COMPUTED_VALUE"""),"Yes")</f>
        <v>Yes</v>
      </c>
      <c r="F506" s="1" t="str">
        <f ca="1">IFERROR(__xludf.DUMMYFUNCTION("""COMPUTED_VALUE"""),"हिन्दी")</f>
        <v>हिन्दी</v>
      </c>
      <c r="G506" s="1" t="str">
        <f ca="1">IFERROR(__xludf.DUMMYFUNCTION("""COMPUTED_VALUE"""),"परिवार निर्माण")</f>
        <v>परिवार निर्माण</v>
      </c>
      <c r="H506" s="1"/>
      <c r="I506" s="1"/>
      <c r="J506" s="1"/>
      <c r="K506" s="1"/>
      <c r="L506" s="1"/>
      <c r="M506" s="1" t="str">
        <f ca="1">IFERROR(__xludf.DUMMYFUNCTION("""COMPUTED_VALUE"""),"बाल मनोविज्ञान")</f>
        <v>बाल मनोविज्ञान</v>
      </c>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f ca="1">IFERROR(__xludf.DUMMYFUNCTION("""COMPUTED_VALUE"""),5)</f>
        <v>5</v>
      </c>
      <c r="BX506" s="1">
        <f ca="1">IFERROR(__xludf.DUMMYFUNCTION("""COMPUTED_VALUE"""),2)</f>
        <v>2</v>
      </c>
      <c r="BY506" s="1">
        <f ca="1">IFERROR(__xludf.DUMMYFUNCTION("""COMPUTED_VALUE"""),3)</f>
        <v>3</v>
      </c>
      <c r="BZ506" s="1">
        <f ca="1">IFERROR(__xludf.DUMMYFUNCTION("""COMPUTED_VALUE"""),2)</f>
        <v>2</v>
      </c>
      <c r="CA506" s="1"/>
      <c r="CB506" s="1"/>
      <c r="CC506" s="1" t="str">
        <f ca="1">IFERROR(__xludf.DUMMYFUNCTION("""COMPUTED_VALUE"""),"विशेषज्ञों की राय में धूम्रपान से हानियाँ : H_VM_08")</f>
        <v>विशेषज्ञों की राय में धूम्रपान से हानियाँ : H_VM_08</v>
      </c>
      <c r="CD506" s="3" t="str">
        <f ca="1">IFERROR(__xludf.DUMMYFUNCTION("""COMPUTED_VALUE"""),"https://vicharkrantibooks.org/productdetail?book_name=HINP0982_VISHESHAGYON_KI_RAY_MEIN_DHUMRAPAN_SE_HANIYAN_xxyyyy&amp;product_id=1547")</f>
        <v>https://vicharkrantibooks.org/productdetail?book_name=HINP0982_VISHESHAGYON_KI_RAY_MEIN_DHUMRAPAN_SE_HANIYAN_xxyyyy&amp;product_id=1547</v>
      </c>
      <c r="CE506" s="1" t="str">
        <f ca="1">IFERROR(__xludf.DUMMYFUNCTION("""COMPUTED_VALUE"""),"Audiobook : विशेषज्ञों की राय में धूम्रपान से हानियाँ : H_VM_08 : saratkar.awgp@gmail.com : Recorded")</f>
        <v>Audiobook : विशेषज्ञों की राय में धूम्रपान से हानियाँ : H_VM_08 : saratkar.awgp@gmail.com : Recorded</v>
      </c>
      <c r="CF506" s="1" t="str">
        <f ca="1">IFERROR(__xludf.DUMMYFUNCTION("""COMPUTED_VALUE"""),"Audiobook : विशेषज्ञों की राय में धूम्रपान से हानियाँ : H_VM_08 : saratkar.awgp@gmail.com : Recorded")</f>
        <v>Audiobook : विशेषज्ञों की राय में धूम्रपान से हानियाँ : H_VM_08 : saratkar.awgp@gmail.com : Recorded</v>
      </c>
      <c r="CG506" s="1" t="str">
        <f ca="1">IFERROR(__xludf.DUMMYFUNCTION("""COMPUTED_VALUE"""),"Adarniya Beniram Saratkar  ji विशेषज्ञों की राय में धूम्रपान से हानियाँ : H_VM_08 : Allocated on 16-Jan-24 Contact Number  +917218896169")</f>
        <v>Adarniya Beniram Saratkar  ji विशेषज्ञों की राय में धूम्रपान से हानियाँ : H_VM_08 : Allocated on 16-Jan-24 Contact Number  +917218896169</v>
      </c>
      <c r="CH506" s="1" t="str">
        <f ca="1">IFERROR(__xludf.DUMMYFUNCTION("""COMPUTED_VALUE"""),"saratkar.awgp@gmail.com : विशेषज्ञों की राय में धूम्रपान से हानियाँ : H_VM_08")</f>
        <v>saratkar.awgp@gmail.com : विशेषज्ञों की राय में धूम्रपान से हानियाँ : H_VM_08</v>
      </c>
      <c r="CI506" s="5">
        <f ca="1">IFERROR(__xludf.DUMMYFUNCTION("""COMPUTED_VALUE"""),45307.6534719328)</f>
        <v>45307.653471932797</v>
      </c>
    </row>
    <row r="507" spans="1:87" x14ac:dyDescent="0.25">
      <c r="A507" s="5">
        <f ca="1">IFERROR(__xludf.DUMMYFUNCTION("""COMPUTED_VALUE"""),45307.5297005092)</f>
        <v>45307.5297005092</v>
      </c>
      <c r="B507" s="1" t="str">
        <f ca="1">IFERROR(__xludf.DUMMYFUNCTION("""COMPUTED_VALUE"""),"anu161965@gmail.com")</f>
        <v>anu161965@gmail.com</v>
      </c>
      <c r="C507" s="1" t="str">
        <f ca="1">IFERROR(__xludf.DUMMYFUNCTION("""COMPUTED_VALUE"""),"Anureeta awadh")</f>
        <v>Anureeta awadh</v>
      </c>
      <c r="D507" s="1">
        <f ca="1">IFERROR(__xludf.DUMMYFUNCTION("""COMPUTED_VALUE"""),8860314422)</f>
        <v>8860314422</v>
      </c>
      <c r="E507" s="1" t="str">
        <f ca="1">IFERROR(__xludf.DUMMYFUNCTION("""COMPUTED_VALUE"""),"Yes")</f>
        <v>Yes</v>
      </c>
      <c r="F507" s="1" t="str">
        <f ca="1">IFERROR(__xludf.DUMMYFUNCTION("""COMPUTED_VALUE"""),"हिन्दी")</f>
        <v>हिन्दी</v>
      </c>
      <c r="G507" s="1" t="str">
        <f ca="1">IFERROR(__xludf.DUMMYFUNCTION("""COMPUTED_VALUE"""),"वैज्ञानिक अध्यात्मवाद का प्रतिपादन")</f>
        <v>वैज्ञानिक अध्यात्मवाद का प्रतिपादन</v>
      </c>
      <c r="H507" s="1"/>
      <c r="I507" s="1"/>
      <c r="J507" s="1"/>
      <c r="K507" s="1"/>
      <c r="L507" s="1"/>
      <c r="M507" s="1"/>
      <c r="N507" s="1"/>
      <c r="O507" s="1"/>
      <c r="P507" s="1"/>
      <c r="Q507" s="1"/>
      <c r="R507" s="1"/>
      <c r="S507" s="1" t="str">
        <f ca="1">IFERROR(__xludf.DUMMYFUNCTION("""COMPUTED_VALUE"""),"वैज्ञानिक अध्यात्मवाद का प्रतिपादन")</f>
        <v>वैज्ञानिक अध्यात्मवाद का प्रतिपादन</v>
      </c>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f ca="1">IFERROR(__xludf.DUMMYFUNCTION("""COMPUTED_VALUE"""),24)</f>
        <v>24</v>
      </c>
      <c r="BX507" s="1">
        <f ca="1">IFERROR(__xludf.DUMMYFUNCTION("""COMPUTED_VALUE"""),18)</f>
        <v>18</v>
      </c>
      <c r="BY507" s="1">
        <f ca="1">IFERROR(__xludf.DUMMYFUNCTION("""COMPUTED_VALUE"""),7)</f>
        <v>7</v>
      </c>
      <c r="BZ507" s="1">
        <f ca="1">IFERROR(__xludf.DUMMYFUNCTION("""COMPUTED_VALUE"""),5)</f>
        <v>5</v>
      </c>
      <c r="CA507" s="1"/>
      <c r="CB507" s="1"/>
      <c r="CC507" s="1" t="str">
        <f ca="1">IFERROR(__xludf.DUMMYFUNCTION("""COMPUTED_VALUE"""),"अध्यात्म और विज्ञान के समन्वय की शोध प्रक्रिया : Rare Book")</f>
        <v>अध्यात्म और विज्ञान के समन्वय की शोध प्रक्रिया : Rare Book</v>
      </c>
      <c r="CD507" s="3" t="str">
        <f ca="1">IFERROR(__xludf.DUMMYFUNCTION("""COMPUTED_VALUE"""),"https://vicharkrantibooks.org/productdetail?book_name=HINF0007_ADHYATM_AUR_VIGYAN_KE_SAMANVAY_KI_SHODH_PRAKRIYA_xxyyyy&amp;product_id=227")</f>
        <v>https://vicharkrantibooks.org/productdetail?book_name=HINF0007_ADHYATM_AUR_VIGYAN_KE_SAMANVAY_KI_SHODH_PRAKRIYA_xxyyyy&amp;product_id=227</v>
      </c>
      <c r="CE507" s="1" t="str">
        <f ca="1">IFERROR(__xludf.DUMMYFUNCTION("""COMPUTED_VALUE"""),"Audiobook : अध्यात्म और विज्ञान के समन्वय की शोध प्रक्रिया : Rare Book : anu161965@gmail.com : Recorded")</f>
        <v>Audiobook : अध्यात्म और विज्ञान के समन्वय की शोध प्रक्रिया : Rare Book : anu161965@gmail.com : Recorded</v>
      </c>
      <c r="CF507" s="1" t="str">
        <f ca="1">IFERROR(__xludf.DUMMYFUNCTION("""COMPUTED_VALUE"""),"Audiobook : अध्यात्म और विज्ञान के समन्वय की शोध प्रक्रिया : Rare Book : anu161965@gmail.com : Recorded")</f>
        <v>Audiobook : अध्यात्म और विज्ञान के समन्वय की शोध प्रक्रिया : Rare Book : anu161965@gmail.com : Recorded</v>
      </c>
      <c r="CG507" s="1" t="str">
        <f ca="1">IFERROR(__xludf.DUMMYFUNCTION("""COMPUTED_VALUE"""),"Adarniya Anureeta awadh ji अध्यात्म और विज्ञान के समन्वय की शोध प्रक्रिया : Rare Book : Allocated on 16-Jan-24 Contact Number  8860314422")</f>
        <v>Adarniya Anureeta awadh ji अध्यात्म और विज्ञान के समन्वय की शोध प्रक्रिया : Rare Book : Allocated on 16-Jan-24 Contact Number  8860314422</v>
      </c>
      <c r="CH507" s="1" t="str">
        <f ca="1">IFERROR(__xludf.DUMMYFUNCTION("""COMPUTED_VALUE"""),"anu161965@gmail.com : अध्यात्म और विज्ञान के समन्वय की शोध प्रक्रिया : Rare Book")</f>
        <v>anu161965@gmail.com : अध्यात्म और विज्ञान के समन्वय की शोध प्रक्रिया : Rare Book</v>
      </c>
      <c r="CI507" s="5">
        <f ca="1">IFERROR(__xludf.DUMMYFUNCTION("""COMPUTED_VALUE"""),45307.5297005092)</f>
        <v>45307.5297005092</v>
      </c>
    </row>
    <row r="508" spans="1:87" x14ac:dyDescent="0.25">
      <c r="A508" s="5">
        <f ca="1">IFERROR(__xludf.DUMMYFUNCTION("""COMPUTED_VALUE"""),45307.3584930324)</f>
        <v>45307.3584930324</v>
      </c>
      <c r="B508" s="1" t="str">
        <f ca="1">IFERROR(__xludf.DUMMYFUNCTION("""COMPUTED_VALUE"""),"purnima.bharadwaj.24@gmail.com")</f>
        <v>purnima.bharadwaj.24@gmail.com</v>
      </c>
      <c r="C508" s="1" t="str">
        <f ca="1">IFERROR(__xludf.DUMMYFUNCTION("""COMPUTED_VALUE"""),"पूर्णिमा भारद्वाज ")</f>
        <v xml:space="preserve">पूर्णिमा भारद्वाज </v>
      </c>
      <c r="D508" s="1">
        <f ca="1">IFERROR(__xludf.DUMMYFUNCTION("""COMPUTED_VALUE"""),9415389032)</f>
        <v>9415389032</v>
      </c>
      <c r="E508" s="1" t="str">
        <f ca="1">IFERROR(__xludf.DUMMYFUNCTION("""COMPUTED_VALUE"""),"Yes")</f>
        <v>Yes</v>
      </c>
      <c r="F508" s="1" t="str">
        <f ca="1">IFERROR(__xludf.DUMMYFUNCTION("""COMPUTED_VALUE"""),"हिन्दी")</f>
        <v>हिन्दी</v>
      </c>
      <c r="G508" s="1" t="str">
        <f ca="1">IFERROR(__xludf.DUMMYFUNCTION("""COMPUTED_VALUE"""),"युग द्रष्टा पं. श्रीराम शर्मा आचार्यजी")</f>
        <v>युग द्रष्टा पं. श्रीराम शर्मा आचार्यजी</v>
      </c>
      <c r="H508" s="1"/>
      <c r="I508" s="1"/>
      <c r="J508" s="1"/>
      <c r="K508" s="1"/>
      <c r="L508" s="1"/>
      <c r="M508" s="1"/>
      <c r="N508" s="1"/>
      <c r="O508" s="1"/>
      <c r="P508" s="1" t="str">
        <f ca="1">IFERROR(__xludf.DUMMYFUNCTION("""COMPUTED_VALUE"""),"युगॠषी की अमृतवाणी")</f>
        <v>युगॠषी की अमृतवाणी</v>
      </c>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f ca="1">IFERROR(__xludf.DUMMYFUNCTION("""COMPUTED_VALUE"""),43)</f>
        <v>43</v>
      </c>
      <c r="BX508" s="1">
        <f ca="1">IFERROR(__xludf.DUMMYFUNCTION("""COMPUTED_VALUE"""),36)</f>
        <v>36</v>
      </c>
      <c r="BY508" s="1">
        <f ca="1">IFERROR(__xludf.DUMMYFUNCTION("""COMPUTED_VALUE"""),9)</f>
        <v>9</v>
      </c>
      <c r="BZ508" s="1">
        <f ca="1">IFERROR(__xludf.DUMMYFUNCTION("""COMPUTED_VALUE"""),30)</f>
        <v>30</v>
      </c>
      <c r="CA508" s="1"/>
      <c r="CB508" s="1"/>
      <c r="CC508" s="1" t="str">
        <f ca="1">IFERROR(__xludf.DUMMYFUNCTION("""COMPUTED_VALUE"""),"सच्चा आध्यात्म आखिर है क्या? : H_JS_78")</f>
        <v>सच्चा आध्यात्म आखिर है क्या? : H_JS_78</v>
      </c>
      <c r="CD508" s="3" t="str">
        <f ca="1">IFERROR(__xludf.DUMMYFUNCTION("""COMPUTED_VALUE"""),"https://vicharkrantibooks.org/productdetail?book_name=HINP0730_SACHCHA_ADHYATM_AKHIR_HAI_KYA_xx2011&amp;product_id=1295")</f>
        <v>https://vicharkrantibooks.org/productdetail?book_name=HINP0730_SACHCHA_ADHYATM_AKHIR_HAI_KYA_xx2011&amp;product_id=1295</v>
      </c>
      <c r="CE508" s="1" t="str">
        <f ca="1">IFERROR(__xludf.DUMMYFUNCTION("""COMPUTED_VALUE"""),"Audiobook : सच्चा आध्यात्म आखिर है क्या? : H_JS_78 : purnima.bharadwaj.24@gmail.com : Recorded")</f>
        <v>Audiobook : सच्चा आध्यात्म आखिर है क्या? : H_JS_78 : purnima.bharadwaj.24@gmail.com : Recorded</v>
      </c>
      <c r="CF508" s="1" t="str">
        <f ca="1">IFERROR(__xludf.DUMMYFUNCTION("""COMPUTED_VALUE"""),"Audiobook : सच्चा आध्यात्म आखिर है क्या? : H_JS_78 : purnima.bharadwaj.24@gmail.com : Recorded")</f>
        <v>Audiobook : सच्चा आध्यात्म आखिर है क्या? : H_JS_78 : purnima.bharadwaj.24@gmail.com : Recorded</v>
      </c>
      <c r="CG508" s="1" t="str">
        <f ca="1">IFERROR(__xludf.DUMMYFUNCTION("""COMPUTED_VALUE"""),"Adarniya पूर्णिमा भारद्वाज  ji सच्चा आध्यात्म आखिर है क्या? : H_JS_78 : Allocated on 16-Jan-24 Contact Number  9415389032")</f>
        <v>Adarniya पूर्णिमा भारद्वाज  ji सच्चा आध्यात्म आखिर है क्या? : H_JS_78 : Allocated on 16-Jan-24 Contact Number  9415389032</v>
      </c>
      <c r="CH508" s="1" t="str">
        <f ca="1">IFERROR(__xludf.DUMMYFUNCTION("""COMPUTED_VALUE"""),"purnima.bharadwaj.24@gmail.com : सच्चा आध्यात्म आखिर है क्या? : H_JS_78")</f>
        <v>purnima.bharadwaj.24@gmail.com : सच्चा आध्यात्म आखिर है क्या? : H_JS_78</v>
      </c>
      <c r="CI508" s="5">
        <f ca="1">IFERROR(__xludf.DUMMYFUNCTION("""COMPUTED_VALUE"""),45307.3584930324)</f>
        <v>45307.3584930324</v>
      </c>
    </row>
    <row r="509" spans="1:87" x14ac:dyDescent="0.25">
      <c r="A509" s="5">
        <f ca="1">IFERROR(__xludf.DUMMYFUNCTION("""COMPUTED_VALUE"""),45306.6985129976)</f>
        <v>45306.698512997602</v>
      </c>
      <c r="B509" s="1" t="str">
        <f ca="1">IFERROR(__xludf.DUMMYFUNCTION("""COMPUTED_VALUE"""),"nksaxena.yoga@gmail.com")</f>
        <v>nksaxena.yoga@gmail.com</v>
      </c>
      <c r="C509" s="1" t="str">
        <f ca="1">IFERROR(__xludf.DUMMYFUNCTION("""COMPUTED_VALUE"""),"Narendra Kumar Saxena ")</f>
        <v xml:space="preserve">Narendra Kumar Saxena </v>
      </c>
      <c r="D509" s="1" t="str">
        <f ca="1">IFERROR(__xludf.DUMMYFUNCTION("""COMPUTED_VALUE"""),"08826499188")</f>
        <v>08826499188</v>
      </c>
      <c r="E509" s="1" t="str">
        <f ca="1">IFERROR(__xludf.DUMMYFUNCTION("""COMPUTED_VALUE"""),"Yes")</f>
        <v>Yes</v>
      </c>
      <c r="F509" s="1" t="str">
        <f ca="1">IFERROR(__xludf.DUMMYFUNCTION("""COMPUTED_VALUE"""),"हिन्दी")</f>
        <v>हिन्दी</v>
      </c>
      <c r="G509" s="1" t="str">
        <f ca="1">IFERROR(__xludf.DUMMYFUNCTION("""COMPUTED_VALUE"""),"समग्र स्वास्थ्य")</f>
        <v>समग्र स्वास्थ्य</v>
      </c>
      <c r="H509" s="1"/>
      <c r="I509" s="1"/>
      <c r="J509" s="1"/>
      <c r="K509" s="1"/>
      <c r="L509" s="1"/>
      <c r="M509" s="1"/>
      <c r="N509" s="1"/>
      <c r="O509" s="1"/>
      <c r="P509" s="1"/>
      <c r="Q509" s="1"/>
      <c r="R509" s="1"/>
      <c r="S509" s="1"/>
      <c r="T509" s="1"/>
      <c r="U509" s="1" t="str">
        <f ca="1">IFERROR(__xludf.DUMMYFUNCTION("""COMPUTED_VALUE"""),"आहार-विहार एवं उपवास")</f>
        <v>आहार-विहार एवं उपवास</v>
      </c>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f ca="1">IFERROR(__xludf.DUMMYFUNCTION("""COMPUTED_VALUE"""),29)</f>
        <v>29</v>
      </c>
      <c r="BX509" s="1">
        <f ca="1">IFERROR(__xludf.DUMMYFUNCTION("""COMPUTED_VALUE"""),30)</f>
        <v>30</v>
      </c>
      <c r="BY509" s="1">
        <f ca="1">IFERROR(__xludf.DUMMYFUNCTION("""COMPUTED_VALUE"""),3)</f>
        <v>3</v>
      </c>
      <c r="BZ509" s="1">
        <f ca="1">IFERROR(__xludf.DUMMYFUNCTION("""COMPUTED_VALUE"""),25)</f>
        <v>25</v>
      </c>
      <c r="CA509" s="1"/>
      <c r="CB509" s="1"/>
      <c r="CC509" s="1" t="str">
        <f ca="1">IFERROR(__xludf.DUMMYFUNCTION("""COMPUTED_VALUE"""),"रोगों का कारण और निवारण : Rare Book")</f>
        <v>रोगों का कारण और निवारण : Rare Book</v>
      </c>
      <c r="CD509" s="3" t="str">
        <f ca="1">IFERROR(__xludf.DUMMYFUNCTION("""COMPUTED_VALUE"""),"https://vicharkrantibooks.org/productdetail?book_name=HINP0707_ROGON_KA_KARAN_AUR_NIVARAN_xxyyyy&amp;product_id=1272")</f>
        <v>https://vicharkrantibooks.org/productdetail?book_name=HINP0707_ROGON_KA_KARAN_AUR_NIVARAN_xxyyyy&amp;product_id=1272</v>
      </c>
      <c r="CE509" s="1" t="str">
        <f ca="1">IFERROR(__xludf.DUMMYFUNCTION("""COMPUTED_VALUE"""),"Audiobook : रोगों का कारण और निवारण : Rare Book : nksaxena.yoga@gmail.com : Recorded")</f>
        <v>Audiobook : रोगों का कारण और निवारण : Rare Book : nksaxena.yoga@gmail.com : Recorded</v>
      </c>
      <c r="CF509" s="1" t="str">
        <f ca="1">IFERROR(__xludf.DUMMYFUNCTION("""COMPUTED_VALUE"""),"Audiobook : रोगों का कारण और निवारण : Rare Book : nksaxena.yoga@gmail.com : Recorded")</f>
        <v>Audiobook : रोगों का कारण और निवारण : Rare Book : nksaxena.yoga@gmail.com : Recorded</v>
      </c>
      <c r="CG509" s="1" t="str">
        <f ca="1">IFERROR(__xludf.DUMMYFUNCTION("""COMPUTED_VALUE"""),"Adarniya Narendra Kumar Saxena  ji रोगों का कारण और निवारण : Rare Book : Allocated on 15-Jan-24 Contact Number  08826499188")</f>
        <v>Adarniya Narendra Kumar Saxena  ji रोगों का कारण और निवारण : Rare Book : Allocated on 15-Jan-24 Contact Number  08826499188</v>
      </c>
      <c r="CH509" s="1" t="str">
        <f ca="1">IFERROR(__xludf.DUMMYFUNCTION("""COMPUTED_VALUE"""),"nksaxena.yoga@gmail.com : रोगों का कारण और निवारण : Rare Book")</f>
        <v>nksaxena.yoga@gmail.com : रोगों का कारण और निवारण : Rare Book</v>
      </c>
      <c r="CI509" s="5">
        <f ca="1">IFERROR(__xludf.DUMMYFUNCTION("""COMPUTED_VALUE"""),45306.6985129976)</f>
        <v>45306.698512997602</v>
      </c>
    </row>
    <row r="510" spans="1:87" x14ac:dyDescent="0.25">
      <c r="A510" s="5">
        <f ca="1">IFERROR(__xludf.DUMMYFUNCTION("""COMPUTED_VALUE"""),45304.8952660532)</f>
        <v>45304.895266053201</v>
      </c>
      <c r="B510" s="1" t="str">
        <f ca="1">IFERROR(__xludf.DUMMYFUNCTION("""COMPUTED_VALUE"""),"shweta.r.gupta79@gmail.com")</f>
        <v>shweta.r.gupta79@gmail.com</v>
      </c>
      <c r="C510" s="1" t="str">
        <f ca="1">IFERROR(__xludf.DUMMYFUNCTION("""COMPUTED_VALUE"""),"Shweta Gupta ")</f>
        <v xml:space="preserve">Shweta Gupta </v>
      </c>
      <c r="D510" s="1">
        <f ca="1">IFERROR(__xludf.DUMMYFUNCTION("""COMPUTED_VALUE"""),8369516724)</f>
        <v>8369516724</v>
      </c>
      <c r="E510" s="1" t="str">
        <f ca="1">IFERROR(__xludf.DUMMYFUNCTION("""COMPUTED_VALUE"""),"Yes")</f>
        <v>Yes</v>
      </c>
      <c r="F510" s="1"/>
      <c r="G510" s="1" t="str">
        <f ca="1">IFERROR(__xludf.DUMMYFUNCTION("""COMPUTED_VALUE"""),"परिवार निर्माण")</f>
        <v>परिवार निर्माण</v>
      </c>
      <c r="H510" s="1"/>
      <c r="I510" s="1"/>
      <c r="J510" s="1"/>
      <c r="K510" s="1"/>
      <c r="L510" s="1"/>
      <c r="M510" s="1" t="str">
        <f ca="1">IFERROR(__xludf.DUMMYFUNCTION("""COMPUTED_VALUE"""),"परिवार")</f>
        <v>परिवार</v>
      </c>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f ca="1">IFERROR(__xludf.DUMMYFUNCTION("""COMPUTED_VALUE"""),31)</f>
        <v>31</v>
      </c>
      <c r="BX510" s="1">
        <f ca="1">IFERROR(__xludf.DUMMYFUNCTION("""COMPUTED_VALUE"""),45)</f>
        <v>45</v>
      </c>
      <c r="BY510" s="1">
        <f ca="1">IFERROR(__xludf.DUMMYFUNCTION("""COMPUTED_VALUE"""),3)</f>
        <v>3</v>
      </c>
      <c r="BZ510" s="1">
        <f ca="1">IFERROR(__xludf.DUMMYFUNCTION("""COMPUTED_VALUE"""),40)</f>
        <v>40</v>
      </c>
      <c r="CA510" s="1"/>
      <c r="CB510" s="1"/>
      <c r="CC510" s="1" t="str">
        <f ca="1">IFERROR(__xludf.DUMMYFUNCTION("""COMPUTED_VALUE"""),"यज्ञाग्नि हमारी पुरोहित : H_JS_45")</f>
        <v>यज्ञाग्नि हमारी पुरोहित : H_JS_45</v>
      </c>
      <c r="CD510" s="3" t="str">
        <f ca="1">IFERROR(__xludf.DUMMYFUNCTION("""COMPUTED_VALUE"""),"https://vicharkrantibooks.org/productdetail?book_name=HINP1020_YAGYAGNI_HAMARI_PUROHIT_xx2011&amp;product_id=1585")</f>
        <v>https://vicharkrantibooks.org/productdetail?book_name=HINP1020_YAGYAGNI_HAMARI_PUROHIT_xx2011&amp;product_id=1585</v>
      </c>
      <c r="CE510" s="1" t="str">
        <f ca="1">IFERROR(__xludf.DUMMYFUNCTION("""COMPUTED_VALUE"""),"Audiobook : यज्ञाग्नि हमारी पुरोहित : H_JS_45 : shweta.r.gupta79@gmail.com : Recorded")</f>
        <v>Audiobook : यज्ञाग्नि हमारी पुरोहित : H_JS_45 : shweta.r.gupta79@gmail.com : Recorded</v>
      </c>
      <c r="CF510" s="1" t="str">
        <f ca="1">IFERROR(__xludf.DUMMYFUNCTION("""COMPUTED_VALUE"""),"Audiobook : यज्ञाग्नि हमारी पुरोहित : H_JS_45 : shweta.r.gupta79@gmail.com : Recorded")</f>
        <v>Audiobook : यज्ञाग्नि हमारी पुरोहित : H_JS_45 : shweta.r.gupta79@gmail.com : Recorded</v>
      </c>
      <c r="CG510" s="1" t="str">
        <f ca="1">IFERROR(__xludf.DUMMYFUNCTION("""COMPUTED_VALUE"""),"Adarniya Shweta Gupta  ji यज्ञाग्नि हमारी पुरोहित : H_JS_45 : Allocated on 13-Jan-24 Contact Number  8369516724")</f>
        <v>Adarniya Shweta Gupta  ji यज्ञाग्नि हमारी पुरोहित : H_JS_45 : Allocated on 13-Jan-24 Contact Number  8369516724</v>
      </c>
      <c r="CH510" s="1" t="str">
        <f ca="1">IFERROR(__xludf.DUMMYFUNCTION("""COMPUTED_VALUE"""),"shweta.r.gupta79@gmail.com : यज्ञाग्नि हमारी पुरोहित : H_JS_45")</f>
        <v>shweta.r.gupta79@gmail.com : यज्ञाग्नि हमारी पुरोहित : H_JS_45</v>
      </c>
      <c r="CI510" s="5">
        <f ca="1">IFERROR(__xludf.DUMMYFUNCTION("""COMPUTED_VALUE"""),45304.8952660532)</f>
        <v>45304.895266053201</v>
      </c>
    </row>
    <row r="511" spans="1:87" x14ac:dyDescent="0.25">
      <c r="A511" s="5">
        <f ca="1">IFERROR(__xludf.DUMMYFUNCTION("""COMPUTED_VALUE"""),45304.3548933564)</f>
        <v>45304.354893356402</v>
      </c>
      <c r="B511" s="1" t="str">
        <f ca="1">IFERROR(__xludf.DUMMYFUNCTION("""COMPUTED_VALUE"""),"shivangijyoti@gmail.com")</f>
        <v>shivangijyoti@gmail.com</v>
      </c>
      <c r="C511" s="1" t="str">
        <f ca="1">IFERROR(__xludf.DUMMYFUNCTION("""COMPUTED_VALUE"""),"Jyoti Shrivastava ")</f>
        <v xml:space="preserve">Jyoti Shrivastava </v>
      </c>
      <c r="D511" s="1">
        <f ca="1">IFERROR(__xludf.DUMMYFUNCTION("""COMPUTED_VALUE"""),9406759903)</f>
        <v>9406759903</v>
      </c>
      <c r="E511" s="1" t="str">
        <f ca="1">IFERROR(__xludf.DUMMYFUNCTION("""COMPUTED_VALUE"""),"Yes")</f>
        <v>Yes</v>
      </c>
      <c r="F511" s="1" t="str">
        <f ca="1">IFERROR(__xludf.DUMMYFUNCTION("""COMPUTED_VALUE"""),"हिन्दी")</f>
        <v>हिन्दी</v>
      </c>
      <c r="G511" s="1" t="str">
        <f ca="1">IFERROR(__xludf.DUMMYFUNCTION("""COMPUTED_VALUE"""),"युग द्रष्टा पं. श्रीराम शर्मा आचार्यजी")</f>
        <v>युग द्रष्टा पं. श्रीराम शर्मा आचार्यजी</v>
      </c>
      <c r="H511" s="1"/>
      <c r="I511" s="1"/>
      <c r="J511" s="1"/>
      <c r="K511" s="1"/>
      <c r="L511" s="1"/>
      <c r="M511" s="1"/>
      <c r="N511" s="1"/>
      <c r="O511" s="1"/>
      <c r="P511" s="1" t="str">
        <f ca="1">IFERROR(__xludf.DUMMYFUNCTION("""COMPUTED_VALUE"""),"युगॠषी की अमृतवाणी")</f>
        <v>युगॠषी की अमृतवाणी</v>
      </c>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f ca="1">IFERROR(__xludf.DUMMYFUNCTION("""COMPUTED_VALUE"""),6)</f>
        <v>6</v>
      </c>
      <c r="BX511" s="1">
        <f ca="1">IFERROR(__xludf.DUMMYFUNCTION("""COMPUTED_VALUE"""),1)</f>
        <v>1</v>
      </c>
      <c r="BY511" s="1">
        <f ca="1">IFERROR(__xludf.DUMMYFUNCTION("""COMPUTED_VALUE"""),5)</f>
        <v>5</v>
      </c>
      <c r="BZ511" s="1">
        <f ca="1">IFERROR(__xludf.DUMMYFUNCTION("""COMPUTED_VALUE"""),0)</f>
        <v>0</v>
      </c>
      <c r="CA511" s="1"/>
      <c r="CB511" s="1"/>
      <c r="CC511" s="1" t="str">
        <f ca="1">IFERROR(__xludf.DUMMYFUNCTION("""COMPUTED_VALUE"""),"असन्तुलन को मिटाने वाली अवतार प्रक्रिया का आविर्भाव सन्निकट : Rare Book")</f>
        <v>असन्तुलन को मिटाने वाली अवतार प्रक्रिया का आविर्भाव सन्निकट : Rare Book</v>
      </c>
      <c r="CD511" s="3" t="str">
        <f ca="1">IFERROR(__xludf.DUMMYFUNCTION("""COMPUTED_VALUE"""),"https://vicharkrantibooks.org/productdetail?book_name=HINF0036_ASANTULAN_KO_MITANE_VALI_AVTAR_PRAKRIYA_KA_AVIRBHAV_SANNIKAT_xxyyyy&amp;product_id=256")</f>
        <v>https://vicharkrantibooks.org/productdetail?book_name=HINF0036_ASANTULAN_KO_MITANE_VALI_AVTAR_PRAKRIYA_KA_AVIRBHAV_SANNIKAT_xxyyyy&amp;product_id=256</v>
      </c>
      <c r="CE511" s="1" t="str">
        <f ca="1">IFERROR(__xludf.DUMMYFUNCTION("""COMPUTED_VALUE"""),"Audiobook : असन्तुलन को मिटाने वाली अवतार प्रक्रिया का आविर्भाव सन्निकट : Rare Book : shivangijyoti@gmail.com : Recorded")</f>
        <v>Audiobook : असन्तुलन को मिटाने वाली अवतार प्रक्रिया का आविर्भाव सन्निकट : Rare Book : shivangijyoti@gmail.com : Recorded</v>
      </c>
      <c r="CF511" s="1" t="str">
        <f ca="1">IFERROR(__xludf.DUMMYFUNCTION("""COMPUTED_VALUE"""),"#N/A")</f>
        <v>#N/A</v>
      </c>
      <c r="CG511" s="1" t="str">
        <f ca="1">IFERROR(__xludf.DUMMYFUNCTION("""COMPUTED_VALUE"""),"Adarniya Jyoti Shrivastava  ji असन्तुलन को मिटाने वाली अवतार प्रक्रिया का आविर्भाव सन्निकट : Rare Book : Allocated on 13-Jan-24 Contact Number  9406759903")</f>
        <v>Adarniya Jyoti Shrivastava  ji असन्तुलन को मिटाने वाली अवतार प्रक्रिया का आविर्भाव सन्निकट : Rare Book : Allocated on 13-Jan-24 Contact Number  9406759903</v>
      </c>
      <c r="CH511" s="1" t="str">
        <f ca="1">IFERROR(__xludf.DUMMYFUNCTION("""COMPUTED_VALUE"""),"shivangijyoti@gmail.com : असन्तुलन को मिटाने वाली अवतार प्रक्रिया का आविर्भाव सन्निकट : Rare Book")</f>
        <v>shivangijyoti@gmail.com : असन्तुलन को मिटाने वाली अवतार प्रक्रिया का आविर्भाव सन्निकट : Rare Book</v>
      </c>
      <c r="CI511" s="5">
        <f ca="1">IFERROR(__xludf.DUMMYFUNCTION("""COMPUTED_VALUE"""),45304.3548933564)</f>
        <v>45304.354893356402</v>
      </c>
    </row>
    <row r="512" spans="1:87" x14ac:dyDescent="0.25">
      <c r="A512" s="5">
        <f ca="1">IFERROR(__xludf.DUMMYFUNCTION("""COMPUTED_VALUE"""),45304.2149400462)</f>
        <v>45304.2149400462</v>
      </c>
      <c r="B512" s="1" t="str">
        <f ca="1">IFERROR(__xludf.DUMMYFUNCTION("""COMPUTED_VALUE"""),"apoorva2027@gmail.com")</f>
        <v>apoorva2027@gmail.com</v>
      </c>
      <c r="C512" s="1" t="str">
        <f ca="1">IFERROR(__xludf.DUMMYFUNCTION("""COMPUTED_VALUE"""),"Apoorva Sri ")</f>
        <v xml:space="preserve">Apoorva Sri </v>
      </c>
      <c r="D512" s="1">
        <f ca="1">IFERROR(__xludf.DUMMYFUNCTION("""COMPUTED_VALUE"""),9971378149)</f>
        <v>9971378149</v>
      </c>
      <c r="E512" s="1" t="str">
        <f ca="1">IFERROR(__xludf.DUMMYFUNCTION("""COMPUTED_VALUE"""),"Yes")</f>
        <v>Yes</v>
      </c>
      <c r="F512" s="1" t="str">
        <f ca="1">IFERROR(__xludf.DUMMYFUNCTION("""COMPUTED_VALUE"""),"English")</f>
        <v>English</v>
      </c>
      <c r="G512" s="1" t="str">
        <f ca="1">IFERROR(__xludf.DUMMYFUNCTION("""COMPUTED_VALUE"""),"English")</f>
        <v>English</v>
      </c>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f ca="1">IFERROR(__xludf.DUMMYFUNCTION("""COMPUTED_VALUE"""),2)</f>
        <v>2</v>
      </c>
      <c r="BX512" s="1">
        <f ca="1">IFERROR(__xludf.DUMMYFUNCTION("""COMPUTED_VALUE"""),0)</f>
        <v>0</v>
      </c>
      <c r="BY512" s="1">
        <f ca="1">IFERROR(__xludf.DUMMYFUNCTION("""COMPUTED_VALUE"""),2)</f>
        <v>2</v>
      </c>
      <c r="BZ512" s="1">
        <f ca="1">IFERROR(__xludf.DUMMYFUNCTION("""COMPUTED_VALUE"""),0)</f>
        <v>0</v>
      </c>
      <c r="CA512" s="1"/>
      <c r="CB512" s="1"/>
      <c r="CC512" s="1" t="str">
        <f ca="1">IFERROR(__xludf.DUMMYFUNCTION("""COMPUTED_VALUE"""),"Assign Your Goals In Student Life : EP_122")</f>
        <v>Assign Your Goals In Student Life : EP_122</v>
      </c>
      <c r="CD512" s="3" t="str">
        <f ca="1">IFERROR(__xludf.DUMMYFUNCTION("""COMPUTED_VALUE"""),"https://vicharkrantibooks.org/productdetail?book_name=ENGP0968_ASSIGN_YOUR_GOALS_IN_STUDENT_LIFE_xxyyyy&amp;product_id=3507")</f>
        <v>https://vicharkrantibooks.org/productdetail?book_name=ENGP0968_ASSIGN_YOUR_GOALS_IN_STUDENT_LIFE_xxyyyy&amp;product_id=3507</v>
      </c>
      <c r="CE512" s="1" t="str">
        <f ca="1">IFERROR(__xludf.DUMMYFUNCTION("""COMPUTED_VALUE"""),"Audiobook : Assign Your Goals In Student Life : EP_122 : apoorva2027@gmail.com : Recorded")</f>
        <v>Audiobook : Assign Your Goals In Student Life : EP_122 : apoorva2027@gmail.com : Recorded</v>
      </c>
      <c r="CF512" s="1" t="str">
        <f ca="1">IFERROR(__xludf.DUMMYFUNCTION("""COMPUTED_VALUE"""),"#N/A")</f>
        <v>#N/A</v>
      </c>
      <c r="CG512" s="1" t="str">
        <f ca="1">IFERROR(__xludf.DUMMYFUNCTION("""COMPUTED_VALUE"""),"Adarniya Apoorva Sri  ji Assign Your Goals In Student Life : EP_122 : Allocated on 13-Jan-24 Contact Number  9971378149")</f>
        <v>Adarniya Apoorva Sri  ji Assign Your Goals In Student Life : EP_122 : Allocated on 13-Jan-24 Contact Number  9971378149</v>
      </c>
      <c r="CH512" s="1" t="str">
        <f ca="1">IFERROR(__xludf.DUMMYFUNCTION("""COMPUTED_VALUE"""),"apoorva2027@gmail.com : Assign Your Goals In Student Life : EP_122")</f>
        <v>apoorva2027@gmail.com : Assign Your Goals In Student Life : EP_122</v>
      </c>
      <c r="CI512" s="5">
        <f ca="1">IFERROR(__xludf.DUMMYFUNCTION("""COMPUTED_VALUE"""),45304.2149400462)</f>
        <v>45304.2149400462</v>
      </c>
    </row>
    <row r="513" spans="1:87" x14ac:dyDescent="0.25">
      <c r="A513" s="5">
        <f ca="1">IFERROR(__xludf.DUMMYFUNCTION("""COMPUTED_VALUE"""),45303.8756243865)</f>
        <v>45303.875624386499</v>
      </c>
      <c r="B513" s="1" t="str">
        <f ca="1">IFERROR(__xludf.DUMMYFUNCTION("""COMPUTED_VALUE"""),"purnima.bharadwaj.24@gmail.com")</f>
        <v>purnima.bharadwaj.24@gmail.com</v>
      </c>
      <c r="C513" s="1" t="str">
        <f ca="1">IFERROR(__xludf.DUMMYFUNCTION("""COMPUTED_VALUE"""),"पूर्णिमा भारद्वाज ")</f>
        <v xml:space="preserve">पूर्णिमा भारद्वाज </v>
      </c>
      <c r="D513" s="1">
        <f ca="1">IFERROR(__xludf.DUMMYFUNCTION("""COMPUTED_VALUE"""),9415389032)</f>
        <v>9415389032</v>
      </c>
      <c r="E513" s="1" t="str">
        <f ca="1">IFERROR(__xludf.DUMMYFUNCTION("""COMPUTED_VALUE"""),"Yes")</f>
        <v>Yes</v>
      </c>
      <c r="F513" s="1" t="str">
        <f ca="1">IFERROR(__xludf.DUMMYFUNCTION("""COMPUTED_VALUE"""),"हिन्दी")</f>
        <v>हिन्दी</v>
      </c>
      <c r="G513" s="1" t="str">
        <f ca="1">IFERROR(__xludf.DUMMYFUNCTION("""COMPUTED_VALUE"""),"युग द्रष्टा पं. श्रीराम शर्मा आचार्यजी")</f>
        <v>युग द्रष्टा पं. श्रीराम शर्मा आचार्यजी</v>
      </c>
      <c r="H513" s="1"/>
      <c r="I513" s="1"/>
      <c r="J513" s="1"/>
      <c r="K513" s="1"/>
      <c r="L513" s="1"/>
      <c r="M513" s="1"/>
      <c r="N513" s="1"/>
      <c r="O513" s="1"/>
      <c r="P513" s="1" t="str">
        <f ca="1">IFERROR(__xludf.DUMMYFUNCTION("""COMPUTED_VALUE"""),"युगॠषी की अमृतवाणी")</f>
        <v>युगॠषी की अमृतवाणी</v>
      </c>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f ca="1">IFERROR(__xludf.DUMMYFUNCTION("""COMPUTED_VALUE"""),43)</f>
        <v>43</v>
      </c>
      <c r="BX513" s="1">
        <f ca="1">IFERROR(__xludf.DUMMYFUNCTION("""COMPUTED_VALUE"""),36)</f>
        <v>36</v>
      </c>
      <c r="BY513" s="1">
        <f ca="1">IFERROR(__xludf.DUMMYFUNCTION("""COMPUTED_VALUE"""),9)</f>
        <v>9</v>
      </c>
      <c r="BZ513" s="1">
        <f ca="1">IFERROR(__xludf.DUMMYFUNCTION("""COMPUTED_VALUE"""),30)</f>
        <v>30</v>
      </c>
      <c r="CA513" s="1"/>
      <c r="CB513" s="1"/>
      <c r="CC513" s="1" t="str">
        <f ca="1">IFERROR(__xludf.DUMMYFUNCTION("""COMPUTED_VALUE"""),"हर घर बने देव मंदिर और ज्ञान मंदिर : H_JS_56")</f>
        <v>हर घर बने देव मंदिर और ज्ञान मंदिर : H_JS_56</v>
      </c>
      <c r="CD513" s="3" t="str">
        <f ca="1">IFERROR(__xludf.DUMMYFUNCTION("""COMPUTED_VALUE"""),"https://vicharkrantibooks.org/productdetail?book_name=HINP0340_HAR_GHAR_BANE_DEV_MANDIR_AUR_GYAN_MANDIR_xx2011&amp;product_id=905")</f>
        <v>https://vicharkrantibooks.org/productdetail?book_name=HINP0340_HAR_GHAR_BANE_DEV_MANDIR_AUR_GYAN_MANDIR_xx2011&amp;product_id=905</v>
      </c>
      <c r="CE513" s="1" t="str">
        <f ca="1">IFERROR(__xludf.DUMMYFUNCTION("""COMPUTED_VALUE"""),"Audiobook : हर घर बने देव मंदिर और ज्ञान मंदिर : H_JS_56 : purnima.bharadwaj.24@gmail.com : Recorded")</f>
        <v>Audiobook : हर घर बने देव मंदिर और ज्ञान मंदिर : H_JS_56 : purnima.bharadwaj.24@gmail.com : Recorded</v>
      </c>
      <c r="CF513" s="1" t="str">
        <f ca="1">IFERROR(__xludf.DUMMYFUNCTION("""COMPUTED_VALUE"""),"Audiobook : हर घर बने देव मंदिर और ज्ञान मंदिर : H_JS_56 : purnima.bharadwaj.24@gmail.com : Recorded")</f>
        <v>Audiobook : हर घर बने देव मंदिर और ज्ञान मंदिर : H_JS_56 : purnima.bharadwaj.24@gmail.com : Recorded</v>
      </c>
      <c r="CG513" s="1" t="str">
        <f ca="1">IFERROR(__xludf.DUMMYFUNCTION("""COMPUTED_VALUE"""),"Adarniya पूर्णिमा भारद्वाज  ji हर घर बने देव मंदिर और ज्ञान मंदिर : H_JS_56 : Allocated on 12-Jan-24 Contact Number  9415389032")</f>
        <v>Adarniya पूर्णिमा भारद्वाज  ji हर घर बने देव मंदिर और ज्ञान मंदिर : H_JS_56 : Allocated on 12-Jan-24 Contact Number  9415389032</v>
      </c>
      <c r="CH513" s="1" t="str">
        <f ca="1">IFERROR(__xludf.DUMMYFUNCTION("""COMPUTED_VALUE"""),"purnima.bharadwaj.24@gmail.com : हर घर बने देव मंदिर और ज्ञान मंदिर : H_JS_56")</f>
        <v>purnima.bharadwaj.24@gmail.com : हर घर बने देव मंदिर और ज्ञान मंदिर : H_JS_56</v>
      </c>
      <c r="CI513" s="5">
        <f ca="1">IFERROR(__xludf.DUMMYFUNCTION("""COMPUTED_VALUE"""),45303.8756243865)</f>
        <v>45303.875624386499</v>
      </c>
    </row>
    <row r="514" spans="1:87" x14ac:dyDescent="0.25">
      <c r="A514" s="5">
        <f ca="1">IFERROR(__xludf.DUMMYFUNCTION("""COMPUTED_VALUE"""),45303.6687767708)</f>
        <v>45303.668776770799</v>
      </c>
      <c r="B514" s="1" t="str">
        <f ca="1">IFERROR(__xludf.DUMMYFUNCTION("""COMPUTED_VALUE"""),"priyanshu.dsvv@gmail.com")</f>
        <v>priyanshu.dsvv@gmail.com</v>
      </c>
      <c r="C514" s="1" t="str">
        <f ca="1">IFERROR(__xludf.DUMMYFUNCTION("""COMPUTED_VALUE"""),"Indu")</f>
        <v>Indu</v>
      </c>
      <c r="D514" s="1">
        <f ca="1">IFERROR(__xludf.DUMMYFUNCTION("""COMPUTED_VALUE"""),7692077781)</f>
        <v>7692077781</v>
      </c>
      <c r="E514" s="1" t="str">
        <f ca="1">IFERROR(__xludf.DUMMYFUNCTION("""COMPUTED_VALUE"""),"No")</f>
        <v>No</v>
      </c>
      <c r="F514" s="1" t="str">
        <f ca="1">IFERROR(__xludf.DUMMYFUNCTION("""COMPUTED_VALUE"""),"हिन्दी")</f>
        <v>हिन्दी</v>
      </c>
      <c r="G514" s="1" t="str">
        <f ca="1">IFERROR(__xludf.DUMMYFUNCTION("""COMPUTED_VALUE"""),"युग द्रष्टा पं. श्रीराम शर्मा आचार्यजी")</f>
        <v>युग द्रष्टा पं. श्रीराम शर्मा आचार्यजी</v>
      </c>
      <c r="H514" s="1"/>
      <c r="I514" s="1"/>
      <c r="J514" s="1"/>
      <c r="K514" s="1"/>
      <c r="L514" s="1"/>
      <c r="M514" s="1"/>
      <c r="N514" s="1"/>
      <c r="O514" s="1"/>
      <c r="P514" s="1" t="str">
        <f ca="1">IFERROR(__xludf.DUMMYFUNCTION("""COMPUTED_VALUE"""),"युगॠषी की अमृतवाणी")</f>
        <v>युगॠषी की अमृतवाणी</v>
      </c>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f ca="1">IFERROR(__xludf.DUMMYFUNCTION("""COMPUTED_VALUE"""),2)</f>
        <v>2</v>
      </c>
      <c r="BX514" s="1">
        <f ca="1">IFERROR(__xludf.DUMMYFUNCTION("""COMPUTED_VALUE"""),0)</f>
        <v>0</v>
      </c>
      <c r="BY514" s="1">
        <f ca="1">IFERROR(__xludf.DUMMYFUNCTION("""COMPUTED_VALUE"""),2)</f>
        <v>2</v>
      </c>
      <c r="BZ514" s="1">
        <f ca="1">IFERROR(__xludf.DUMMYFUNCTION("""COMPUTED_VALUE"""),0)</f>
        <v>0</v>
      </c>
      <c r="CA514" s="1"/>
      <c r="CB514" s="1"/>
      <c r="CC514" s="1" t="str">
        <f ca="1">IFERROR(__xludf.DUMMYFUNCTION("""COMPUTED_VALUE"""),"अणु में विभु लघु में महान : Rare Book")</f>
        <v>अणु में विभु लघु में महान : Rare Book</v>
      </c>
      <c r="CD514" s="3" t="str">
        <f ca="1">IFERROR(__xludf.DUMMYFUNCTION("""COMPUTED_VALUE"""),"https://vicharkrantibooks.org/productdetail?book_name=HINF0030_ANU_MEIN_VIBHU_LAGHU_MEIN_MAHAN_xxyyyy&amp;product_id=250")</f>
        <v>https://vicharkrantibooks.org/productdetail?book_name=HINF0030_ANU_MEIN_VIBHU_LAGHU_MEIN_MAHAN_xxyyyy&amp;product_id=250</v>
      </c>
      <c r="CE514" s="1" t="str">
        <f ca="1">IFERROR(__xludf.DUMMYFUNCTION("""COMPUTED_VALUE"""),"Audiobook : अणु में विभु लघु में महान : Rare Book : priyanshu.dsvv@gmail.com : Recorded")</f>
        <v>Audiobook : अणु में विभु लघु में महान : Rare Book : priyanshu.dsvv@gmail.com : Recorded</v>
      </c>
      <c r="CF514" s="1" t="str">
        <f ca="1">IFERROR(__xludf.DUMMYFUNCTION("""COMPUTED_VALUE"""),"#N/A")</f>
        <v>#N/A</v>
      </c>
      <c r="CG514" s="1" t="str">
        <f ca="1">IFERROR(__xludf.DUMMYFUNCTION("""COMPUTED_VALUE"""),"Adarniya Indu ji अणु में विभु लघु में महान : Rare Book : Allocated on 12-Jan-24 Contact Number  7692077781")</f>
        <v>Adarniya Indu ji अणु में विभु लघु में महान : Rare Book : Allocated on 12-Jan-24 Contact Number  7692077781</v>
      </c>
      <c r="CH514" s="1" t="str">
        <f ca="1">IFERROR(__xludf.DUMMYFUNCTION("""COMPUTED_VALUE"""),"priyanshu.dsvv@gmail.com : अणु में विभु लघु में महान : Rare Book")</f>
        <v>priyanshu.dsvv@gmail.com : अणु में विभु लघु में महान : Rare Book</v>
      </c>
      <c r="CI514" s="5">
        <f ca="1">IFERROR(__xludf.DUMMYFUNCTION("""COMPUTED_VALUE"""),45303.6687767708)</f>
        <v>45303.668776770799</v>
      </c>
    </row>
    <row r="515" spans="1:87" x14ac:dyDescent="0.25">
      <c r="A515" s="5">
        <f ca="1">IFERROR(__xludf.DUMMYFUNCTION("""COMPUTED_VALUE"""),45303.6596749537)</f>
        <v>45303.659674953698</v>
      </c>
      <c r="B515" s="1" t="str">
        <f ca="1">IFERROR(__xludf.DUMMYFUNCTION("""COMPUTED_VALUE"""),"manjusrivastava349@gmail.com")</f>
        <v>manjusrivastava349@gmail.com</v>
      </c>
      <c r="C515" s="1" t="str">
        <f ca="1">IFERROR(__xludf.DUMMYFUNCTION("""COMPUTED_VALUE"""),"Manju srivastava")</f>
        <v>Manju srivastava</v>
      </c>
      <c r="D515" s="1">
        <f ca="1">IFERROR(__xludf.DUMMYFUNCTION("""COMPUTED_VALUE"""),9450345667)</f>
        <v>9450345667</v>
      </c>
      <c r="E515" s="1" t="str">
        <f ca="1">IFERROR(__xludf.DUMMYFUNCTION("""COMPUTED_VALUE"""),"Yes")</f>
        <v>Yes</v>
      </c>
      <c r="F515" s="1" t="str">
        <f ca="1">IFERROR(__xludf.DUMMYFUNCTION("""COMPUTED_VALUE"""),"हिन्दी")</f>
        <v>हिन्दी</v>
      </c>
      <c r="G515" s="1" t="str">
        <f ca="1">IFERROR(__xludf.DUMMYFUNCTION("""COMPUTED_VALUE"""),"युग द्रष्टा पं. श्रीराम शर्मा आचार्यजी")</f>
        <v>युग द्रष्टा पं. श्रीराम शर्मा आचार्यजी</v>
      </c>
      <c r="H515" s="1"/>
      <c r="I515" s="1"/>
      <c r="J515" s="1"/>
      <c r="K515" s="1"/>
      <c r="L515" s="1"/>
      <c r="M515" s="1"/>
      <c r="N515" s="1"/>
      <c r="O515" s="1"/>
      <c r="P515" s="1" t="str">
        <f ca="1">IFERROR(__xludf.DUMMYFUNCTION("""COMPUTED_VALUE"""),"युगॠषी की अमृतवाणी")</f>
        <v>युगॠषी की अमृतवाणी</v>
      </c>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f ca="1">IFERROR(__xludf.DUMMYFUNCTION("""COMPUTED_VALUE"""),10)</f>
        <v>10</v>
      </c>
      <c r="BX515" s="1">
        <f ca="1">IFERROR(__xludf.DUMMYFUNCTION("""COMPUTED_VALUE"""),12)</f>
        <v>12</v>
      </c>
      <c r="BY515" s="1">
        <f ca="1">IFERROR(__xludf.DUMMYFUNCTION("""COMPUTED_VALUE"""),0)</f>
        <v>0</v>
      </c>
      <c r="BZ515" s="1">
        <f ca="1">IFERROR(__xludf.DUMMYFUNCTION("""COMPUTED_VALUE"""),2)</f>
        <v>2</v>
      </c>
      <c r="CA515" s="1"/>
      <c r="CB515" s="1"/>
      <c r="CC515" s="1" t="str">
        <f ca="1">IFERROR(__xludf.DUMMYFUNCTION("""COMPUTED_VALUE"""),"अध्यात्म अर्थात्‌ उत्कृष्ट चिंतन आदर्श कर्तृत्व : Rare Book")</f>
        <v>अध्यात्म अर्थात्‌ उत्कृष्ट चिंतन आदर्श कर्तृत्व : Rare Book</v>
      </c>
      <c r="CD515" s="3" t="str">
        <f ca="1">IFERROR(__xludf.DUMMYFUNCTION("""COMPUTED_VALUE"""),"https://vicharkrantibooks.org/productdetail?book_name=HINP0010_ADHYATM_ARTHAT%E2%80%8C_UTKRUSHT_CHINTAN_ADARSH_KARTUTV_xx1982&amp;product_id=575")</f>
        <v>https://vicharkrantibooks.org/productdetail?book_name=HINP0010_ADHYATM_ARTHAT%E2%80%8C_UTKRUSHT_CHINTAN_ADARSH_KARTUTV_xx1982&amp;product_id=575</v>
      </c>
      <c r="CE515" s="1" t="str">
        <f ca="1">IFERROR(__xludf.DUMMYFUNCTION("""COMPUTED_VALUE"""),"Audiobook : अध्यात्म अर्थात्‌ उत्कृष्ट चिंतन आदर्श कर्तृत्व : Rare Book : manjusrivastava349@gmail.com : Recorded")</f>
        <v>Audiobook : अध्यात्म अर्थात्‌ उत्कृष्ट चिंतन आदर्श कर्तृत्व : Rare Book : manjusrivastava349@gmail.com : Recorded</v>
      </c>
      <c r="CF515" s="1" t="str">
        <f ca="1">IFERROR(__xludf.DUMMYFUNCTION("""COMPUTED_VALUE"""),"Audiobook : अध्यात्म अर्थात्‌ उत्कृष्ट चिंतन आदर्श कर्तृत्व : Rare Book : manjusrivastava349@gmail.com : Recorded")</f>
        <v>Audiobook : अध्यात्म अर्थात्‌ उत्कृष्ट चिंतन आदर्श कर्तृत्व : Rare Book : manjusrivastava349@gmail.com : Recorded</v>
      </c>
      <c r="CG515" s="1" t="str">
        <f ca="1">IFERROR(__xludf.DUMMYFUNCTION("""COMPUTED_VALUE"""),"Adarniya Manju srivastava ji अध्यात्म अर्थात्‌ उत्कृष्ट चिंतन आदर्श कर्तृत्व : Rare Book : Allocated on 12-Jan-24 Contact Number  9450345667")</f>
        <v>Adarniya Manju srivastava ji अध्यात्म अर्थात्‌ उत्कृष्ट चिंतन आदर्श कर्तृत्व : Rare Book : Allocated on 12-Jan-24 Contact Number  9450345667</v>
      </c>
      <c r="CH515" s="1" t="str">
        <f ca="1">IFERROR(__xludf.DUMMYFUNCTION("""COMPUTED_VALUE"""),"manjusrivastava349@gmail.com : अध्यात्म अर्थात्‌ उत्कृष्ट चिंतन आदर्श कर्तृत्व : Rare Book")</f>
        <v>manjusrivastava349@gmail.com : अध्यात्म अर्थात्‌ उत्कृष्ट चिंतन आदर्श कर्तृत्व : Rare Book</v>
      </c>
      <c r="CI515" s="5">
        <f ca="1">IFERROR(__xludf.DUMMYFUNCTION("""COMPUTED_VALUE"""),45303.6596749537)</f>
        <v>45303.659674953698</v>
      </c>
    </row>
    <row r="516" spans="1:87" x14ac:dyDescent="0.25">
      <c r="A516" s="5">
        <f ca="1">IFERROR(__xludf.DUMMYFUNCTION("""COMPUTED_VALUE"""),45303.3635857176)</f>
        <v>45303.363585717598</v>
      </c>
      <c r="B516" s="1" t="str">
        <f ca="1">IFERROR(__xludf.DUMMYFUNCTION("""COMPUTED_VALUE"""),"druma4107@gmail.com")</f>
        <v>druma4107@gmail.com</v>
      </c>
      <c r="C516" s="1" t="str">
        <f ca="1">IFERROR(__xludf.DUMMYFUNCTION("""COMPUTED_VALUE"""),"Dr Uma Agrawal")</f>
        <v>Dr Uma Agrawal</v>
      </c>
      <c r="D516" s="1">
        <f ca="1">IFERROR(__xludf.DUMMYFUNCTION("""COMPUTED_VALUE"""),9410861182)</f>
        <v>9410861182</v>
      </c>
      <c r="E516" s="1" t="str">
        <f ca="1">IFERROR(__xludf.DUMMYFUNCTION("""COMPUTED_VALUE"""),"Yes")</f>
        <v>Yes</v>
      </c>
      <c r="F516" s="1" t="str">
        <f ca="1">IFERROR(__xludf.DUMMYFUNCTION("""COMPUTED_VALUE"""),"हिन्दी")</f>
        <v>हिन्दी</v>
      </c>
      <c r="G516" s="1" t="str">
        <f ca="1">IFERROR(__xludf.DUMMYFUNCTION("""COMPUTED_VALUE"""),"राष्ट्र निर्माण")</f>
        <v>राष्ट्र निर्माण</v>
      </c>
      <c r="H516" s="1"/>
      <c r="I516" s="1"/>
      <c r="J516" s="1"/>
      <c r="K516" s="1"/>
      <c r="L516" s="1"/>
      <c r="M516" s="1"/>
      <c r="N516" s="1"/>
      <c r="O516" s="1"/>
      <c r="P516" s="1"/>
      <c r="Q516" s="1"/>
      <c r="R516" s="1" t="str">
        <f ca="1">IFERROR(__xludf.DUMMYFUNCTION("""COMPUTED_VALUE"""),"राष्ट्र निर्माण")</f>
        <v>राष्ट्र निर्माण</v>
      </c>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f ca="1">IFERROR(__xludf.DUMMYFUNCTION("""COMPUTED_VALUE"""),104)</f>
        <v>104</v>
      </c>
      <c r="BX516" s="1">
        <f ca="1">IFERROR(__xludf.DUMMYFUNCTION("""COMPUTED_VALUE"""),106)</f>
        <v>106</v>
      </c>
      <c r="BY516" s="1">
        <f ca="1">IFERROR(__xludf.DUMMYFUNCTION("""COMPUTED_VALUE"""),9)</f>
        <v>9</v>
      </c>
      <c r="BZ516" s="1">
        <f ca="1">IFERROR(__xludf.DUMMYFUNCTION("""COMPUTED_VALUE"""),43)</f>
        <v>43</v>
      </c>
      <c r="CA516" s="1"/>
      <c r="CB516" s="1"/>
      <c r="CC516" s="1" t="str">
        <f ca="1">IFERROR(__xludf.DUMMYFUNCTION("""COMPUTED_VALUE"""),"गोमूत्र-गोमय आधारित कुटीर उद्योग : Rare Book")</f>
        <v>गोमूत्र-गोमय आधारित कुटीर उद्योग : Rare Book</v>
      </c>
      <c r="CD516" s="3" t="str">
        <f ca="1">IFERROR(__xludf.DUMMYFUNCTION("""COMPUTED_VALUE"""),"https://vicharkrantibooks.org/productdetail?book_name=HINP0307_GOMUTR_GOMAY_ADHARIT_KUTIR_UDHYOG_xxyyyy&amp;product_id=872")</f>
        <v>https://vicharkrantibooks.org/productdetail?book_name=HINP0307_GOMUTR_GOMAY_ADHARIT_KUTIR_UDHYOG_xxyyyy&amp;product_id=872</v>
      </c>
      <c r="CE516" s="1" t="str">
        <f ca="1">IFERROR(__xludf.DUMMYFUNCTION("""COMPUTED_VALUE"""),"Audiobook : गोमूत्र-गोमय आधारित कुटीर उद्योग : Rare Book : druma4107@gmail.com : Recorded")</f>
        <v>Audiobook : गोमूत्र-गोमय आधारित कुटीर उद्योग : Rare Book : druma4107@gmail.com : Recorded</v>
      </c>
      <c r="CF516" s="1" t="str">
        <f ca="1">IFERROR(__xludf.DUMMYFUNCTION("""COMPUTED_VALUE"""),"Audiobook : गोमूत्र-गोमय आधारित कुटीर उद्योग : Rare Book : druma4107@gmail.com : Recorded")</f>
        <v>Audiobook : गोमूत्र-गोमय आधारित कुटीर उद्योग : Rare Book : druma4107@gmail.com : Recorded</v>
      </c>
      <c r="CG516" s="1" t="str">
        <f ca="1">IFERROR(__xludf.DUMMYFUNCTION("""COMPUTED_VALUE"""),"Adarniya Dr Uma Agrawal ji गोमूत्र-गोमय आधारित कुटीर उद्योग : Rare Book : Allocated on 12-Jan-24 Contact Number  9410861182")</f>
        <v>Adarniya Dr Uma Agrawal ji गोमूत्र-गोमय आधारित कुटीर उद्योग : Rare Book : Allocated on 12-Jan-24 Contact Number  9410861182</v>
      </c>
      <c r="CH516" s="1" t="str">
        <f ca="1">IFERROR(__xludf.DUMMYFUNCTION("""COMPUTED_VALUE"""),"druma4107@gmail.com : गोमूत्र-गोमय आधारित कुटीर उद्योग : Rare Book")</f>
        <v>druma4107@gmail.com : गोमूत्र-गोमय आधारित कुटीर उद्योग : Rare Book</v>
      </c>
      <c r="CI516" s="5">
        <f ca="1">IFERROR(__xludf.DUMMYFUNCTION("""COMPUTED_VALUE"""),45303.3635857176)</f>
        <v>45303.363585717598</v>
      </c>
    </row>
    <row r="517" spans="1:87" x14ac:dyDescent="0.25">
      <c r="A517" s="5">
        <f ca="1">IFERROR(__xludf.DUMMYFUNCTION("""COMPUTED_VALUE"""),45303.3349502893)</f>
        <v>45303.334950289303</v>
      </c>
      <c r="B517" s="1" t="str">
        <f ca="1">IFERROR(__xludf.DUMMYFUNCTION("""COMPUTED_VALUE"""),"guptarakhi072@gmail.com")</f>
        <v>guptarakhi072@gmail.com</v>
      </c>
      <c r="C517" s="1" t="str">
        <f ca="1">IFERROR(__xludf.DUMMYFUNCTION("""COMPUTED_VALUE"""),"Rakhi gupta ")</f>
        <v xml:space="preserve">Rakhi gupta </v>
      </c>
      <c r="D517" s="1">
        <f ca="1">IFERROR(__xludf.DUMMYFUNCTION("""COMPUTED_VALUE"""),8128540757)</f>
        <v>8128540757</v>
      </c>
      <c r="E517" s="1" t="str">
        <f ca="1">IFERROR(__xludf.DUMMYFUNCTION("""COMPUTED_VALUE"""),"Yes")</f>
        <v>Yes</v>
      </c>
      <c r="F517" s="1" t="str">
        <f ca="1">IFERROR(__xludf.DUMMYFUNCTION("""COMPUTED_VALUE"""),"हिन्दी")</f>
        <v>हिन्दी</v>
      </c>
      <c r="G517" s="1"/>
      <c r="H517" s="1" t="str">
        <f ca="1">IFERROR(__xludf.DUMMYFUNCTION("""COMPUTED_VALUE"""),"उपासना")</f>
        <v>उपासना</v>
      </c>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f ca="1">IFERROR(__xludf.DUMMYFUNCTION("""COMPUTED_VALUE"""),21)</f>
        <v>21</v>
      </c>
      <c r="BX517" s="1">
        <f ca="1">IFERROR(__xludf.DUMMYFUNCTION("""COMPUTED_VALUE"""),20)</f>
        <v>20</v>
      </c>
      <c r="BY517" s="1">
        <f ca="1">IFERROR(__xludf.DUMMYFUNCTION("""COMPUTED_VALUE"""),2)</f>
        <v>2</v>
      </c>
      <c r="BZ517" s="1">
        <f ca="1">IFERROR(__xludf.DUMMYFUNCTION("""COMPUTED_VALUE"""),14)</f>
        <v>14</v>
      </c>
      <c r="CA517" s="1"/>
      <c r="CB517" s="1"/>
      <c r="CC517" s="1" t="str">
        <f ca="1">IFERROR(__xludf.DUMMYFUNCTION("""COMPUTED_VALUE"""),"राम का नाम ही नही काम भी : H_JS_68")</f>
        <v>राम का नाम ही नही काम भी : H_JS_68</v>
      </c>
      <c r="CD517" s="3" t="str">
        <f ca="1">IFERROR(__xludf.DUMMYFUNCTION("""COMPUTED_VALUE"""),"https://vicharkrantibooks.org/productdetail?book_name=HINP0698_RAM_KA_NAM_HI_NAHIN_KAM_BHI_xx2011&amp;product_id=1263")</f>
        <v>https://vicharkrantibooks.org/productdetail?book_name=HINP0698_RAM_KA_NAM_HI_NAHIN_KAM_BHI_xx2011&amp;product_id=1263</v>
      </c>
      <c r="CE517" s="1" t="str">
        <f ca="1">IFERROR(__xludf.DUMMYFUNCTION("""COMPUTED_VALUE"""),"Audiobook : राम का नाम ही नही काम भी : H_JS_68 : guptarakhi072@gmail.com : Recorded")</f>
        <v>Audiobook : राम का नाम ही नही काम भी : H_JS_68 : guptarakhi072@gmail.com : Recorded</v>
      </c>
      <c r="CF517" s="1" t="str">
        <f ca="1">IFERROR(__xludf.DUMMYFUNCTION("""COMPUTED_VALUE"""),"Audiobook : राम का नाम ही नही काम भी : H_JS_68 : guptarakhi072@gmail.com : Recorded")</f>
        <v>Audiobook : राम का नाम ही नही काम भी : H_JS_68 : guptarakhi072@gmail.com : Recorded</v>
      </c>
      <c r="CG517" s="1" t="str">
        <f ca="1">IFERROR(__xludf.DUMMYFUNCTION("""COMPUTED_VALUE"""),"Adarniya Rakhi gupta  ji राम का नाम ही नही काम भी : H_JS_68 : Allocated on 12-Jan-24 Contact Number  8128540757")</f>
        <v>Adarniya Rakhi gupta  ji राम का नाम ही नही काम भी : H_JS_68 : Allocated on 12-Jan-24 Contact Number  8128540757</v>
      </c>
      <c r="CH517" s="1" t="str">
        <f ca="1">IFERROR(__xludf.DUMMYFUNCTION("""COMPUTED_VALUE"""),"guptarakhi072@gmail.com : राम का नाम ही नही काम भी : H_JS_68")</f>
        <v>guptarakhi072@gmail.com : राम का नाम ही नही काम भी : H_JS_68</v>
      </c>
      <c r="CI517" s="5">
        <f ca="1">IFERROR(__xludf.DUMMYFUNCTION("""COMPUTED_VALUE"""),45303.3349502893)</f>
        <v>45303.334950289303</v>
      </c>
    </row>
    <row r="518" spans="1:87" x14ac:dyDescent="0.25">
      <c r="A518" s="5">
        <f ca="1">IFERROR(__xludf.DUMMYFUNCTION("""COMPUTED_VALUE"""),45302.9007107175)</f>
        <v>45302.900710717498</v>
      </c>
      <c r="B518" s="1" t="str">
        <f ca="1">IFERROR(__xludf.DUMMYFUNCTION("""COMPUTED_VALUE"""),"purnima.bharadwaj.24@gmail.com")</f>
        <v>purnima.bharadwaj.24@gmail.com</v>
      </c>
      <c r="C518" s="1" t="str">
        <f ca="1">IFERROR(__xludf.DUMMYFUNCTION("""COMPUTED_VALUE"""),"पूर्णिमा भारद्वाज ")</f>
        <v xml:space="preserve">पूर्णिमा भारद्वाज </v>
      </c>
      <c r="D518" s="1">
        <f ca="1">IFERROR(__xludf.DUMMYFUNCTION("""COMPUTED_VALUE"""),9415389032)</f>
        <v>9415389032</v>
      </c>
      <c r="E518" s="1" t="str">
        <f ca="1">IFERROR(__xludf.DUMMYFUNCTION("""COMPUTED_VALUE"""),"Yes")</f>
        <v>Yes</v>
      </c>
      <c r="F518" s="1" t="str">
        <f ca="1">IFERROR(__xludf.DUMMYFUNCTION("""COMPUTED_VALUE"""),"हिन्दी")</f>
        <v>हिन्दी</v>
      </c>
      <c r="G518" s="1" t="str">
        <f ca="1">IFERROR(__xludf.DUMMYFUNCTION("""COMPUTED_VALUE"""),"युग द्रष्टा पं. श्रीराम शर्मा आचार्यजी")</f>
        <v>युग द्रष्टा पं. श्रीराम शर्मा आचार्यजी</v>
      </c>
      <c r="H518" s="1"/>
      <c r="I518" s="1"/>
      <c r="J518" s="1"/>
      <c r="K518" s="1"/>
      <c r="L518" s="1"/>
      <c r="M518" s="1"/>
      <c r="N518" s="1"/>
      <c r="O518" s="1"/>
      <c r="P518" s="1" t="str">
        <f ca="1">IFERROR(__xludf.DUMMYFUNCTION("""COMPUTED_VALUE"""),"युगॠषी की अमृतवाणी")</f>
        <v>युगॠषी की अमृतवाणी</v>
      </c>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f ca="1">IFERROR(__xludf.DUMMYFUNCTION("""COMPUTED_VALUE"""),43)</f>
        <v>43</v>
      </c>
      <c r="BX518" s="1">
        <f ca="1">IFERROR(__xludf.DUMMYFUNCTION("""COMPUTED_VALUE"""),36)</f>
        <v>36</v>
      </c>
      <c r="BY518" s="1">
        <f ca="1">IFERROR(__xludf.DUMMYFUNCTION("""COMPUTED_VALUE"""),9)</f>
        <v>9</v>
      </c>
      <c r="BZ518" s="1">
        <f ca="1">IFERROR(__xludf.DUMMYFUNCTION("""COMPUTED_VALUE"""),30)</f>
        <v>30</v>
      </c>
      <c r="CA518" s="1"/>
      <c r="CB518" s="1"/>
      <c r="CC518" s="1" t="str">
        <f ca="1">IFERROR(__xludf.DUMMYFUNCTION("""COMPUTED_VALUE"""),"महिला जागरण की कमान प्रबुद्ध नारी सँभालें : H_PP_49")</f>
        <v>महिला जागरण की कमान प्रबुद्ध नारी सँभालें : H_PP_49</v>
      </c>
      <c r="CD518" s="3" t="str">
        <f ca="1">IFERROR(__xludf.DUMMYFUNCTION("""COMPUTED_VALUE"""),"https://vicharkrantibooks.org/productdetail?book_name=HINP0480_MAHILA_JAGARAN_KI_KAMAN_PRABUDDH_NARI_SANBHALEN_xxyyyy&amp;product_id=1045")</f>
        <v>https://vicharkrantibooks.org/productdetail?book_name=HINP0480_MAHILA_JAGARAN_KI_KAMAN_PRABUDDH_NARI_SANBHALEN_xxyyyy&amp;product_id=1045</v>
      </c>
      <c r="CE518" s="1" t="str">
        <f ca="1">IFERROR(__xludf.DUMMYFUNCTION("""COMPUTED_VALUE"""),"Audiobook : महिला जागरण की कमान प्रबुद्ध नारी सँभालें : H_PP_49 : purnima.bharadwaj.24@gmail.com : Recorded")</f>
        <v>Audiobook : महिला जागरण की कमान प्रबुद्ध नारी सँभालें : H_PP_49 : purnima.bharadwaj.24@gmail.com : Recorded</v>
      </c>
      <c r="CF518" s="1" t="str">
        <f ca="1">IFERROR(__xludf.DUMMYFUNCTION("""COMPUTED_VALUE"""),"Audiobook : महिला जागरण की कमान प्रबुद्ध नारी सँभालें : H_PP_49 : purnima.bharadwaj.24@gmail.com : Recorded")</f>
        <v>Audiobook : महिला जागरण की कमान प्रबुद्ध नारी सँभालें : H_PP_49 : purnima.bharadwaj.24@gmail.com : Recorded</v>
      </c>
      <c r="CG518" s="1" t="str">
        <f ca="1">IFERROR(__xludf.DUMMYFUNCTION("""COMPUTED_VALUE"""),"Adarniya पूर्णिमा भारद्वाज  ji महिला जागरण की कमान प्रबुद्ध नारी सँभालें : H_PP_49 : Allocated on 11-Jan-24 Contact Number  9415389032")</f>
        <v>Adarniya पूर्णिमा भारद्वाज  ji महिला जागरण की कमान प्रबुद्ध नारी सँभालें : H_PP_49 : Allocated on 11-Jan-24 Contact Number  9415389032</v>
      </c>
      <c r="CH518" s="1" t="str">
        <f ca="1">IFERROR(__xludf.DUMMYFUNCTION("""COMPUTED_VALUE"""),"purnima.bharadwaj.24@gmail.com : महिला जागरण की कमान प्रबुद्ध नारी सँभालें : H_PP_49")</f>
        <v>purnima.bharadwaj.24@gmail.com : महिला जागरण की कमान प्रबुद्ध नारी सँभालें : H_PP_49</v>
      </c>
      <c r="CI518" s="5">
        <f ca="1">IFERROR(__xludf.DUMMYFUNCTION("""COMPUTED_VALUE"""),45302.9007107175)</f>
        <v>45302.900710717498</v>
      </c>
    </row>
    <row r="519" spans="1:87" x14ac:dyDescent="0.25">
      <c r="A519" s="5">
        <f ca="1">IFERROR(__xludf.DUMMYFUNCTION("""COMPUTED_VALUE"""),45302.5744236111)</f>
        <v>45302.574423611099</v>
      </c>
      <c r="B519" s="1" t="str">
        <f ca="1">IFERROR(__xludf.DUMMYFUNCTION("""COMPUTED_VALUE"""),"anu161965@gmail.com")</f>
        <v>anu161965@gmail.com</v>
      </c>
      <c r="C519" s="1" t="str">
        <f ca="1">IFERROR(__xludf.DUMMYFUNCTION("""COMPUTED_VALUE"""),"Anureeta awadh")</f>
        <v>Anureeta awadh</v>
      </c>
      <c r="D519" s="1">
        <f ca="1">IFERROR(__xludf.DUMMYFUNCTION("""COMPUTED_VALUE"""),8860314422)</f>
        <v>8860314422</v>
      </c>
      <c r="E519" s="1" t="str">
        <f ca="1">IFERROR(__xludf.DUMMYFUNCTION("""COMPUTED_VALUE"""),"Yes")</f>
        <v>Yes</v>
      </c>
      <c r="F519" s="1"/>
      <c r="G519" s="1" t="str">
        <f ca="1">IFERROR(__xludf.DUMMYFUNCTION("""COMPUTED_VALUE"""),"वैज्ञानिक अध्यात्मवाद का प्रतिपादन")</f>
        <v>वैज्ञानिक अध्यात्मवाद का प्रतिपादन</v>
      </c>
      <c r="H519" s="1"/>
      <c r="I519" s="1"/>
      <c r="J519" s="1"/>
      <c r="K519" s="1"/>
      <c r="L519" s="1"/>
      <c r="M519" s="1"/>
      <c r="N519" s="1"/>
      <c r="O519" s="1"/>
      <c r="P519" s="1"/>
      <c r="Q519" s="1"/>
      <c r="R519" s="1"/>
      <c r="S519" s="1" t="str">
        <f ca="1">IFERROR(__xludf.DUMMYFUNCTION("""COMPUTED_VALUE"""),"वैज्ञानिक अध्यात्मवाद का प्रतिपादन")</f>
        <v>वैज्ञानिक अध्यात्मवाद का प्रतिपादन</v>
      </c>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f ca="1">IFERROR(__xludf.DUMMYFUNCTION("""COMPUTED_VALUE"""),24)</f>
        <v>24</v>
      </c>
      <c r="BX519" s="1">
        <f ca="1">IFERROR(__xludf.DUMMYFUNCTION("""COMPUTED_VALUE"""),18)</f>
        <v>18</v>
      </c>
      <c r="BY519" s="1">
        <f ca="1">IFERROR(__xludf.DUMMYFUNCTION("""COMPUTED_VALUE"""),7)</f>
        <v>7</v>
      </c>
      <c r="BZ519" s="1">
        <f ca="1">IFERROR(__xludf.DUMMYFUNCTION("""COMPUTED_VALUE"""),5)</f>
        <v>5</v>
      </c>
      <c r="CA519" s="1"/>
      <c r="CB519" s="1"/>
      <c r="CC519" s="1" t="str">
        <f ca="1">IFERROR(__xludf.DUMMYFUNCTION("""COMPUTED_VALUE"""),"मंत्रों मे निहित शत्त्कि एवं उसकी जागृति : Rare Book")</f>
        <v>मंत्रों मे निहित शत्त्कि एवं उसकी जागृति : Rare Book</v>
      </c>
      <c r="CD519" s="3" t="str">
        <f ca="1">IFERROR(__xludf.DUMMYFUNCTION("""COMPUTED_VALUE"""),"https://vicharkrantibooks.org/productdetail?book_name=HINF0174_MANTRON_ME_NIHIT_SHAKTI_EVAM_USAKI_JAGRUTI_xxyyyy&amp;product_id=394")</f>
        <v>https://vicharkrantibooks.org/productdetail?book_name=HINF0174_MANTRON_ME_NIHIT_SHAKTI_EVAM_USAKI_JAGRUTI_xxyyyy&amp;product_id=394</v>
      </c>
      <c r="CE519" s="1" t="str">
        <f ca="1">IFERROR(__xludf.DUMMYFUNCTION("""COMPUTED_VALUE"""),"Audiobook : मंत्रों मे निहित शत्त्कि एवं उसकी जागृति : Rare Book : anu161965@gmail.com : Recorded")</f>
        <v>Audiobook : मंत्रों मे निहित शत्त्कि एवं उसकी जागृति : Rare Book : anu161965@gmail.com : Recorded</v>
      </c>
      <c r="CF519" s="1" t="str">
        <f ca="1">IFERROR(__xludf.DUMMYFUNCTION("""COMPUTED_VALUE"""),"Audiobook : मंत्रों मे निहित शत्त्कि एवं उसकी जागृति : Rare Book : anu161965@gmail.com : Recorded")</f>
        <v>Audiobook : मंत्रों मे निहित शत्त्कि एवं उसकी जागृति : Rare Book : anu161965@gmail.com : Recorded</v>
      </c>
      <c r="CG519" s="1" t="str">
        <f ca="1">IFERROR(__xludf.DUMMYFUNCTION("""COMPUTED_VALUE"""),"Adarniya Anureeta awadh ji मंत्रों मे निहित शत्त्कि एवं उसकी जागृति : Rare Book : Allocated on 11-Jan-24 Contact Number  8860314422")</f>
        <v>Adarniya Anureeta awadh ji मंत्रों मे निहित शत्त्कि एवं उसकी जागृति : Rare Book : Allocated on 11-Jan-24 Contact Number  8860314422</v>
      </c>
      <c r="CH519" s="1" t="str">
        <f ca="1">IFERROR(__xludf.DUMMYFUNCTION("""COMPUTED_VALUE"""),"anu161965@gmail.com : मंत्रों मे निहित शत्त्कि एवं उसकी जागृति : Rare Book")</f>
        <v>anu161965@gmail.com : मंत्रों मे निहित शत्त्कि एवं उसकी जागृति : Rare Book</v>
      </c>
      <c r="CI519" s="5">
        <f ca="1">IFERROR(__xludf.DUMMYFUNCTION("""COMPUTED_VALUE"""),45302.5744236111)</f>
        <v>45302.574423611099</v>
      </c>
    </row>
    <row r="520" spans="1:87" x14ac:dyDescent="0.25">
      <c r="A520" s="5">
        <f ca="1">IFERROR(__xludf.DUMMYFUNCTION("""COMPUTED_VALUE"""),45301.4320602893)</f>
        <v>45301.432060289299</v>
      </c>
      <c r="B520" s="1" t="str">
        <f ca="1">IFERROR(__xludf.DUMMYFUNCTION("""COMPUTED_VALUE"""),"druma4107@gmail.com")</f>
        <v>druma4107@gmail.com</v>
      </c>
      <c r="C520" s="1" t="str">
        <f ca="1">IFERROR(__xludf.DUMMYFUNCTION("""COMPUTED_VALUE"""),"Dr Uma Agrawal ")</f>
        <v xml:space="preserve">Dr Uma Agrawal </v>
      </c>
      <c r="D520" s="1">
        <f ca="1">IFERROR(__xludf.DUMMYFUNCTION("""COMPUTED_VALUE"""),9410861182)</f>
        <v>9410861182</v>
      </c>
      <c r="E520" s="1" t="str">
        <f ca="1">IFERROR(__xludf.DUMMYFUNCTION("""COMPUTED_VALUE"""),"Yes")</f>
        <v>Yes</v>
      </c>
      <c r="F520" s="1" t="str">
        <f ca="1">IFERROR(__xludf.DUMMYFUNCTION("""COMPUTED_VALUE"""),"हिन्दी")</f>
        <v>हिन्दी</v>
      </c>
      <c r="G520" s="1" t="str">
        <f ca="1">IFERROR(__xludf.DUMMYFUNCTION("""COMPUTED_VALUE"""),"राष्ट्र निर्माण")</f>
        <v>राष्ट्र निर्माण</v>
      </c>
      <c r="H520" s="1"/>
      <c r="I520" s="1"/>
      <c r="J520" s="1"/>
      <c r="K520" s="1"/>
      <c r="L520" s="1"/>
      <c r="M520" s="1"/>
      <c r="N520" s="1"/>
      <c r="O520" s="1"/>
      <c r="P520" s="1"/>
      <c r="Q520" s="1"/>
      <c r="R520" s="1" t="str">
        <f ca="1">IFERROR(__xludf.DUMMYFUNCTION("""COMPUTED_VALUE"""),"सार्थक एवं समग्र शिक्षा")</f>
        <v>सार्थक एवं समग्र शिक्षा</v>
      </c>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f ca="1">IFERROR(__xludf.DUMMYFUNCTION("""COMPUTED_VALUE"""),104)</f>
        <v>104</v>
      </c>
      <c r="BX520" s="1">
        <f ca="1">IFERROR(__xludf.DUMMYFUNCTION("""COMPUTED_VALUE"""),106)</f>
        <v>106</v>
      </c>
      <c r="BY520" s="1">
        <f ca="1">IFERROR(__xludf.DUMMYFUNCTION("""COMPUTED_VALUE"""),9)</f>
        <v>9</v>
      </c>
      <c r="BZ520" s="1">
        <f ca="1">IFERROR(__xludf.DUMMYFUNCTION("""COMPUTED_VALUE"""),43)</f>
        <v>43</v>
      </c>
      <c r="CA520" s="1"/>
      <c r="CB520" s="1"/>
      <c r="CC520" s="1" t="str">
        <f ca="1">IFERROR(__xludf.DUMMYFUNCTION("""COMPUTED_VALUE"""),"गोबर में लक्ष्मी का निवास : Rare Book")</f>
        <v>गोबर में लक्ष्मी का निवास : Rare Book</v>
      </c>
      <c r="CD520" s="3" t="str">
        <f ca="1">IFERROR(__xludf.DUMMYFUNCTION("""COMPUTED_VALUE"""),"https://vicharkrantibooks.org/productdetail?book_name=HINP0306_GOBAR_MEIN_LAKSHMI_KA_NIVAS_xxyyyy&amp;product_id=871")</f>
        <v>https://vicharkrantibooks.org/productdetail?book_name=HINP0306_GOBAR_MEIN_LAKSHMI_KA_NIVAS_xxyyyy&amp;product_id=871</v>
      </c>
      <c r="CE520" s="1" t="str">
        <f ca="1">IFERROR(__xludf.DUMMYFUNCTION("""COMPUTED_VALUE"""),"Audiobook : गोबर में लक्ष्मी का निवास : Rare Book : druma4107@gmail.com : Recorded")</f>
        <v>Audiobook : गोबर में लक्ष्मी का निवास : Rare Book : druma4107@gmail.com : Recorded</v>
      </c>
      <c r="CF520" s="1" t="str">
        <f ca="1">IFERROR(__xludf.DUMMYFUNCTION("""COMPUTED_VALUE"""),"Audiobook : गोबर में लक्ष्मी का निवास : Rare Book : druma4107@gmail.com : Recorded")</f>
        <v>Audiobook : गोबर में लक्ष्मी का निवास : Rare Book : druma4107@gmail.com : Recorded</v>
      </c>
      <c r="CG520" s="1" t="str">
        <f ca="1">IFERROR(__xludf.DUMMYFUNCTION("""COMPUTED_VALUE"""),"Adarniya Dr Uma Agrawal  ji गोबर में लक्ष्मी का निवास : Rare Book : Allocated on 10-Jan-24 Contact Number  9410861182")</f>
        <v>Adarniya Dr Uma Agrawal  ji गोबर में लक्ष्मी का निवास : Rare Book : Allocated on 10-Jan-24 Contact Number  9410861182</v>
      </c>
      <c r="CH520" s="1" t="str">
        <f ca="1">IFERROR(__xludf.DUMMYFUNCTION("""COMPUTED_VALUE"""),"druma4107@gmail.com : गोबर में लक्ष्मी का निवास : Rare Book")</f>
        <v>druma4107@gmail.com : गोबर में लक्ष्मी का निवास : Rare Book</v>
      </c>
      <c r="CI520" s="5">
        <f ca="1">IFERROR(__xludf.DUMMYFUNCTION("""COMPUTED_VALUE"""),45301.4320602893)</f>
        <v>45301.432060289299</v>
      </c>
    </row>
    <row r="521" spans="1:87" x14ac:dyDescent="0.25">
      <c r="A521" s="5">
        <f ca="1">IFERROR(__xludf.DUMMYFUNCTION("""COMPUTED_VALUE"""),45300.9581577893)</f>
        <v>45300.958157789297</v>
      </c>
      <c r="B521" s="1" t="str">
        <f ca="1">IFERROR(__xludf.DUMMYFUNCTION("""COMPUTED_VALUE"""),"rajnivarma24.vns@gmail.com")</f>
        <v>rajnivarma24.vns@gmail.com</v>
      </c>
      <c r="C521" s="1" t="str">
        <f ca="1">IFERROR(__xludf.DUMMYFUNCTION("""COMPUTED_VALUE"""),"Rajni varma")</f>
        <v>Rajni varma</v>
      </c>
      <c r="D521" s="1">
        <f ca="1">IFERROR(__xludf.DUMMYFUNCTION("""COMPUTED_VALUE"""),9335661433)</f>
        <v>9335661433</v>
      </c>
      <c r="E521" s="1" t="str">
        <f ca="1">IFERROR(__xludf.DUMMYFUNCTION("""COMPUTED_VALUE"""),"No")</f>
        <v>No</v>
      </c>
      <c r="F521" s="1" t="str">
        <f ca="1">IFERROR(__xludf.DUMMYFUNCTION("""COMPUTED_VALUE"""),"हिन्दी")</f>
        <v>हिन्दी</v>
      </c>
      <c r="G521" s="1" t="str">
        <f ca="1">IFERROR(__xludf.DUMMYFUNCTION("""COMPUTED_VALUE"""),"युग द्रष्टा पं. श्रीराम शर्मा आचार्यजी")</f>
        <v>युग द्रष्टा पं. श्रीराम शर्मा आचार्यजी</v>
      </c>
      <c r="H521" s="1"/>
      <c r="I521" s="1"/>
      <c r="J521" s="1"/>
      <c r="K521" s="1"/>
      <c r="L521" s="1"/>
      <c r="M521" s="1"/>
      <c r="N521" s="1"/>
      <c r="O521" s="1"/>
      <c r="P521" s="1" t="str">
        <f ca="1">IFERROR(__xludf.DUMMYFUNCTION("""COMPUTED_VALUE"""),"युगॠषी का जीवनदर्शन")</f>
        <v>युगॠषी का जीवनदर्शन</v>
      </c>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f ca="1">IFERROR(__xludf.DUMMYFUNCTION("""COMPUTED_VALUE"""),30)</f>
        <v>30</v>
      </c>
      <c r="BX521" s="1">
        <f ca="1">IFERROR(__xludf.DUMMYFUNCTION("""COMPUTED_VALUE"""),25)</f>
        <v>25</v>
      </c>
      <c r="BY521" s="1">
        <f ca="1">IFERROR(__xludf.DUMMYFUNCTION("""COMPUTED_VALUE"""),7)</f>
        <v>7</v>
      </c>
      <c r="BZ521" s="1">
        <f ca="1">IFERROR(__xludf.DUMMYFUNCTION("""COMPUTED_VALUE"""),7)</f>
        <v>7</v>
      </c>
      <c r="CA521" s="1"/>
      <c r="CB521" s="1"/>
      <c r="CC521" s="1" t="str">
        <f ca="1">IFERROR(__xludf.DUMMYFUNCTION("""COMPUTED_VALUE"""),"सेवा मनुष्य का आवश्यक धर्म कृत्य : NOTM")</f>
        <v>सेवा मनुष्य का आवश्यक धर्म कृत्य : NOTM</v>
      </c>
      <c r="CD521" s="3" t="str">
        <f ca="1">IFERROR(__xludf.DUMMYFUNCTION("""COMPUTED_VALUE"""),"https://vicharkrantibooks.org/productdetail?book_name=HINP0827_SEVA_MANUSHY_KA_AVASHYAK_DHARM_KRUTY_xxyyyy&amp;product_id=1392")</f>
        <v>https://vicharkrantibooks.org/productdetail?book_name=HINP0827_SEVA_MANUSHY_KA_AVASHYAK_DHARM_KRUTY_xxyyyy&amp;product_id=1392</v>
      </c>
      <c r="CE521" s="1" t="str">
        <f ca="1">IFERROR(__xludf.DUMMYFUNCTION("""COMPUTED_VALUE"""),"Audiobook : सेवा मनुष्य का आवश्यक धर्म कृत्य : NOTM : rajnivarma24.vns@gmail.com : Recorded")</f>
        <v>Audiobook : सेवा मनुष्य का आवश्यक धर्म कृत्य : NOTM : rajnivarma24.vns@gmail.com : Recorded</v>
      </c>
      <c r="CF521" s="1" t="str">
        <f ca="1">IFERROR(__xludf.DUMMYFUNCTION("""COMPUTED_VALUE"""),"Audiobook : सेवा मनुष्य का आवश्यक धर्म कृत्य : NOTM : rajnivarma24.vns@gmail.com : Recorded")</f>
        <v>Audiobook : सेवा मनुष्य का आवश्यक धर्म कृत्य : NOTM : rajnivarma24.vns@gmail.com : Recorded</v>
      </c>
      <c r="CG521" s="1" t="str">
        <f ca="1">IFERROR(__xludf.DUMMYFUNCTION("""COMPUTED_VALUE"""),"Adarniya Rajni varma ji सेवा मनुष्य का आवश्यक धर्म कृत्य : NOTM : Allocated on 09-Jan-24 Contact Number  9335661433")</f>
        <v>Adarniya Rajni varma ji सेवा मनुष्य का आवश्यक धर्म कृत्य : NOTM : Allocated on 09-Jan-24 Contact Number  9335661433</v>
      </c>
      <c r="CH521" s="1" t="str">
        <f ca="1">IFERROR(__xludf.DUMMYFUNCTION("""COMPUTED_VALUE"""),"rajnivarma24.vns@gmail.com : सेवा मनुष्य का आवश्यक धर्म कृत्य : NOTM")</f>
        <v>rajnivarma24.vns@gmail.com : सेवा मनुष्य का आवश्यक धर्म कृत्य : NOTM</v>
      </c>
      <c r="CI521" s="5">
        <f ca="1">IFERROR(__xludf.DUMMYFUNCTION("""COMPUTED_VALUE"""),45300.9581577893)</f>
        <v>45300.958157789297</v>
      </c>
    </row>
    <row r="522" spans="1:87" x14ac:dyDescent="0.25">
      <c r="A522" s="5">
        <f ca="1">IFERROR(__xludf.DUMMYFUNCTION("""COMPUTED_VALUE"""),45300.9530573263)</f>
        <v>45300.953057326296</v>
      </c>
      <c r="B522" s="1" t="str">
        <f ca="1">IFERROR(__xludf.DUMMYFUNCTION("""COMPUTED_VALUE"""),"jamunashukla17@gmail.com")</f>
        <v>jamunashukla17@gmail.com</v>
      </c>
      <c r="C522" s="1" t="str">
        <f ca="1">IFERROR(__xludf.DUMMYFUNCTION("""COMPUTED_VALUE"""),"Smt J S Shukla ")</f>
        <v xml:space="preserve">Smt J S Shukla </v>
      </c>
      <c r="D522" s="1">
        <f ca="1">IFERROR(__xludf.DUMMYFUNCTION("""COMPUTED_VALUE"""),8390353167)</f>
        <v>8390353167</v>
      </c>
      <c r="E522" s="1" t="str">
        <f ca="1">IFERROR(__xludf.DUMMYFUNCTION("""COMPUTED_VALUE"""),"Yes")</f>
        <v>Yes</v>
      </c>
      <c r="F522" s="1" t="str">
        <f ca="1">IFERROR(__xludf.DUMMYFUNCTION("""COMPUTED_VALUE"""),"हिन्दी")</f>
        <v>हिन्दी</v>
      </c>
      <c r="G522" s="1" t="str">
        <f ca="1">IFERROR(__xludf.DUMMYFUNCTION("""COMPUTED_VALUE"""),"Devtao ke vardaan-satpravritiya")</f>
        <v>Devtao ke vardaan-satpravritiya</v>
      </c>
      <c r="H522" s="1" t="str">
        <f ca="1">IFERROR(__xludf.DUMMYFUNCTION("""COMPUTED_VALUE"""),"अध्यात्म, धर्म एवं आस्तिकता")</f>
        <v>अध्यात्म, धर्म एवं आस्तिकता</v>
      </c>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f ca="1">IFERROR(__xludf.DUMMYFUNCTION("""COMPUTED_VALUE"""),53)</f>
        <v>53</v>
      </c>
      <c r="BX522" s="1">
        <f ca="1">IFERROR(__xludf.DUMMYFUNCTION("""COMPUTED_VALUE"""),53)</f>
        <v>53</v>
      </c>
      <c r="BY522" s="1">
        <f ca="1">IFERROR(__xludf.DUMMYFUNCTION("""COMPUTED_VALUE"""),9)</f>
        <v>9</v>
      </c>
      <c r="BZ522" s="1">
        <f ca="1">IFERROR(__xludf.DUMMYFUNCTION("""COMPUTED_VALUE"""),25)</f>
        <v>25</v>
      </c>
      <c r="CA522" s="1"/>
      <c r="CB522" s="1"/>
      <c r="CC522" s="1" t="str">
        <f ca="1">IFERROR(__xludf.DUMMYFUNCTION("""COMPUTED_VALUE"""),"शक्ति के भंदार से स्वय़ं को जोडें : H_JS_21")</f>
        <v>शक्ति के भंदार से स्वय़ं को जोडें : H_JS_21</v>
      </c>
      <c r="CD522" s="3" t="str">
        <f ca="1">IFERROR(__xludf.DUMMYFUNCTION("""COMPUTED_VALUE"""),"https://vicharkrantibooks.org/productdetail?book_name=HINP0835_SHAKTI_KE_BHANDAR_SE_SVAYAM_KO_JODEN_xx2011&amp;product_id=1400")</f>
        <v>https://vicharkrantibooks.org/productdetail?book_name=HINP0835_SHAKTI_KE_BHANDAR_SE_SVAYAM_KO_JODEN_xx2011&amp;product_id=1400</v>
      </c>
      <c r="CE522" s="1" t="str">
        <f ca="1">IFERROR(__xludf.DUMMYFUNCTION("""COMPUTED_VALUE"""),"Audiobook : शक्ति के भंदार से स्वय़ं को जोडें : H_JS_21 : jamunashukla17@gmail.com : Recorded")</f>
        <v>Audiobook : शक्ति के भंदार से स्वय़ं को जोडें : H_JS_21 : jamunashukla17@gmail.com : Recorded</v>
      </c>
      <c r="CF522" s="1" t="str">
        <f ca="1">IFERROR(__xludf.DUMMYFUNCTION("""COMPUTED_VALUE"""),"Audiobook : शक्ति के भंदार से स्वय़ं को जोडें : H_JS_21 : jamunashukla17@gmail.com : Recorded")</f>
        <v>Audiobook : शक्ति के भंदार से स्वय़ं को जोडें : H_JS_21 : jamunashukla17@gmail.com : Recorded</v>
      </c>
      <c r="CG522" s="1" t="str">
        <f ca="1">IFERROR(__xludf.DUMMYFUNCTION("""COMPUTED_VALUE"""),"Adarniya Smt J S Shukla  ji शक्ति के भंदार से स्वय़ं को जोडें : H_JS_21 : Allocated on 09-Jan-24 Contact Number  8390353167")</f>
        <v>Adarniya Smt J S Shukla  ji शक्ति के भंदार से स्वय़ं को जोडें : H_JS_21 : Allocated on 09-Jan-24 Contact Number  8390353167</v>
      </c>
      <c r="CH522" s="1" t="str">
        <f ca="1">IFERROR(__xludf.DUMMYFUNCTION("""COMPUTED_VALUE"""),"jamunashukla17@gmail.com : शक्ति के भंदार से स्वय़ं को जोडें : H_JS_21")</f>
        <v>jamunashukla17@gmail.com : शक्ति के भंदार से स्वय़ं को जोडें : H_JS_21</v>
      </c>
      <c r="CI522" s="5">
        <f ca="1">IFERROR(__xludf.DUMMYFUNCTION("""COMPUTED_VALUE"""),45300.9530573263)</f>
        <v>45300.953057326296</v>
      </c>
    </row>
    <row r="523" spans="1:87" x14ac:dyDescent="0.25">
      <c r="A523" s="5">
        <f ca="1">IFERROR(__xludf.DUMMYFUNCTION("""COMPUTED_VALUE"""),45299.9927257986)</f>
        <v>45299.992725798598</v>
      </c>
      <c r="B523" s="1" t="str">
        <f ca="1">IFERROR(__xludf.DUMMYFUNCTION("""COMPUTED_VALUE"""),"druma4107@gmail.com")</f>
        <v>druma4107@gmail.com</v>
      </c>
      <c r="C523" s="1" t="str">
        <f ca="1">IFERROR(__xludf.DUMMYFUNCTION("""COMPUTED_VALUE"""),"Dr Uma Agrawal ")</f>
        <v xml:space="preserve">Dr Uma Agrawal </v>
      </c>
      <c r="D523" s="1">
        <f ca="1">IFERROR(__xludf.DUMMYFUNCTION("""COMPUTED_VALUE"""),9410861182)</f>
        <v>9410861182</v>
      </c>
      <c r="E523" s="1" t="str">
        <f ca="1">IFERROR(__xludf.DUMMYFUNCTION("""COMPUTED_VALUE"""),"Yes")</f>
        <v>Yes</v>
      </c>
      <c r="F523" s="1" t="str">
        <f ca="1">IFERROR(__xludf.DUMMYFUNCTION("""COMPUTED_VALUE"""),"हिन्दी")</f>
        <v>हिन्दी</v>
      </c>
      <c r="G523" s="1" t="str">
        <f ca="1">IFERROR(__xludf.DUMMYFUNCTION("""COMPUTED_VALUE"""),"राष्ट्र निर्माण")</f>
        <v>राष्ट्र निर्माण</v>
      </c>
      <c r="H523" s="1"/>
      <c r="I523" s="1"/>
      <c r="J523" s="1"/>
      <c r="K523" s="1"/>
      <c r="L523" s="1"/>
      <c r="M523" s="1"/>
      <c r="N523" s="1"/>
      <c r="O523" s="1"/>
      <c r="P523" s="1"/>
      <c r="Q523" s="1"/>
      <c r="R523" s="1" t="str">
        <f ca="1">IFERROR(__xludf.DUMMYFUNCTION("""COMPUTED_VALUE"""),"सार्थक एवं समग्र शिक्षा")</f>
        <v>सार्थक एवं समग्र शिक्षा</v>
      </c>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f ca="1">IFERROR(__xludf.DUMMYFUNCTION("""COMPUTED_VALUE"""),104)</f>
        <v>104</v>
      </c>
      <c r="BX523" s="1">
        <f ca="1">IFERROR(__xludf.DUMMYFUNCTION("""COMPUTED_VALUE"""),106)</f>
        <v>106</v>
      </c>
      <c r="BY523" s="1">
        <f ca="1">IFERROR(__xludf.DUMMYFUNCTION("""COMPUTED_VALUE"""),9)</f>
        <v>9</v>
      </c>
      <c r="BZ523" s="1">
        <f ca="1">IFERROR(__xludf.DUMMYFUNCTION("""COMPUTED_VALUE"""),43)</f>
        <v>43</v>
      </c>
      <c r="CA523" s="1"/>
      <c r="CB523" s="1"/>
      <c r="CC523" s="1" t="str">
        <f ca="1">IFERROR(__xludf.DUMMYFUNCTION("""COMPUTED_VALUE"""),"लोक सेवा की प्रवृत्तियों के केंद्र हों मंदिर : H_JS_41")</f>
        <v>लोक सेवा की प्रवृत्तियों के केंद्र हों मंदिर : H_JS_41</v>
      </c>
      <c r="CD523" s="3" t="str">
        <f ca="1">IFERROR(__xludf.DUMMYFUNCTION("""COMPUTED_VALUE"""),"https://vicharkrantibooks.org/productdetail?book_name=HINP0457_LOK_SEVA_KI_PRAVRUTTIYON_KE_KENDR_HON_MANDIR_xx2011&amp;product_id=1022")</f>
        <v>https://vicharkrantibooks.org/productdetail?book_name=HINP0457_LOK_SEVA_KI_PRAVRUTTIYON_KE_KENDR_HON_MANDIR_xx2011&amp;product_id=1022</v>
      </c>
      <c r="CE523" s="1" t="str">
        <f ca="1">IFERROR(__xludf.DUMMYFUNCTION("""COMPUTED_VALUE"""),"Audiobook : लोक सेवा की प्रवृत्तियों के केंद्र हों मंदिर : H_JS_41 : druma4107@gmail.com : Recorded")</f>
        <v>Audiobook : लोक सेवा की प्रवृत्तियों के केंद्र हों मंदिर : H_JS_41 : druma4107@gmail.com : Recorded</v>
      </c>
      <c r="CF523" s="1" t="str">
        <f ca="1">IFERROR(__xludf.DUMMYFUNCTION("""COMPUTED_VALUE"""),"Audiobook : लोक सेवा की प्रवृत्तियों के केंद्र हों मंदिर : H_JS_41 : druma4107@gmail.com : Recorded")</f>
        <v>Audiobook : लोक सेवा की प्रवृत्तियों के केंद्र हों मंदिर : H_JS_41 : druma4107@gmail.com : Recorded</v>
      </c>
      <c r="CG523" s="1" t="str">
        <f ca="1">IFERROR(__xludf.DUMMYFUNCTION("""COMPUTED_VALUE"""),"Adarniya Dr Uma Agrawal  ji लोक सेवा की प्रवृत्तियों के केंद्र हों मंदिर : H_JS_41 : Allocated on 08-Jan-24 Contact Number  9410861182")</f>
        <v>Adarniya Dr Uma Agrawal  ji लोक सेवा की प्रवृत्तियों के केंद्र हों मंदिर : H_JS_41 : Allocated on 08-Jan-24 Contact Number  9410861182</v>
      </c>
      <c r="CH523" s="1" t="str">
        <f ca="1">IFERROR(__xludf.DUMMYFUNCTION("""COMPUTED_VALUE"""),"druma4107@gmail.com : लोक सेवा की प्रवृत्तियों के केंद्र हों मंदिर : H_JS_41")</f>
        <v>druma4107@gmail.com : लोक सेवा की प्रवृत्तियों के केंद्र हों मंदिर : H_JS_41</v>
      </c>
      <c r="CI523" s="5">
        <f ca="1">IFERROR(__xludf.DUMMYFUNCTION("""COMPUTED_VALUE"""),45299.9927257986)</f>
        <v>45299.992725798598</v>
      </c>
    </row>
    <row r="524" spans="1:87" x14ac:dyDescent="0.25">
      <c r="A524" s="5">
        <f ca="1">IFERROR(__xludf.DUMMYFUNCTION("""COMPUTED_VALUE"""),45299.9322542592)</f>
        <v>45299.932254259198</v>
      </c>
      <c r="B524" s="1" t="str">
        <f ca="1">IFERROR(__xludf.DUMMYFUNCTION("""COMPUTED_VALUE"""),"purnima.bharadwaj.24@gmail.com")</f>
        <v>purnima.bharadwaj.24@gmail.com</v>
      </c>
      <c r="C524" s="1" t="str">
        <f ca="1">IFERROR(__xludf.DUMMYFUNCTION("""COMPUTED_VALUE"""),"पूर्णिमा भारद्वाज ")</f>
        <v xml:space="preserve">पूर्णिमा भारद्वाज </v>
      </c>
      <c r="D524" s="1">
        <f ca="1">IFERROR(__xludf.DUMMYFUNCTION("""COMPUTED_VALUE"""),9415389032)</f>
        <v>9415389032</v>
      </c>
      <c r="E524" s="1" t="str">
        <f ca="1">IFERROR(__xludf.DUMMYFUNCTION("""COMPUTED_VALUE"""),"Yes")</f>
        <v>Yes</v>
      </c>
      <c r="F524" s="1" t="str">
        <f ca="1">IFERROR(__xludf.DUMMYFUNCTION("""COMPUTED_VALUE"""),"हिन्दी")</f>
        <v>हिन्दी</v>
      </c>
      <c r="G524" s="1" t="str">
        <f ca="1">IFERROR(__xludf.DUMMYFUNCTION("""COMPUTED_VALUE"""),"युग द्रष्टा पं. श्रीराम शर्मा आचार्यजी")</f>
        <v>युग द्रष्टा पं. श्रीराम शर्मा आचार्यजी</v>
      </c>
      <c r="H524" s="1"/>
      <c r="I524" s="1"/>
      <c r="J524" s="1"/>
      <c r="K524" s="1"/>
      <c r="L524" s="1"/>
      <c r="M524" s="1"/>
      <c r="N524" s="1"/>
      <c r="O524" s="1"/>
      <c r="P524" s="1" t="str">
        <f ca="1">IFERROR(__xludf.DUMMYFUNCTION("""COMPUTED_VALUE"""),"युगॠषी की अमृतवाणी")</f>
        <v>युगॠषी की अमृतवाणी</v>
      </c>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f ca="1">IFERROR(__xludf.DUMMYFUNCTION("""COMPUTED_VALUE"""),43)</f>
        <v>43</v>
      </c>
      <c r="BX524" s="1">
        <f ca="1">IFERROR(__xludf.DUMMYFUNCTION("""COMPUTED_VALUE"""),36)</f>
        <v>36</v>
      </c>
      <c r="BY524" s="1">
        <f ca="1">IFERROR(__xludf.DUMMYFUNCTION("""COMPUTED_VALUE"""),9)</f>
        <v>9</v>
      </c>
      <c r="BZ524" s="1">
        <f ca="1">IFERROR(__xludf.DUMMYFUNCTION("""COMPUTED_VALUE"""),30)</f>
        <v>30</v>
      </c>
      <c r="CA524" s="1"/>
      <c r="CB524" s="1"/>
      <c r="CC524" s="1" t="str">
        <f ca="1">IFERROR(__xludf.DUMMYFUNCTION("""COMPUTED_VALUE"""),"ऋषि चिंतन के सान्निध्य में ०८ (पोकेट) : H_SJ_28_8")</f>
        <v>ऋषि चिंतन के सान्निध्य में ०८ (पोकेट) : H_SJ_28_8</v>
      </c>
      <c r="CD524" s="3" t="str">
        <f ca="1">IFERROR(__xludf.DUMMYFUNCTION("""COMPUTED_VALUE"""),"https://vicharkrantibooks.org/productdetail?book_name=HINP0719_RUSHI_CHINTAN_KE_SANIDHYA_MEIN_08_(POCKET)_xxyyyy&amp;product_id=1284")</f>
        <v>https://vicharkrantibooks.org/productdetail?book_name=HINP0719_RUSHI_CHINTAN_KE_SANIDHYA_MEIN_08_(POCKET)_xxyyyy&amp;product_id=1284</v>
      </c>
      <c r="CE524" s="1" t="str">
        <f ca="1">IFERROR(__xludf.DUMMYFUNCTION("""COMPUTED_VALUE"""),"Audiobook : ऋषि चिंतन के सान्निध्य में ०८ (पोकेट) : H_SJ_28_8 : purnima.bharadwaj.24@gmail.com : Recorded")</f>
        <v>Audiobook : ऋषि चिंतन के सान्निध्य में ०८ (पोकेट) : H_SJ_28_8 : purnima.bharadwaj.24@gmail.com : Recorded</v>
      </c>
      <c r="CF524" s="1" t="str">
        <f ca="1">IFERROR(__xludf.DUMMYFUNCTION("""COMPUTED_VALUE"""),"Audiobook : ऋषि चिंतन के सान्निध्य में ०८ (पोकेट) : H_SJ_28_8 : purnima.bharadwaj.24@gmail.com : Recorded")</f>
        <v>Audiobook : ऋषि चिंतन के सान्निध्य में ०८ (पोकेट) : H_SJ_28_8 : purnima.bharadwaj.24@gmail.com : Recorded</v>
      </c>
      <c r="CG524" s="1" t="str">
        <f ca="1">IFERROR(__xludf.DUMMYFUNCTION("""COMPUTED_VALUE"""),"Adarniya पूर्णिमा भारद्वाज  ji ऋषि चिंतन के सान्निध्य में ०८ (पोकेट) : H_SJ_28_8 : Allocated on 08-Jan-24 Contact Number  9415389032")</f>
        <v>Adarniya पूर्णिमा भारद्वाज  ji ऋषि चिंतन के सान्निध्य में ०८ (पोकेट) : H_SJ_28_8 : Allocated on 08-Jan-24 Contact Number  9415389032</v>
      </c>
      <c r="CH524" s="1" t="str">
        <f ca="1">IFERROR(__xludf.DUMMYFUNCTION("""COMPUTED_VALUE"""),"purnima.bharadwaj.24@gmail.com : ऋषि चिंतन के सान्निध्य में ०८ (पोकेट) : H_SJ_28_8")</f>
        <v>purnima.bharadwaj.24@gmail.com : ऋषि चिंतन के सान्निध्य में ०८ (पोकेट) : H_SJ_28_8</v>
      </c>
      <c r="CI524" s="5">
        <f ca="1">IFERROR(__xludf.DUMMYFUNCTION("""COMPUTED_VALUE"""),45299.9322542592)</f>
        <v>45299.932254259198</v>
      </c>
    </row>
    <row r="525" spans="1:87" x14ac:dyDescent="0.25">
      <c r="A525" s="5">
        <f ca="1">IFERROR(__xludf.DUMMYFUNCTION("""COMPUTED_VALUE"""),45299.6358313657)</f>
        <v>45299.635831365697</v>
      </c>
      <c r="B525" s="1" t="str">
        <f ca="1">IFERROR(__xludf.DUMMYFUNCTION("""COMPUTED_VALUE"""),"anupriya_deshmukh9@yahoo.co.in")</f>
        <v>anupriya_deshmukh9@yahoo.co.in</v>
      </c>
      <c r="C525" s="1" t="str">
        <f ca="1">IFERROR(__xludf.DUMMYFUNCTION("""COMPUTED_VALUE"""),"Anupriya Deshmukh ")</f>
        <v xml:space="preserve">Anupriya Deshmukh </v>
      </c>
      <c r="D525" s="1">
        <f ca="1">IFERROR(__xludf.DUMMYFUNCTION("""COMPUTED_VALUE"""),7506739089)</f>
        <v>7506739089</v>
      </c>
      <c r="E525" s="1" t="str">
        <f ca="1">IFERROR(__xludf.DUMMYFUNCTION("""COMPUTED_VALUE"""),"Yes")</f>
        <v>Yes</v>
      </c>
      <c r="F525" s="1" t="str">
        <f ca="1">IFERROR(__xludf.DUMMYFUNCTION("""COMPUTED_VALUE"""),"हिन्दी")</f>
        <v>हिन्दी</v>
      </c>
      <c r="G525" s="1" t="str">
        <f ca="1">IFERROR(__xludf.DUMMYFUNCTION("""COMPUTED_VALUE"""),"जीवन प्रबंध")</f>
        <v>जीवन प्रबंध</v>
      </c>
      <c r="H525" s="1"/>
      <c r="I525" s="1"/>
      <c r="J525" s="1"/>
      <c r="K525" s="1"/>
      <c r="L525" s="1" t="str">
        <f ca="1">IFERROR(__xludf.DUMMYFUNCTION("""COMPUTED_VALUE"""),"मन की शक्ति एवं मनोविज्ञान")</f>
        <v>मन की शक्ति एवं मनोविज्ञान</v>
      </c>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f ca="1">IFERROR(__xludf.DUMMYFUNCTION("""COMPUTED_VALUE"""),15)</f>
        <v>15</v>
      </c>
      <c r="BX525" s="1">
        <f ca="1">IFERROR(__xludf.DUMMYFUNCTION("""COMPUTED_VALUE"""),10)</f>
        <v>10</v>
      </c>
      <c r="BY525" s="1">
        <f ca="1">IFERROR(__xludf.DUMMYFUNCTION("""COMPUTED_VALUE"""),4)</f>
        <v>4</v>
      </c>
      <c r="BZ525" s="1">
        <f ca="1">IFERROR(__xludf.DUMMYFUNCTION("""COMPUTED_VALUE"""),6)</f>
        <v>6</v>
      </c>
      <c r="CA525" s="1"/>
      <c r="CB525" s="1"/>
      <c r="CC525" s="1" t="str">
        <f ca="1">IFERROR(__xludf.DUMMYFUNCTION("""COMPUTED_VALUE"""),"जीवन साधना की उर्जा रश्मियाँ : H_SC_04")</f>
        <v>जीवन साधना की उर्जा रश्मियाँ : H_SC_04</v>
      </c>
      <c r="CD525" s="3" t="str">
        <f ca="1">IFERROR(__xludf.DUMMYFUNCTION("""COMPUTED_VALUE"""),"https://vicharkrantibooks.org/productdetail?book_name=HINP0395_JIVAN_SADHANA_KI_URJA_RASHAMIYAN_xxyyyy&amp;product_id=960")</f>
        <v>https://vicharkrantibooks.org/productdetail?book_name=HINP0395_JIVAN_SADHANA_KI_URJA_RASHAMIYAN_xxyyyy&amp;product_id=960</v>
      </c>
      <c r="CE525" s="1" t="str">
        <f ca="1">IFERROR(__xludf.DUMMYFUNCTION("""COMPUTED_VALUE"""),"Audiobook : जीवन साधना की उर्जा रश्मियाँ : H_SC_04 : anupriya_deshmukh9@yahoo.co.in : Recorded")</f>
        <v>Audiobook : जीवन साधना की उर्जा रश्मियाँ : H_SC_04 : anupriya_deshmukh9@yahoo.co.in : Recorded</v>
      </c>
      <c r="CF525" s="1" t="str">
        <f ca="1">IFERROR(__xludf.DUMMYFUNCTION("""COMPUTED_VALUE"""),"#N/A")</f>
        <v>#N/A</v>
      </c>
      <c r="CG525" s="1" t="str">
        <f ca="1">IFERROR(__xludf.DUMMYFUNCTION("""COMPUTED_VALUE"""),"Adarniya Anupriya Deshmukh  ji जीवन साधना की उर्जा रश्मियाँ : H_SC_04 : Allocated on 08-Jan-24 Contact Number  7506739089")</f>
        <v>Adarniya Anupriya Deshmukh  ji जीवन साधना की उर्जा रश्मियाँ : H_SC_04 : Allocated on 08-Jan-24 Contact Number  7506739089</v>
      </c>
      <c r="CH525" s="1" t="str">
        <f ca="1">IFERROR(__xludf.DUMMYFUNCTION("""COMPUTED_VALUE"""),"anupriya_deshmukh9@yahoo.co.in : जीवन साधना की उर्जा रश्मियाँ : H_SC_04")</f>
        <v>anupriya_deshmukh9@yahoo.co.in : जीवन साधना की उर्जा रश्मियाँ : H_SC_04</v>
      </c>
      <c r="CI525" s="5">
        <f ca="1">IFERROR(__xludf.DUMMYFUNCTION("""COMPUTED_VALUE"""),45299.6358313657)</f>
        <v>45299.635831365697</v>
      </c>
    </row>
    <row r="526" spans="1:87" x14ac:dyDescent="0.25">
      <c r="A526" s="5">
        <f ca="1">IFERROR(__xludf.DUMMYFUNCTION("""COMPUTED_VALUE"""),45299.577059699)</f>
        <v>45299.577059698997</v>
      </c>
      <c r="B526" s="1" t="str">
        <f ca="1">IFERROR(__xludf.DUMMYFUNCTION("""COMPUTED_VALUE"""),"anu161965@gmail.com")</f>
        <v>anu161965@gmail.com</v>
      </c>
      <c r="C526" s="1" t="str">
        <f ca="1">IFERROR(__xludf.DUMMYFUNCTION("""COMPUTED_VALUE"""),"Anureeta awadh")</f>
        <v>Anureeta awadh</v>
      </c>
      <c r="D526" s="1">
        <f ca="1">IFERROR(__xludf.DUMMYFUNCTION("""COMPUTED_VALUE"""),8860314422)</f>
        <v>8860314422</v>
      </c>
      <c r="E526" s="1" t="str">
        <f ca="1">IFERROR(__xludf.DUMMYFUNCTION("""COMPUTED_VALUE"""),"Yes")</f>
        <v>Yes</v>
      </c>
      <c r="F526" s="1" t="str">
        <f ca="1">IFERROR(__xludf.DUMMYFUNCTION("""COMPUTED_VALUE"""),"हिन्दी")</f>
        <v>हिन्दी</v>
      </c>
      <c r="G526" s="1" t="str">
        <f ca="1">IFERROR(__xludf.DUMMYFUNCTION("""COMPUTED_VALUE"""),"वैज्ञानिक अध्यात्मवाद का प्रतिपादन")</f>
        <v>वैज्ञानिक अध्यात्मवाद का प्रतिपादन</v>
      </c>
      <c r="H526" s="1"/>
      <c r="I526" s="1"/>
      <c r="J526" s="1"/>
      <c r="K526" s="1"/>
      <c r="L526" s="1"/>
      <c r="M526" s="1"/>
      <c r="N526" s="1"/>
      <c r="O526" s="1"/>
      <c r="P526" s="1"/>
      <c r="Q526" s="1"/>
      <c r="R526" s="1"/>
      <c r="S526" s="1" t="str">
        <f ca="1">IFERROR(__xludf.DUMMYFUNCTION("""COMPUTED_VALUE"""),"वैज्ञानिक अध्यात्मवाद का प्रतिपादन")</f>
        <v>वैज्ञानिक अध्यात्मवाद का प्रतिपादन</v>
      </c>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f ca="1">IFERROR(__xludf.DUMMYFUNCTION("""COMPUTED_VALUE"""),24)</f>
        <v>24</v>
      </c>
      <c r="BX526" s="1">
        <f ca="1">IFERROR(__xludf.DUMMYFUNCTION("""COMPUTED_VALUE"""),18)</f>
        <v>18</v>
      </c>
      <c r="BY526" s="1">
        <f ca="1">IFERROR(__xludf.DUMMYFUNCTION("""COMPUTED_VALUE"""),7)</f>
        <v>7</v>
      </c>
      <c r="BZ526" s="1">
        <f ca="1">IFERROR(__xludf.DUMMYFUNCTION("""COMPUTED_VALUE"""),5)</f>
        <v>5</v>
      </c>
      <c r="CA526" s="1"/>
      <c r="CB526" s="1"/>
      <c r="CC526" s="1" t="str">
        <f ca="1">IFERROR(__xludf.DUMMYFUNCTION("""COMPUTED_VALUE"""),"भाव चेतना को प्रभावित करें,ऐसी विधा की खोज हो : Rare Book")</f>
        <v>भाव चेतना को प्रभावित करें,ऐसी विधा की खोज हो : Rare Book</v>
      </c>
      <c r="CD526" s="3" t="str">
        <f ca="1">IFERROR(__xludf.DUMMYFUNCTION("""COMPUTED_VALUE"""),"https://vicharkrantibooks.org/productdetail?book_name=HINF0072_BHAV_CHETANA_KO_PRABHAVIT_KAREN_AISI_VIDHA_KI_KHOJ_HO_xxyyyy&amp;product_id=292")</f>
        <v>https://vicharkrantibooks.org/productdetail?book_name=HINF0072_BHAV_CHETANA_KO_PRABHAVIT_KAREN_AISI_VIDHA_KI_KHOJ_HO_xxyyyy&amp;product_id=292</v>
      </c>
      <c r="CE526" s="1" t="str">
        <f ca="1">IFERROR(__xludf.DUMMYFUNCTION("""COMPUTED_VALUE"""),"Audiobook : भाव चेतना को प्रभावित करें,ऐसी विधा की खोज हो : Rare Book : anu161965@gmail.com : Recorded")</f>
        <v>Audiobook : भाव चेतना को प्रभावित करें,ऐसी विधा की खोज हो : Rare Book : anu161965@gmail.com : Recorded</v>
      </c>
      <c r="CF526" s="1" t="str">
        <f ca="1">IFERROR(__xludf.DUMMYFUNCTION("""COMPUTED_VALUE"""),"Audiobook : भाव चेतना को प्रभावित करें,ऐसी विधा की खोज हो : Rare Book : anu161965@gmail.com : Recorded")</f>
        <v>Audiobook : भाव चेतना को प्रभावित करें,ऐसी विधा की खोज हो : Rare Book : anu161965@gmail.com : Recorded</v>
      </c>
      <c r="CG526" s="1" t="str">
        <f ca="1">IFERROR(__xludf.DUMMYFUNCTION("""COMPUTED_VALUE"""),"Adarniya Anureeta awadh ji भाव चेतना को प्रभावित करें,ऐसी विधा की खोज हो : Rare Book : Allocated on 08-Jan-24 Contact Number  8860314422")</f>
        <v>Adarniya Anureeta awadh ji भाव चेतना को प्रभावित करें,ऐसी विधा की खोज हो : Rare Book : Allocated on 08-Jan-24 Contact Number  8860314422</v>
      </c>
      <c r="CH526" s="1" t="str">
        <f ca="1">IFERROR(__xludf.DUMMYFUNCTION("""COMPUTED_VALUE"""),"anu161965@gmail.com : भाव चेतना को प्रभावित करें,ऐसी विधा की खोज हो : Rare Book")</f>
        <v>anu161965@gmail.com : भाव चेतना को प्रभावित करें,ऐसी विधा की खोज हो : Rare Book</v>
      </c>
      <c r="CI526" s="5">
        <f ca="1">IFERROR(__xludf.DUMMYFUNCTION("""COMPUTED_VALUE"""),45299.577059699)</f>
        <v>45299.577059698997</v>
      </c>
    </row>
    <row r="527" spans="1:87" x14ac:dyDescent="0.25">
      <c r="A527" s="5">
        <f ca="1">IFERROR(__xludf.DUMMYFUNCTION("""COMPUTED_VALUE"""),45298.8971681944)</f>
        <v>45298.897168194402</v>
      </c>
      <c r="B527" s="1" t="str">
        <f ca="1">IFERROR(__xludf.DUMMYFUNCTION("""COMPUTED_VALUE"""),"pragyapaliwal78@gmail.com")</f>
        <v>pragyapaliwal78@gmail.com</v>
      </c>
      <c r="C527" s="1" t="str">
        <f ca="1">IFERROR(__xludf.DUMMYFUNCTION("""COMPUTED_VALUE"""),"Pragya Paliwal")</f>
        <v>Pragya Paliwal</v>
      </c>
      <c r="D527" s="1" t="str">
        <f ca="1">IFERROR(__xludf.DUMMYFUNCTION("""COMPUTED_VALUE"""),"08696296388")</f>
        <v>08696296388</v>
      </c>
      <c r="E527" s="1" t="str">
        <f ca="1">IFERROR(__xludf.DUMMYFUNCTION("""COMPUTED_VALUE"""),"Yes")</f>
        <v>Yes</v>
      </c>
      <c r="F527" s="1" t="str">
        <f ca="1">IFERROR(__xludf.DUMMYFUNCTION("""COMPUTED_VALUE"""),"हिन्दी")</f>
        <v>हिन्दी</v>
      </c>
      <c r="G527" s="1" t="str">
        <f ca="1">IFERROR(__xludf.DUMMYFUNCTION("""COMPUTED_VALUE"""),"वैज्ञानिक अध्यात्मवाद का प्रतिपादन")</f>
        <v>वैज्ञानिक अध्यात्मवाद का प्रतिपादन</v>
      </c>
      <c r="H527" s="1"/>
      <c r="I527" s="1"/>
      <c r="J527" s="1"/>
      <c r="K527" s="1"/>
      <c r="L527" s="1"/>
      <c r="M527" s="1"/>
      <c r="N527" s="1"/>
      <c r="O527" s="1"/>
      <c r="P527" s="1"/>
      <c r="Q527" s="1"/>
      <c r="R527" s="1"/>
      <c r="S527" s="1" t="str">
        <f ca="1">IFERROR(__xludf.DUMMYFUNCTION("""COMPUTED_VALUE"""),"वैज्ञानिक अध्यात्मवाद का प्रतिपादन")</f>
        <v>वैज्ञानिक अध्यात्मवाद का प्रतिपादन</v>
      </c>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f ca="1">IFERROR(__xludf.DUMMYFUNCTION("""COMPUTED_VALUE"""),11)</f>
        <v>11</v>
      </c>
      <c r="BX527" s="1">
        <f ca="1">IFERROR(__xludf.DUMMYFUNCTION("""COMPUTED_VALUE"""),3)</f>
        <v>3</v>
      </c>
      <c r="BY527" s="1">
        <f ca="1">IFERROR(__xludf.DUMMYFUNCTION("""COMPUTED_VALUE"""),8)</f>
        <v>8</v>
      </c>
      <c r="BZ527" s="1">
        <f ca="1">IFERROR(__xludf.DUMMYFUNCTION("""COMPUTED_VALUE"""),0)</f>
        <v>0</v>
      </c>
      <c r="CA527" s="1"/>
      <c r="CB527" s="1"/>
      <c r="CC527" s="1" t="str">
        <f ca="1">IFERROR(__xludf.DUMMYFUNCTION("""COMPUTED_VALUE"""),"मंत्र विज्ञान : Rare Book")</f>
        <v>मंत्र विज्ञान : Rare Book</v>
      </c>
      <c r="CD527" s="3" t="str">
        <f ca="1">IFERROR(__xludf.DUMMYFUNCTION("""COMPUTED_VALUE"""),"https://vicharkrantibooks.org/productdetail?book_name=HINP0522_MANTR_VIGYAN_xxyyyy&amp;product_id=1087")</f>
        <v>https://vicharkrantibooks.org/productdetail?book_name=HINP0522_MANTR_VIGYAN_xxyyyy&amp;product_id=1087</v>
      </c>
      <c r="CE527" s="1" t="str">
        <f ca="1">IFERROR(__xludf.DUMMYFUNCTION("""COMPUTED_VALUE"""),"Audiobook : मंत्र विज्ञान : Rare Book : pragyapaliwal78@gmail.com : Recorded")</f>
        <v>Audiobook : मंत्र विज्ञान : Rare Book : pragyapaliwal78@gmail.com : Recorded</v>
      </c>
      <c r="CF527" s="1" t="str">
        <f ca="1">IFERROR(__xludf.DUMMYFUNCTION("""COMPUTED_VALUE"""),"Audiobook : मंत्र विज्ञान : Rare Book : pragyapaliwal78@gmail.com : Recorded")</f>
        <v>Audiobook : मंत्र विज्ञान : Rare Book : pragyapaliwal78@gmail.com : Recorded</v>
      </c>
      <c r="CG527" s="1" t="str">
        <f ca="1">IFERROR(__xludf.DUMMYFUNCTION("""COMPUTED_VALUE"""),"Adarniya Pragya Paliwal ji मंत्र विज्ञान : Rare Book : Allocated on 07-Jan-24 Contact Number  08696296388")</f>
        <v>Adarniya Pragya Paliwal ji मंत्र विज्ञान : Rare Book : Allocated on 07-Jan-24 Contact Number  08696296388</v>
      </c>
      <c r="CH527" s="1" t="str">
        <f ca="1">IFERROR(__xludf.DUMMYFUNCTION("""COMPUTED_VALUE"""),"pragyapaliwal78@gmail.com : मंत्र विज्ञान : Rare Book")</f>
        <v>pragyapaliwal78@gmail.com : मंत्र विज्ञान : Rare Book</v>
      </c>
      <c r="CI527" s="5">
        <f ca="1">IFERROR(__xludf.DUMMYFUNCTION("""COMPUTED_VALUE"""),45298.8971681944)</f>
        <v>45298.897168194402</v>
      </c>
    </row>
    <row r="528" spans="1:87" x14ac:dyDescent="0.25">
      <c r="A528" s="5">
        <f ca="1">IFERROR(__xludf.DUMMYFUNCTION("""COMPUTED_VALUE"""),45298.3643629282)</f>
        <v>45298.364362928201</v>
      </c>
      <c r="B528" s="1" t="str">
        <f ca="1">IFERROR(__xludf.DUMMYFUNCTION("""COMPUTED_VALUE"""),"druma4107@gmail.com")</f>
        <v>druma4107@gmail.com</v>
      </c>
      <c r="C528" s="1" t="str">
        <f ca="1">IFERROR(__xludf.DUMMYFUNCTION("""COMPUTED_VALUE"""),"Dr Uma Agrawal ")</f>
        <v xml:space="preserve">Dr Uma Agrawal </v>
      </c>
      <c r="D528" s="1">
        <f ca="1">IFERROR(__xludf.DUMMYFUNCTION("""COMPUTED_VALUE"""),9410861182)</f>
        <v>9410861182</v>
      </c>
      <c r="E528" s="1" t="str">
        <f ca="1">IFERROR(__xludf.DUMMYFUNCTION("""COMPUTED_VALUE"""),"Yes")</f>
        <v>Yes</v>
      </c>
      <c r="F528" s="1" t="str">
        <f ca="1">IFERROR(__xludf.DUMMYFUNCTION("""COMPUTED_VALUE"""),"हिन्दी")</f>
        <v>हिन्दी</v>
      </c>
      <c r="G528" s="1" t="str">
        <f ca="1">IFERROR(__xludf.DUMMYFUNCTION("""COMPUTED_VALUE"""),"समग्र स्वास्थ्य")</f>
        <v>समग्र स्वास्थ्य</v>
      </c>
      <c r="H528" s="1"/>
      <c r="I528" s="1"/>
      <c r="J528" s="1"/>
      <c r="K528" s="1"/>
      <c r="L528" s="1"/>
      <c r="M528" s="1"/>
      <c r="N528" s="1"/>
      <c r="O528" s="1"/>
      <c r="P528" s="1"/>
      <c r="Q528" s="1"/>
      <c r="R528" s="1"/>
      <c r="S528" s="1"/>
      <c r="T528" s="1"/>
      <c r="U528" s="1" t="str">
        <f ca="1">IFERROR(__xludf.DUMMYFUNCTION("""COMPUTED_VALUE"""),"आहार-विहार एवं उपवास")</f>
        <v>आहार-विहार एवं उपवास</v>
      </c>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f ca="1">IFERROR(__xludf.DUMMYFUNCTION("""COMPUTED_VALUE"""),104)</f>
        <v>104</v>
      </c>
      <c r="BX528" s="1">
        <f ca="1">IFERROR(__xludf.DUMMYFUNCTION("""COMPUTED_VALUE"""),106)</f>
        <v>106</v>
      </c>
      <c r="BY528" s="1">
        <f ca="1">IFERROR(__xludf.DUMMYFUNCTION("""COMPUTED_VALUE"""),9)</f>
        <v>9</v>
      </c>
      <c r="BZ528" s="1">
        <f ca="1">IFERROR(__xludf.DUMMYFUNCTION("""COMPUTED_VALUE"""),43)</f>
        <v>43</v>
      </c>
      <c r="CA528" s="1"/>
      <c r="CB528" s="1"/>
      <c r="CC528" s="1" t="str">
        <f ca="1">IFERROR(__xludf.DUMMYFUNCTION("""COMPUTED_VALUE"""),"अपना मूल्यांकन भी करते रहें : Rare Book")</f>
        <v>अपना मूल्यांकन भी करते रहें : Rare Book</v>
      </c>
      <c r="CD528" s="3" t="str">
        <f ca="1">IFERROR(__xludf.DUMMYFUNCTION("""COMPUTED_VALUE"""),"https://vicharkrantibooks.org/productdetail?book_name=HINP0056_APANA_MULYANKAN_BHI_KARATE_RAHEN_xxyyyy&amp;product_id=621")</f>
        <v>https://vicharkrantibooks.org/productdetail?book_name=HINP0056_APANA_MULYANKAN_BHI_KARATE_RAHEN_xxyyyy&amp;product_id=621</v>
      </c>
      <c r="CE528" s="1" t="str">
        <f ca="1">IFERROR(__xludf.DUMMYFUNCTION("""COMPUTED_VALUE"""),"Audiobook : अपना मूल्यांकन भी करते रहें : Rare Book : druma4107@gmail.com : Recorded")</f>
        <v>Audiobook : अपना मूल्यांकन भी करते रहें : Rare Book : druma4107@gmail.com : Recorded</v>
      </c>
      <c r="CF528" s="1" t="str">
        <f ca="1">IFERROR(__xludf.DUMMYFUNCTION("""COMPUTED_VALUE"""),"Audiobook : अपना मूल्यांकन भी करते रहें : Rare Book : druma4107@gmail.com : Recorded")</f>
        <v>Audiobook : अपना मूल्यांकन भी करते रहें : Rare Book : druma4107@gmail.com : Recorded</v>
      </c>
      <c r="CG528" s="1" t="str">
        <f ca="1">IFERROR(__xludf.DUMMYFUNCTION("""COMPUTED_VALUE"""),"Adarniya Dr Uma Agrawal  ji अपना मूल्यांकन भी करते रहें : Rare Book : Allocated on 07-Jan-24 Contact Number  9410861182")</f>
        <v>Adarniya Dr Uma Agrawal  ji अपना मूल्यांकन भी करते रहें : Rare Book : Allocated on 07-Jan-24 Contact Number  9410861182</v>
      </c>
      <c r="CH528" s="1" t="str">
        <f ca="1">IFERROR(__xludf.DUMMYFUNCTION("""COMPUTED_VALUE"""),"druma4107@gmail.com : अपना मूल्यांकन भी करते रहें : Rare Book")</f>
        <v>druma4107@gmail.com : अपना मूल्यांकन भी करते रहें : Rare Book</v>
      </c>
      <c r="CI528" s="5">
        <f ca="1">IFERROR(__xludf.DUMMYFUNCTION("""COMPUTED_VALUE"""),45298.3643629282)</f>
        <v>45298.364362928201</v>
      </c>
    </row>
    <row r="529" spans="1:87" x14ac:dyDescent="0.25">
      <c r="A529" s="5">
        <f ca="1">IFERROR(__xludf.DUMMYFUNCTION("""COMPUTED_VALUE"""),45297.7932548263)</f>
        <v>45297.793254826298</v>
      </c>
      <c r="B529" s="1" t="str">
        <f ca="1">IFERROR(__xludf.DUMMYFUNCTION("""COMPUTED_VALUE"""),"purnima.bharadwaj.24@gmail.com")</f>
        <v>purnima.bharadwaj.24@gmail.com</v>
      </c>
      <c r="C529" s="1" t="str">
        <f ca="1">IFERROR(__xludf.DUMMYFUNCTION("""COMPUTED_VALUE"""),"पूर्णिमा भारद्वाज ")</f>
        <v xml:space="preserve">पूर्णिमा भारद्वाज </v>
      </c>
      <c r="D529" s="1">
        <f ca="1">IFERROR(__xludf.DUMMYFUNCTION("""COMPUTED_VALUE"""),9415389032)</f>
        <v>9415389032</v>
      </c>
      <c r="E529" s="1" t="str">
        <f ca="1">IFERROR(__xludf.DUMMYFUNCTION("""COMPUTED_VALUE"""),"Yes")</f>
        <v>Yes</v>
      </c>
      <c r="F529" s="1" t="str">
        <f ca="1">IFERROR(__xludf.DUMMYFUNCTION("""COMPUTED_VALUE"""),"हिन्दी")</f>
        <v>हिन्दी</v>
      </c>
      <c r="G529" s="1" t="str">
        <f ca="1">IFERROR(__xludf.DUMMYFUNCTION("""COMPUTED_VALUE"""),"युग द्रष्टा पं. श्रीराम शर्मा आचार्यजी")</f>
        <v>युग द्रष्टा पं. श्रीराम शर्मा आचार्यजी</v>
      </c>
      <c r="H529" s="1"/>
      <c r="I529" s="1"/>
      <c r="J529" s="1"/>
      <c r="K529" s="1"/>
      <c r="L529" s="1"/>
      <c r="M529" s="1"/>
      <c r="N529" s="1"/>
      <c r="O529" s="1"/>
      <c r="P529" s="1" t="str">
        <f ca="1">IFERROR(__xludf.DUMMYFUNCTION("""COMPUTED_VALUE"""),"युगॠषी की अमृतवाणी")</f>
        <v>युगॠषी की अमृतवाणी</v>
      </c>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f ca="1">IFERROR(__xludf.DUMMYFUNCTION("""COMPUTED_VALUE"""),43)</f>
        <v>43</v>
      </c>
      <c r="BX529" s="1">
        <f ca="1">IFERROR(__xludf.DUMMYFUNCTION("""COMPUTED_VALUE"""),36)</f>
        <v>36</v>
      </c>
      <c r="BY529" s="1">
        <f ca="1">IFERROR(__xludf.DUMMYFUNCTION("""COMPUTED_VALUE"""),9)</f>
        <v>9</v>
      </c>
      <c r="BZ529" s="1">
        <f ca="1">IFERROR(__xludf.DUMMYFUNCTION("""COMPUTED_VALUE"""),30)</f>
        <v>30</v>
      </c>
      <c r="CA529" s="1"/>
      <c r="CB529" s="1"/>
      <c r="CC529" s="1" t="str">
        <f ca="1">IFERROR(__xludf.DUMMYFUNCTION("""COMPUTED_VALUE"""),"महाक्रांति का शंखनाद : H_SC_02")</f>
        <v>महाक्रांति का शंखनाद : H_SC_02</v>
      </c>
      <c r="CD529" s="3" t="str">
        <f ca="1">IFERROR(__xludf.DUMMYFUNCTION("""COMPUTED_VALUE"""),"https://vicharkrantibooks.org/productdetail?book_name=HINP0474_MAHAKRANTI_KA_SHANKHANAD_xxyyyy&amp;product_id=1039")</f>
        <v>https://vicharkrantibooks.org/productdetail?book_name=HINP0474_MAHAKRANTI_KA_SHANKHANAD_xxyyyy&amp;product_id=1039</v>
      </c>
      <c r="CE529" s="1" t="str">
        <f ca="1">IFERROR(__xludf.DUMMYFUNCTION("""COMPUTED_VALUE"""),"Audiobook : महाक्रांति का शंखनाद : H_SC_02 : purnima.bharadwaj.24@gmail.com : Recorded")</f>
        <v>Audiobook : महाक्रांति का शंखनाद : H_SC_02 : purnima.bharadwaj.24@gmail.com : Recorded</v>
      </c>
      <c r="CF529" s="1" t="str">
        <f ca="1">IFERROR(__xludf.DUMMYFUNCTION("""COMPUTED_VALUE"""),"Audiobook : महाक्रांति का शंखनाद : H_SC_02 : purnima.bharadwaj.24@gmail.com : Recorded")</f>
        <v>Audiobook : महाक्रांति का शंखनाद : H_SC_02 : purnima.bharadwaj.24@gmail.com : Recorded</v>
      </c>
      <c r="CG529" s="1" t="str">
        <f ca="1">IFERROR(__xludf.DUMMYFUNCTION("""COMPUTED_VALUE"""),"Adarniya पूर्णिमा भारद्वाज  ji महाक्रांति का शंखनाद : H_SC_02 : Allocated on 06-Jan-24 Contact Number  9415389032")</f>
        <v>Adarniya पूर्णिमा भारद्वाज  ji महाक्रांति का शंखनाद : H_SC_02 : Allocated on 06-Jan-24 Contact Number  9415389032</v>
      </c>
      <c r="CH529" s="1" t="str">
        <f ca="1">IFERROR(__xludf.DUMMYFUNCTION("""COMPUTED_VALUE"""),"purnima.bharadwaj.24@gmail.com : महाक्रांति का शंखनाद : H_SC_02")</f>
        <v>purnima.bharadwaj.24@gmail.com : महाक्रांति का शंखनाद : H_SC_02</v>
      </c>
      <c r="CI529" s="5">
        <f ca="1">IFERROR(__xludf.DUMMYFUNCTION("""COMPUTED_VALUE"""),45297.7932548263)</f>
        <v>45297.793254826298</v>
      </c>
    </row>
    <row r="530" spans="1:87" x14ac:dyDescent="0.25">
      <c r="A530" s="5">
        <f ca="1">IFERROR(__xludf.DUMMYFUNCTION("""COMPUTED_VALUE"""),45297.5332837615)</f>
        <v>45297.533283761499</v>
      </c>
      <c r="B530" s="1" t="str">
        <f ca="1">IFERROR(__xludf.DUMMYFUNCTION("""COMPUTED_VALUE"""),"anupriya_deshmukh9@yahoo.co.in")</f>
        <v>anupriya_deshmukh9@yahoo.co.in</v>
      </c>
      <c r="C530" s="1" t="str">
        <f ca="1">IFERROR(__xludf.DUMMYFUNCTION("""COMPUTED_VALUE"""),"Anupriya Deshmukh ")</f>
        <v xml:space="preserve">Anupriya Deshmukh </v>
      </c>
      <c r="D530" s="1">
        <f ca="1">IFERROR(__xludf.DUMMYFUNCTION("""COMPUTED_VALUE"""),7506739089)</f>
        <v>7506739089</v>
      </c>
      <c r="E530" s="1" t="str">
        <f ca="1">IFERROR(__xludf.DUMMYFUNCTION("""COMPUTED_VALUE"""),"Yes")</f>
        <v>Yes</v>
      </c>
      <c r="F530" s="1" t="str">
        <f ca="1">IFERROR(__xludf.DUMMYFUNCTION("""COMPUTED_VALUE"""),"हिन्दी")</f>
        <v>हिन्दी</v>
      </c>
      <c r="G530" s="1" t="str">
        <f ca="1">IFERROR(__xludf.DUMMYFUNCTION("""COMPUTED_VALUE"""),"वैज्ञानिक अध्यात्मवाद का प्रतिपादन")</f>
        <v>वैज्ञानिक अध्यात्मवाद का प्रतिपादन</v>
      </c>
      <c r="H530" s="1"/>
      <c r="I530" s="1"/>
      <c r="J530" s="1"/>
      <c r="K530" s="1"/>
      <c r="L530" s="1"/>
      <c r="M530" s="1"/>
      <c r="N530" s="1"/>
      <c r="O530" s="1"/>
      <c r="P530" s="1"/>
      <c r="Q530" s="1"/>
      <c r="R530" s="1"/>
      <c r="S530" s="1" t="str">
        <f ca="1">IFERROR(__xludf.DUMMYFUNCTION("""COMPUTED_VALUE"""),"वैज्ञानिक अध्यात्मवाद का प्रतिपादन")</f>
        <v>वैज्ञानिक अध्यात्मवाद का प्रतिपादन</v>
      </c>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f ca="1">IFERROR(__xludf.DUMMYFUNCTION("""COMPUTED_VALUE"""),15)</f>
        <v>15</v>
      </c>
      <c r="BX530" s="1">
        <f ca="1">IFERROR(__xludf.DUMMYFUNCTION("""COMPUTED_VALUE"""),10)</f>
        <v>10</v>
      </c>
      <c r="BY530" s="1">
        <f ca="1">IFERROR(__xludf.DUMMYFUNCTION("""COMPUTED_VALUE"""),4)</f>
        <v>4</v>
      </c>
      <c r="BZ530" s="1">
        <f ca="1">IFERROR(__xludf.DUMMYFUNCTION("""COMPUTED_VALUE"""),6)</f>
        <v>6</v>
      </c>
      <c r="CA530" s="1"/>
      <c r="CB530" s="1"/>
      <c r="CC530" s="1" t="str">
        <f ca="1">IFERROR(__xludf.DUMMYFUNCTION("""COMPUTED_VALUE"""),"कैसे होगा समन्वय विज्ञान और आध्यात्म का : H_JS_01")</f>
        <v>कैसे होगा समन्वय विज्ञान और आध्यात्म का : H_JS_01</v>
      </c>
      <c r="CD530" s="3" t="str">
        <f ca="1">IFERROR(__xludf.DUMMYFUNCTION("""COMPUTED_VALUE"""),"https://vicharkrantibooks.org/productdetail?book_name=HINP0411_KAISE_HOGA_SAMANVAY_VIGYAN_AUR_ADHYATM_KA_xx2011&amp;product_id=976")</f>
        <v>https://vicharkrantibooks.org/productdetail?book_name=HINP0411_KAISE_HOGA_SAMANVAY_VIGYAN_AUR_ADHYATM_KA_xx2011&amp;product_id=976</v>
      </c>
      <c r="CE530" s="1" t="str">
        <f ca="1">IFERROR(__xludf.DUMMYFUNCTION("""COMPUTED_VALUE"""),"Audiobook : कैसे होगा समन्वय विज्ञान और आध्यात्म का : H_JS_01 : anupriya_deshmukh9@yahoo.co.in : Recorded")</f>
        <v>Audiobook : कैसे होगा समन्वय विज्ञान और आध्यात्म का : H_JS_01 : anupriya_deshmukh9@yahoo.co.in : Recorded</v>
      </c>
      <c r="CF530" s="1" t="str">
        <f ca="1">IFERROR(__xludf.DUMMYFUNCTION("""COMPUTED_VALUE"""),"Audiobook : कैसे होगा समन्वय विज्ञान और आध्यात्म का : H_JS_01 : anupriya_deshmukh9@yahoo.co.in : Recorded")</f>
        <v>Audiobook : कैसे होगा समन्वय विज्ञान और आध्यात्म का : H_JS_01 : anupriya_deshmukh9@yahoo.co.in : Recorded</v>
      </c>
      <c r="CG530" s="1" t="str">
        <f ca="1">IFERROR(__xludf.DUMMYFUNCTION("""COMPUTED_VALUE"""),"Adarniya Anupriya Deshmukh  ji कैसे होगा समन्वय विज्ञान और आध्यात्म का : H_JS_01 : Allocated on 06-Jan-24 Contact Number  7506739089")</f>
        <v>Adarniya Anupriya Deshmukh  ji कैसे होगा समन्वय विज्ञान और आध्यात्म का : H_JS_01 : Allocated on 06-Jan-24 Contact Number  7506739089</v>
      </c>
      <c r="CH530" s="1" t="str">
        <f ca="1">IFERROR(__xludf.DUMMYFUNCTION("""COMPUTED_VALUE"""),"anupriya_deshmukh9@yahoo.co.in : कैसे होगा समन्वय विज्ञान और आध्यात्म का : H_JS_01")</f>
        <v>anupriya_deshmukh9@yahoo.co.in : कैसे होगा समन्वय विज्ञान और आध्यात्म का : H_JS_01</v>
      </c>
      <c r="CI530" s="5">
        <f ca="1">IFERROR(__xludf.DUMMYFUNCTION("""COMPUTED_VALUE"""),45297.5332837615)</f>
        <v>45297.533283761499</v>
      </c>
    </row>
    <row r="531" spans="1:87" x14ac:dyDescent="0.25">
      <c r="A531" s="5">
        <f ca="1">IFERROR(__xludf.DUMMYFUNCTION("""COMPUTED_VALUE"""),45296.8994440046)</f>
        <v>45296.899444004601</v>
      </c>
      <c r="B531" s="1" t="str">
        <f ca="1">IFERROR(__xludf.DUMMYFUNCTION("""COMPUTED_VALUE"""),"purnima.bharadwaj.24@gmail.com")</f>
        <v>purnima.bharadwaj.24@gmail.com</v>
      </c>
      <c r="C531" s="1" t="str">
        <f ca="1">IFERROR(__xludf.DUMMYFUNCTION("""COMPUTED_VALUE"""),"पूर्णिमा भारद्वाज ")</f>
        <v xml:space="preserve">पूर्णिमा भारद्वाज </v>
      </c>
      <c r="D531" s="1">
        <f ca="1">IFERROR(__xludf.DUMMYFUNCTION("""COMPUTED_VALUE"""),9415389032)</f>
        <v>9415389032</v>
      </c>
      <c r="E531" s="1" t="str">
        <f ca="1">IFERROR(__xludf.DUMMYFUNCTION("""COMPUTED_VALUE"""),"Yes")</f>
        <v>Yes</v>
      </c>
      <c r="F531" s="1" t="str">
        <f ca="1">IFERROR(__xludf.DUMMYFUNCTION("""COMPUTED_VALUE"""),"हिन्दी")</f>
        <v>हिन्दी</v>
      </c>
      <c r="G531" s="1" t="str">
        <f ca="1">IFERROR(__xludf.DUMMYFUNCTION("""COMPUTED_VALUE"""),"युग द्रष्टा पं. श्रीराम शर्मा आचार्यजी")</f>
        <v>युग द्रष्टा पं. श्रीराम शर्मा आचार्यजी</v>
      </c>
      <c r="H531" s="1"/>
      <c r="I531" s="1"/>
      <c r="J531" s="1"/>
      <c r="K531" s="1"/>
      <c r="L531" s="1"/>
      <c r="M531" s="1"/>
      <c r="N531" s="1"/>
      <c r="O531" s="1"/>
      <c r="P531" s="1" t="str">
        <f ca="1">IFERROR(__xludf.DUMMYFUNCTION("""COMPUTED_VALUE"""),"युगॠषी की अमृतवाणी")</f>
        <v>युगॠषी की अमृतवाणी</v>
      </c>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f ca="1">IFERROR(__xludf.DUMMYFUNCTION("""COMPUTED_VALUE"""),43)</f>
        <v>43</v>
      </c>
      <c r="BX531" s="1">
        <f ca="1">IFERROR(__xludf.DUMMYFUNCTION("""COMPUTED_VALUE"""),36)</f>
        <v>36</v>
      </c>
      <c r="BY531" s="1">
        <f ca="1">IFERROR(__xludf.DUMMYFUNCTION("""COMPUTED_VALUE"""),9)</f>
        <v>9</v>
      </c>
      <c r="BZ531" s="1">
        <f ca="1">IFERROR(__xludf.DUMMYFUNCTION("""COMPUTED_VALUE"""),30)</f>
        <v>30</v>
      </c>
      <c r="CA531" s="1"/>
      <c r="CB531" s="1"/>
      <c r="CC531" s="1" t="str">
        <f ca="1">IFERROR(__xludf.DUMMYFUNCTION("""COMPUTED_VALUE"""),"ऋषि चिंतन के सान्निध्य में ०७ (पोकेट) : H_SJ_28_7")</f>
        <v>ऋषि चिंतन के सान्निध्य में ०७ (पोकेट) : H_SJ_28_7</v>
      </c>
      <c r="CD531" s="3" t="str">
        <f ca="1">IFERROR(__xludf.DUMMYFUNCTION("""COMPUTED_VALUE"""),"https://vicharkrantibooks.org/productdetail?book_name=HINP0718_RUSHI_CHINTAN_KE_SANIDHYA_MEIN_07_(POCKET)_xxyyyy&amp;product_id=1283")</f>
        <v>https://vicharkrantibooks.org/productdetail?book_name=HINP0718_RUSHI_CHINTAN_KE_SANIDHYA_MEIN_07_(POCKET)_xxyyyy&amp;product_id=1283</v>
      </c>
      <c r="CE531" s="1" t="str">
        <f ca="1">IFERROR(__xludf.DUMMYFUNCTION("""COMPUTED_VALUE"""),"Audiobook : ऋषि चिंतन के सान्निध्य में ०७ (पोकेट) : H_SJ_28_7 : purnima.bharadwaj.24@gmail.com : Recorded")</f>
        <v>Audiobook : ऋषि चिंतन के सान्निध्य में ०७ (पोकेट) : H_SJ_28_7 : purnima.bharadwaj.24@gmail.com : Recorded</v>
      </c>
      <c r="CF531" s="1" t="str">
        <f ca="1">IFERROR(__xludf.DUMMYFUNCTION("""COMPUTED_VALUE"""),"Audiobook : ऋषि चिंतन के सान्निध्य में ०७ (पोकेट) : H_SJ_28_7 : purnima.bharadwaj.24@gmail.com : Recorded")</f>
        <v>Audiobook : ऋषि चिंतन के सान्निध्य में ०७ (पोकेट) : H_SJ_28_7 : purnima.bharadwaj.24@gmail.com : Recorded</v>
      </c>
      <c r="CG531" s="1" t="str">
        <f ca="1">IFERROR(__xludf.DUMMYFUNCTION("""COMPUTED_VALUE"""),"Adarniya पूर्णिमा भारद्वाज  ji ऋषि चिंतन के सान्निध्य में ०७ (पोकेट) : H_SJ_28_7 : Allocated on 05-Jan-24 Contact Number  9415389032")</f>
        <v>Adarniya पूर्णिमा भारद्वाज  ji ऋषि चिंतन के सान्निध्य में ०७ (पोकेट) : H_SJ_28_7 : Allocated on 05-Jan-24 Contact Number  9415389032</v>
      </c>
      <c r="CH531" s="1" t="str">
        <f ca="1">IFERROR(__xludf.DUMMYFUNCTION("""COMPUTED_VALUE"""),"purnima.bharadwaj.24@gmail.com : ऋषि चिंतन के सान्निध्य में ०७ (पोकेट) : H_SJ_28_7")</f>
        <v>purnima.bharadwaj.24@gmail.com : ऋषि चिंतन के सान्निध्य में ०७ (पोकेट) : H_SJ_28_7</v>
      </c>
      <c r="CI531" s="5">
        <f ca="1">IFERROR(__xludf.DUMMYFUNCTION("""COMPUTED_VALUE"""),45296.8994440046)</f>
        <v>45296.899444004601</v>
      </c>
    </row>
    <row r="532" spans="1:87" x14ac:dyDescent="0.25">
      <c r="A532" s="5">
        <f ca="1">IFERROR(__xludf.DUMMYFUNCTION("""COMPUTED_VALUE"""),45296.6783677314)</f>
        <v>45296.678367731402</v>
      </c>
      <c r="B532" s="1" t="str">
        <f ca="1">IFERROR(__xludf.DUMMYFUNCTION("""COMPUTED_VALUE"""),"manjusrivastava349@gmail.com")</f>
        <v>manjusrivastava349@gmail.com</v>
      </c>
      <c r="C532" s="1" t="str">
        <f ca="1">IFERROR(__xludf.DUMMYFUNCTION("""COMPUTED_VALUE"""),"Manju srivastava")</f>
        <v>Manju srivastava</v>
      </c>
      <c r="D532" s="1">
        <f ca="1">IFERROR(__xludf.DUMMYFUNCTION("""COMPUTED_VALUE"""),9450345667)</f>
        <v>9450345667</v>
      </c>
      <c r="E532" s="1" t="str">
        <f ca="1">IFERROR(__xludf.DUMMYFUNCTION("""COMPUTED_VALUE"""),"Yes")</f>
        <v>Yes</v>
      </c>
      <c r="F532" s="1" t="str">
        <f ca="1">IFERROR(__xludf.DUMMYFUNCTION("""COMPUTED_VALUE"""),"हिन्दी")</f>
        <v>हिन्दी</v>
      </c>
      <c r="G532" s="1" t="str">
        <f ca="1">IFERROR(__xludf.DUMMYFUNCTION("""COMPUTED_VALUE"""),"युग द्रष्टा पं. श्रीराम शर्मा आचार्यजी")</f>
        <v>युग द्रष्टा पं. श्रीराम शर्मा आचार्यजी</v>
      </c>
      <c r="H532" s="1"/>
      <c r="I532" s="1"/>
      <c r="J532" s="1"/>
      <c r="K532" s="1"/>
      <c r="L532" s="1"/>
      <c r="M532" s="1"/>
      <c r="N532" s="1"/>
      <c r="O532" s="1"/>
      <c r="P532" s="1" t="str">
        <f ca="1">IFERROR(__xludf.DUMMYFUNCTION("""COMPUTED_VALUE"""),"युगॠषी की अमृतवाणी")</f>
        <v>युगॠषी की अमृतवाणी</v>
      </c>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f ca="1">IFERROR(__xludf.DUMMYFUNCTION("""COMPUTED_VALUE"""),10)</f>
        <v>10</v>
      </c>
      <c r="BX532" s="1">
        <f ca="1">IFERROR(__xludf.DUMMYFUNCTION("""COMPUTED_VALUE"""),12)</f>
        <v>12</v>
      </c>
      <c r="BY532" s="1">
        <f ca="1">IFERROR(__xludf.DUMMYFUNCTION("""COMPUTED_VALUE"""),0)</f>
        <v>0</v>
      </c>
      <c r="BZ532" s="1">
        <f ca="1">IFERROR(__xludf.DUMMYFUNCTION("""COMPUTED_VALUE"""),2)</f>
        <v>2</v>
      </c>
      <c r="CA532" s="1"/>
      <c r="CB532" s="1"/>
      <c r="CC532" s="1" t="str">
        <f ca="1">IFERROR(__xludf.DUMMYFUNCTION("""COMPUTED_VALUE"""),"उद्‌देश्यों को ऊँचा रखिए : Rare Book")</f>
        <v>उद्‌देश्यों को ऊँचा रखिए : Rare Book</v>
      </c>
      <c r="CD532" s="3" t="str">
        <f ca="1">IFERROR(__xludf.DUMMYFUNCTION("""COMPUTED_VALUE"""),"https://vicharkrantibooks.org/productdetail?book_name=HINP0917_UD%E2%80%8CDESHYON_KO_UNCHA_RAKHIE_xxyyyy&amp;product_id=1482")</f>
        <v>https://vicharkrantibooks.org/productdetail?book_name=HINP0917_UD%E2%80%8CDESHYON_KO_UNCHA_RAKHIE_xxyyyy&amp;product_id=1482</v>
      </c>
      <c r="CE532" s="1" t="str">
        <f ca="1">IFERROR(__xludf.DUMMYFUNCTION("""COMPUTED_VALUE"""),"Audiobook : उद्‌देश्यों को ऊँचा रखिए : Rare Book : manjusrivastava349@gmail.com : Recorded")</f>
        <v>Audiobook : उद्‌देश्यों को ऊँचा रखिए : Rare Book : manjusrivastava349@gmail.com : Recorded</v>
      </c>
      <c r="CF532" s="1" t="str">
        <f ca="1">IFERROR(__xludf.DUMMYFUNCTION("""COMPUTED_VALUE"""),"Audiobook : उद्‌देश्यों को ऊँचा रखिए : Rare Book : manjusrivastava349@gmail.com : Recorded")</f>
        <v>Audiobook : उद्‌देश्यों को ऊँचा रखिए : Rare Book : manjusrivastava349@gmail.com : Recorded</v>
      </c>
      <c r="CG532" s="1" t="str">
        <f ca="1">IFERROR(__xludf.DUMMYFUNCTION("""COMPUTED_VALUE"""),"Adarniya Manju srivastava ji उद्‌देश्यों को ऊँचा रखिए : Rare Book : Allocated on 05-Jan-24 Contact Number  9450345667")</f>
        <v>Adarniya Manju srivastava ji उद्‌देश्यों को ऊँचा रखिए : Rare Book : Allocated on 05-Jan-24 Contact Number  9450345667</v>
      </c>
      <c r="CH532" s="1" t="str">
        <f ca="1">IFERROR(__xludf.DUMMYFUNCTION("""COMPUTED_VALUE"""),"manjusrivastava349@gmail.com : उद्‌देश्यों को ऊँचा रखिए : Rare Book")</f>
        <v>manjusrivastava349@gmail.com : उद्‌देश्यों को ऊँचा रखिए : Rare Book</v>
      </c>
      <c r="CI532" s="5">
        <f ca="1">IFERROR(__xludf.DUMMYFUNCTION("""COMPUTED_VALUE"""),45296.6783677314)</f>
        <v>45296.678367731402</v>
      </c>
    </row>
    <row r="533" spans="1:87" x14ac:dyDescent="0.25">
      <c r="A533" s="5">
        <f ca="1">IFERROR(__xludf.DUMMYFUNCTION("""COMPUTED_VALUE"""),45296.3192113425)</f>
        <v>45296.319211342503</v>
      </c>
      <c r="B533" s="1" t="str">
        <f ca="1">IFERROR(__xludf.DUMMYFUNCTION("""COMPUTED_VALUE"""),"guptarakhi072@gmail.com")</f>
        <v>guptarakhi072@gmail.com</v>
      </c>
      <c r="C533" s="1" t="str">
        <f ca="1">IFERROR(__xludf.DUMMYFUNCTION("""COMPUTED_VALUE"""),"Rakhi Gupta ")</f>
        <v xml:space="preserve">Rakhi Gupta </v>
      </c>
      <c r="D533" s="1">
        <f ca="1">IFERROR(__xludf.DUMMYFUNCTION("""COMPUTED_VALUE"""),8128540757)</f>
        <v>8128540757</v>
      </c>
      <c r="E533" s="1" t="str">
        <f ca="1">IFERROR(__xludf.DUMMYFUNCTION("""COMPUTED_VALUE"""),"Yes")</f>
        <v>Yes</v>
      </c>
      <c r="F533" s="1" t="str">
        <f ca="1">IFERROR(__xludf.DUMMYFUNCTION("""COMPUTED_VALUE"""),"हिन्दी")</f>
        <v>हिन्दी</v>
      </c>
      <c r="G533" s="1"/>
      <c r="H533" s="1" t="str">
        <f ca="1">IFERROR(__xludf.DUMMYFUNCTION("""COMPUTED_VALUE"""),"उपासना")</f>
        <v>उपासना</v>
      </c>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f ca="1">IFERROR(__xludf.DUMMYFUNCTION("""COMPUTED_VALUE"""),21)</f>
        <v>21</v>
      </c>
      <c r="BX533" s="1">
        <f ca="1">IFERROR(__xludf.DUMMYFUNCTION("""COMPUTED_VALUE"""),20)</f>
        <v>20</v>
      </c>
      <c r="BY533" s="1">
        <f ca="1">IFERROR(__xludf.DUMMYFUNCTION("""COMPUTED_VALUE"""),2)</f>
        <v>2</v>
      </c>
      <c r="BZ533" s="1">
        <f ca="1">IFERROR(__xludf.DUMMYFUNCTION("""COMPUTED_VALUE"""),14)</f>
        <v>14</v>
      </c>
      <c r="CA533" s="1"/>
      <c r="CB533" s="1"/>
      <c r="CC533" s="1" t="str">
        <f ca="1">IFERROR(__xludf.DUMMYFUNCTION("""COMPUTED_VALUE"""),"सद्‍गुण बधाएँ शिष्टाचार अपनाएँ : H_PP_36")</f>
        <v>सद्‍गुण बधाएँ शिष्टाचार अपनाएँ : H_PP_36</v>
      </c>
      <c r="CD533" s="3" t="str">
        <f ca="1">IFERROR(__xludf.DUMMYFUNCTION("""COMPUTED_VALUE"""),"https://vicharkrantibooks.org/productdetail?book_name=HINP0733_SADGUN_BADHAEN_SHISHTACHAR_APANAE_xxyyyy&amp;product_id=1298")</f>
        <v>https://vicharkrantibooks.org/productdetail?book_name=HINP0733_SADGUN_BADHAEN_SHISHTACHAR_APANAE_xxyyyy&amp;product_id=1298</v>
      </c>
      <c r="CE533" s="1" t="str">
        <f ca="1">IFERROR(__xludf.DUMMYFUNCTION("""COMPUTED_VALUE"""),"Audiobook : सद्‍गुण बधाएँ शिष्टाचार अपनाएँ : H_PP_36 : guptarakhi072@gmail.com : Recorded")</f>
        <v>Audiobook : सद्‍गुण बधाएँ शिष्टाचार अपनाएँ : H_PP_36 : guptarakhi072@gmail.com : Recorded</v>
      </c>
      <c r="CF533" s="1" t="str">
        <f ca="1">IFERROR(__xludf.DUMMYFUNCTION("""COMPUTED_VALUE"""),"Audiobook : सद्‍गुण बधाएँ शिष्टाचार अपनाएँ : H_PP_36 : guptarakhi072@gmail.com : Recorded")</f>
        <v>Audiobook : सद्‍गुण बधाएँ शिष्टाचार अपनाएँ : H_PP_36 : guptarakhi072@gmail.com : Recorded</v>
      </c>
      <c r="CG533" s="1" t="str">
        <f ca="1">IFERROR(__xludf.DUMMYFUNCTION("""COMPUTED_VALUE"""),"Adarniya Rakhi Gupta  ji सद्‍गुण बधाएँ शिष्टाचार अपनाएँ : H_PP_36 : Allocated on 05-Jan-24 Contact Number  8128540757")</f>
        <v>Adarniya Rakhi Gupta  ji सद्‍गुण बधाएँ शिष्टाचार अपनाएँ : H_PP_36 : Allocated on 05-Jan-24 Contact Number  8128540757</v>
      </c>
      <c r="CH533" s="1" t="str">
        <f ca="1">IFERROR(__xludf.DUMMYFUNCTION("""COMPUTED_VALUE"""),"guptarakhi072@gmail.com : सद्‍गुण बधाएँ शिष्टाचार अपनाएँ : H_PP_36")</f>
        <v>guptarakhi072@gmail.com : सद्‍गुण बधाएँ शिष्टाचार अपनाएँ : H_PP_36</v>
      </c>
      <c r="CI533" s="5">
        <f ca="1">IFERROR(__xludf.DUMMYFUNCTION("""COMPUTED_VALUE"""),45296.3192113425)</f>
        <v>45296.319211342503</v>
      </c>
    </row>
    <row r="534" spans="1:87" x14ac:dyDescent="0.25">
      <c r="A534" s="5">
        <f ca="1">IFERROR(__xludf.DUMMYFUNCTION("""COMPUTED_VALUE"""),45295.8925262152)</f>
        <v>45295.892526215197</v>
      </c>
      <c r="B534" s="1" t="str">
        <f ca="1">IFERROR(__xludf.DUMMYFUNCTION("""COMPUTED_VALUE"""),"anu161965@gmail.com")</f>
        <v>anu161965@gmail.com</v>
      </c>
      <c r="C534" s="1" t="str">
        <f ca="1">IFERROR(__xludf.DUMMYFUNCTION("""COMPUTED_VALUE"""),"Anureeta awadh")</f>
        <v>Anureeta awadh</v>
      </c>
      <c r="D534" s="1">
        <f ca="1">IFERROR(__xludf.DUMMYFUNCTION("""COMPUTED_VALUE"""),8860314422)</f>
        <v>8860314422</v>
      </c>
      <c r="E534" s="1" t="str">
        <f ca="1">IFERROR(__xludf.DUMMYFUNCTION("""COMPUTED_VALUE"""),"Yes")</f>
        <v>Yes</v>
      </c>
      <c r="F534" s="1" t="str">
        <f ca="1">IFERROR(__xludf.DUMMYFUNCTION("""COMPUTED_VALUE"""),"हिन्दी")</f>
        <v>हिन्दी</v>
      </c>
      <c r="G534" s="1" t="str">
        <f ca="1">IFERROR(__xludf.DUMMYFUNCTION("""COMPUTED_VALUE"""),"वैज्ञानिक अध्यात्मवाद का प्रतिपादन")</f>
        <v>वैज्ञानिक अध्यात्मवाद का प्रतिपादन</v>
      </c>
      <c r="H534" s="1"/>
      <c r="I534" s="1"/>
      <c r="J534" s="1"/>
      <c r="K534" s="1"/>
      <c r="L534" s="1"/>
      <c r="M534" s="1"/>
      <c r="N534" s="1"/>
      <c r="O534" s="1"/>
      <c r="P534" s="1"/>
      <c r="Q534" s="1"/>
      <c r="R534" s="1"/>
      <c r="S534" s="1" t="str">
        <f ca="1">IFERROR(__xludf.DUMMYFUNCTION("""COMPUTED_VALUE"""),"वैज्ञानिक अध्यात्मवाद का प्रतिपादन")</f>
        <v>वैज्ञानिक अध्यात्मवाद का प्रतिपादन</v>
      </c>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f ca="1">IFERROR(__xludf.DUMMYFUNCTION("""COMPUTED_VALUE"""),24)</f>
        <v>24</v>
      </c>
      <c r="BX534" s="1">
        <f ca="1">IFERROR(__xludf.DUMMYFUNCTION("""COMPUTED_VALUE"""),18)</f>
        <v>18</v>
      </c>
      <c r="BY534" s="1">
        <f ca="1">IFERROR(__xludf.DUMMYFUNCTION("""COMPUTED_VALUE"""),7)</f>
        <v>7</v>
      </c>
      <c r="BZ534" s="1">
        <f ca="1">IFERROR(__xludf.DUMMYFUNCTION("""COMPUTED_VALUE"""),5)</f>
        <v>5</v>
      </c>
      <c r="CA534" s="1"/>
      <c r="CB534" s="1"/>
      <c r="CC534" s="1" t="str">
        <f ca="1">IFERROR(__xludf.DUMMYFUNCTION("""COMPUTED_VALUE"""),"ब्राह्मि चेतना परमात्म सत्ता का विलक्षण एवं अकात्य प्रमाण : Rare Book")</f>
        <v>ब्राह्मि चेतना परमात्म सत्ता का विलक्षण एवं अकात्य प्रमाण : Rare Book</v>
      </c>
      <c r="CD534" s="3" t="str">
        <f ca="1">IFERROR(__xludf.DUMMYFUNCTION("""COMPUTED_VALUE"""),"https://vicharkrantibooks.org/productdetail?product_id=296")</f>
        <v>https://vicharkrantibooks.org/productdetail?product_id=296</v>
      </c>
      <c r="CE534" s="1" t="str">
        <f ca="1">IFERROR(__xludf.DUMMYFUNCTION("""COMPUTED_VALUE"""),"Audiobook : ब्राह्मि चेतना परमात्म सत्ता का विलक्षण एवं अकात्य प्रमाण : Rare Book : anu161965@gmail.com : Recorded")</f>
        <v>Audiobook : ब्राह्मि चेतना परमात्म सत्ता का विलक्षण एवं अकात्य प्रमाण : Rare Book : anu161965@gmail.com : Recorded</v>
      </c>
      <c r="CF534" s="1" t="str">
        <f ca="1">IFERROR(__xludf.DUMMYFUNCTION("""COMPUTED_VALUE"""),"Audiobook : ब्राह्मि चेतना परमात्म सत्ता का विलक्षण एवं अकात्य प्रमाण : Rare Book : anu161965@gmail.com : Recorded")</f>
        <v>Audiobook : ब्राह्मि चेतना परमात्म सत्ता का विलक्षण एवं अकात्य प्रमाण : Rare Book : anu161965@gmail.com : Recorded</v>
      </c>
      <c r="CG534" s="1" t="str">
        <f ca="1">IFERROR(__xludf.DUMMYFUNCTION("""COMPUTED_VALUE"""),"Adarniya Anureeta awadh ji ब्राह्मि चेतना परमात्म सत्ता का विलक्षण एवं अकात्य प्रमाण : Rare Book : Allocated on 04-Jan-24 Contact Number  8860314422")</f>
        <v>Adarniya Anureeta awadh ji ब्राह्मि चेतना परमात्म सत्ता का विलक्षण एवं अकात्य प्रमाण : Rare Book : Allocated on 04-Jan-24 Contact Number  8860314422</v>
      </c>
      <c r="CH534" s="1" t="str">
        <f ca="1">IFERROR(__xludf.DUMMYFUNCTION("""COMPUTED_VALUE"""),"anu161965@gmail.com : ब्राह्मि चेतना परमात्म सत्ता का विलक्षण एवं अकात्य प्रमाण : Rare Book")</f>
        <v>anu161965@gmail.com : ब्राह्मि चेतना परमात्म सत्ता का विलक्षण एवं अकात्य प्रमाण : Rare Book</v>
      </c>
      <c r="CI534" s="5">
        <f ca="1">IFERROR(__xludf.DUMMYFUNCTION("""COMPUTED_VALUE"""),45295.8925262152)</f>
        <v>45295.892526215197</v>
      </c>
    </row>
    <row r="535" spans="1:87" x14ac:dyDescent="0.25">
      <c r="A535" s="5">
        <f ca="1">IFERROR(__xludf.DUMMYFUNCTION("""COMPUTED_VALUE"""),45295.8111139583)</f>
        <v>45295.811113958298</v>
      </c>
      <c r="B535" s="1" t="str">
        <f ca="1">IFERROR(__xludf.DUMMYFUNCTION("""COMPUTED_VALUE"""),"purnima.bharadwaj.24@gmail.com")</f>
        <v>purnima.bharadwaj.24@gmail.com</v>
      </c>
      <c r="C535" s="1" t="str">
        <f ca="1">IFERROR(__xludf.DUMMYFUNCTION("""COMPUTED_VALUE"""),"पूर्णिमा भारद्वाज ")</f>
        <v xml:space="preserve">पूर्णिमा भारद्वाज </v>
      </c>
      <c r="D535" s="1">
        <f ca="1">IFERROR(__xludf.DUMMYFUNCTION("""COMPUTED_VALUE"""),9415389032)</f>
        <v>9415389032</v>
      </c>
      <c r="E535" s="1" t="str">
        <f ca="1">IFERROR(__xludf.DUMMYFUNCTION("""COMPUTED_VALUE"""),"Yes")</f>
        <v>Yes</v>
      </c>
      <c r="F535" s="1" t="str">
        <f ca="1">IFERROR(__xludf.DUMMYFUNCTION("""COMPUTED_VALUE"""),"हिन्दी")</f>
        <v>हिन्दी</v>
      </c>
      <c r="G535" s="1" t="str">
        <f ca="1">IFERROR(__xludf.DUMMYFUNCTION("""COMPUTED_VALUE"""),"युग द्रष्टा पं. श्रीराम शर्मा आचार्यजी")</f>
        <v>युग द्रष्टा पं. श्रीराम शर्मा आचार्यजी</v>
      </c>
      <c r="H535" s="1"/>
      <c r="I535" s="1"/>
      <c r="J535" s="1"/>
      <c r="K535" s="1"/>
      <c r="L535" s="1"/>
      <c r="M535" s="1"/>
      <c r="N535" s="1"/>
      <c r="O535" s="1"/>
      <c r="P535" s="1" t="str">
        <f ca="1">IFERROR(__xludf.DUMMYFUNCTION("""COMPUTED_VALUE"""),"युगॠषी की अमृतवाणी")</f>
        <v>युगॠषी की अमृतवाणी</v>
      </c>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f ca="1">IFERROR(__xludf.DUMMYFUNCTION("""COMPUTED_VALUE"""),43)</f>
        <v>43</v>
      </c>
      <c r="BX535" s="1">
        <f ca="1">IFERROR(__xludf.DUMMYFUNCTION("""COMPUTED_VALUE"""),36)</f>
        <v>36</v>
      </c>
      <c r="BY535" s="1">
        <f ca="1">IFERROR(__xludf.DUMMYFUNCTION("""COMPUTED_VALUE"""),9)</f>
        <v>9</v>
      </c>
      <c r="BZ535" s="1">
        <f ca="1">IFERROR(__xludf.DUMMYFUNCTION("""COMPUTED_VALUE"""),30)</f>
        <v>30</v>
      </c>
      <c r="CA535" s="1"/>
      <c r="CB535" s="1"/>
      <c r="CC535" s="1" t="str">
        <f ca="1">IFERROR(__xludf.DUMMYFUNCTION("""COMPUTED_VALUE"""),"सफल जीवन की दिशाधारा (Pocket) : H_VP_42")</f>
        <v>सफल जीवन की दिशाधारा (Pocket) : H_VP_42</v>
      </c>
      <c r="CD535" s="3" t="str">
        <f ca="1">IFERROR(__xludf.DUMMYFUNCTION("""COMPUTED_VALUE"""),"https://vicharkrantibooks.org/productdetail?book_name=HINP0806_SAPHAL_JIVAN_KI_DISHADHARA_(POCKET)_xxyyyy&amp;product_id=1371")</f>
        <v>https://vicharkrantibooks.org/productdetail?book_name=HINP0806_SAPHAL_JIVAN_KI_DISHADHARA_(POCKET)_xxyyyy&amp;product_id=1371</v>
      </c>
      <c r="CE535" s="1" t="str">
        <f ca="1">IFERROR(__xludf.DUMMYFUNCTION("""COMPUTED_VALUE"""),"Audiobook : सफल जीवन की दिशाधारा (Pocket) : H_VP_42 : purnima.bharadwaj.24@gmail.com : Recorded")</f>
        <v>Audiobook : सफल जीवन की दिशाधारा (Pocket) : H_VP_42 : purnima.bharadwaj.24@gmail.com : Recorded</v>
      </c>
      <c r="CF535" s="1" t="str">
        <f ca="1">IFERROR(__xludf.DUMMYFUNCTION("""COMPUTED_VALUE"""),"Audiobook : सफल जीवन की दिशाधारा (Pocket) : H_VP_42 : purnima.bharadwaj.24@gmail.com : Recorded")</f>
        <v>Audiobook : सफल जीवन की दिशाधारा (Pocket) : H_VP_42 : purnima.bharadwaj.24@gmail.com : Recorded</v>
      </c>
      <c r="CG535" s="1" t="str">
        <f ca="1">IFERROR(__xludf.DUMMYFUNCTION("""COMPUTED_VALUE"""),"Adarniya पूर्णिमा भारद्वाज  ji सफल जीवन की दिशाधारा (Pocket) : H_VP_42 : Allocated on 04-Jan-24 Contact Number  9415389032")</f>
        <v>Adarniya पूर्णिमा भारद्वाज  ji सफल जीवन की दिशाधारा (Pocket) : H_VP_42 : Allocated on 04-Jan-24 Contact Number  9415389032</v>
      </c>
      <c r="CH535" s="1" t="str">
        <f ca="1">IFERROR(__xludf.DUMMYFUNCTION("""COMPUTED_VALUE"""),"purnima.bharadwaj.24@gmail.com : सफल जीवन की दिशाधारा (Pocket) : H_VP_42")</f>
        <v>purnima.bharadwaj.24@gmail.com : सफल जीवन की दिशाधारा (Pocket) : H_VP_42</v>
      </c>
      <c r="CI535" s="5">
        <f ca="1">IFERROR(__xludf.DUMMYFUNCTION("""COMPUTED_VALUE"""),45295.8111139583)</f>
        <v>45295.811113958298</v>
      </c>
    </row>
    <row r="536" spans="1:87" x14ac:dyDescent="0.25">
      <c r="A536" s="5">
        <f ca="1">IFERROR(__xludf.DUMMYFUNCTION("""COMPUTED_VALUE"""),45295.7839295949)</f>
        <v>45295.783929594902</v>
      </c>
      <c r="B536" s="1" t="str">
        <f ca="1">IFERROR(__xludf.DUMMYFUNCTION("""COMPUTED_VALUE"""),"nksaxena.yoga@gmail.com")</f>
        <v>nksaxena.yoga@gmail.com</v>
      </c>
      <c r="C536" s="1" t="str">
        <f ca="1">IFERROR(__xludf.DUMMYFUNCTION("""COMPUTED_VALUE"""),"Narendra Kumar Saxena ")</f>
        <v xml:space="preserve">Narendra Kumar Saxena </v>
      </c>
      <c r="D536" s="1">
        <f ca="1">IFERROR(__xludf.DUMMYFUNCTION("""COMPUTED_VALUE"""),8826499188)</f>
        <v>8826499188</v>
      </c>
      <c r="E536" s="1" t="str">
        <f ca="1">IFERROR(__xludf.DUMMYFUNCTION("""COMPUTED_VALUE"""),"Yes")</f>
        <v>Yes</v>
      </c>
      <c r="F536" s="1" t="str">
        <f ca="1">IFERROR(__xludf.DUMMYFUNCTION("""COMPUTED_VALUE"""),"हिन्दी")</f>
        <v>हिन्दी</v>
      </c>
      <c r="G536" s="1" t="str">
        <f ca="1">IFERROR(__xludf.DUMMYFUNCTION("""COMPUTED_VALUE"""),"समग्र स्वास्थ्य")</f>
        <v>समग्र स्वास्थ्य</v>
      </c>
      <c r="H536" s="1"/>
      <c r="I536" s="1"/>
      <c r="J536" s="1"/>
      <c r="K536" s="1"/>
      <c r="L536" s="1"/>
      <c r="M536" s="1"/>
      <c r="N536" s="1"/>
      <c r="O536" s="1"/>
      <c r="P536" s="1"/>
      <c r="Q536" s="1"/>
      <c r="R536" s="1"/>
      <c r="S536" s="1"/>
      <c r="T536" s="1"/>
      <c r="U536" s="1" t="str">
        <f ca="1">IFERROR(__xludf.DUMMYFUNCTION("""COMPUTED_VALUE"""),"आहार-विहार एवं उपवास")</f>
        <v>आहार-विहार एवं उपवास</v>
      </c>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f ca="1">IFERROR(__xludf.DUMMYFUNCTION("""COMPUTED_VALUE"""),29)</f>
        <v>29</v>
      </c>
      <c r="BX536" s="1">
        <f ca="1">IFERROR(__xludf.DUMMYFUNCTION("""COMPUTED_VALUE"""),30)</f>
        <v>30</v>
      </c>
      <c r="BY536" s="1">
        <f ca="1">IFERROR(__xludf.DUMMYFUNCTION("""COMPUTED_VALUE"""),3)</f>
        <v>3</v>
      </c>
      <c r="BZ536" s="1">
        <f ca="1">IFERROR(__xludf.DUMMYFUNCTION("""COMPUTED_VALUE"""),25)</f>
        <v>25</v>
      </c>
      <c r="CA536" s="1"/>
      <c r="CB536" s="1"/>
      <c r="CC536" s="1" t="str">
        <f ca="1">IFERROR(__xludf.DUMMYFUNCTION("""COMPUTED_VALUE"""),"सुव्यवस्थित जीवन का मनोविज्ञान : H_VN_68")</f>
        <v>सुव्यवस्थित जीवन का मनोविज्ञान : H_VN_68</v>
      </c>
      <c r="CD536" s="3" t="str">
        <f ca="1">IFERROR(__xludf.DUMMYFUNCTION("""COMPUTED_VALUE"""),"https://vicharkrantibooks.org/productdetail?book_name=HINP0882_SUVYAVASTHIT_JIVAN_KA_MANOVIGYAN_xxyyyy&amp;product_id=1447")</f>
        <v>https://vicharkrantibooks.org/productdetail?book_name=HINP0882_SUVYAVASTHIT_JIVAN_KA_MANOVIGYAN_xxyyyy&amp;product_id=1447</v>
      </c>
      <c r="CE536" s="1" t="str">
        <f ca="1">IFERROR(__xludf.DUMMYFUNCTION("""COMPUTED_VALUE"""),"Audiobook : सुव्यवस्थित जीवन का मनोविज्ञान : H_VN_68 : nksaxena.yoga@gmail.com : Recorded")</f>
        <v>Audiobook : सुव्यवस्थित जीवन का मनोविज्ञान : H_VN_68 : nksaxena.yoga@gmail.com : Recorded</v>
      </c>
      <c r="CF536" s="1" t="str">
        <f ca="1">IFERROR(__xludf.DUMMYFUNCTION("""COMPUTED_VALUE"""),"Audiobook : सुव्यवस्थित जीवन का मनोविज्ञान : H_VN_68 : nksaxena.yoga@gmail.com : Recorded")</f>
        <v>Audiobook : सुव्यवस्थित जीवन का मनोविज्ञान : H_VN_68 : nksaxena.yoga@gmail.com : Recorded</v>
      </c>
      <c r="CG536" s="1" t="str">
        <f ca="1">IFERROR(__xludf.DUMMYFUNCTION("""COMPUTED_VALUE"""),"Adarniya Narendra Kumar Saxena  ji सुव्यवस्थित जीवन का मनोविज्ञान : H_VN_68 : Allocated on 04-Jan-24 Contact Number  8826499188")</f>
        <v>Adarniya Narendra Kumar Saxena  ji सुव्यवस्थित जीवन का मनोविज्ञान : H_VN_68 : Allocated on 04-Jan-24 Contact Number  8826499188</v>
      </c>
      <c r="CH536" s="1" t="str">
        <f ca="1">IFERROR(__xludf.DUMMYFUNCTION("""COMPUTED_VALUE"""),"nksaxena.yoga@gmail.com : सुव्यवस्थित जीवन का मनोविज्ञान : H_VN_68")</f>
        <v>nksaxena.yoga@gmail.com : सुव्यवस्थित जीवन का मनोविज्ञान : H_VN_68</v>
      </c>
      <c r="CI536" s="5">
        <f ca="1">IFERROR(__xludf.DUMMYFUNCTION("""COMPUTED_VALUE"""),45295.7839295949)</f>
        <v>45295.783929594902</v>
      </c>
    </row>
    <row r="537" spans="1:87" x14ac:dyDescent="0.25">
      <c r="A537" s="5">
        <f ca="1">IFERROR(__xludf.DUMMYFUNCTION("""COMPUTED_VALUE"""),45294.0383803935)</f>
        <v>45294.038380393496</v>
      </c>
      <c r="B537" s="1" t="str">
        <f ca="1">IFERROR(__xludf.DUMMYFUNCTION("""COMPUTED_VALUE"""),"anu161965@gmail.com")</f>
        <v>anu161965@gmail.com</v>
      </c>
      <c r="C537" s="1" t="str">
        <f ca="1">IFERROR(__xludf.DUMMYFUNCTION("""COMPUTED_VALUE"""),"Anureeta awadh")</f>
        <v>Anureeta awadh</v>
      </c>
      <c r="D537" s="1" t="str">
        <f ca="1">IFERROR(__xludf.DUMMYFUNCTION("""COMPUTED_VALUE"""),", 8860314422")</f>
        <v>, 8860314422</v>
      </c>
      <c r="E537" s="1" t="str">
        <f ca="1">IFERROR(__xludf.DUMMYFUNCTION("""COMPUTED_VALUE"""),"Yes")</f>
        <v>Yes</v>
      </c>
      <c r="F537" s="1" t="str">
        <f ca="1">IFERROR(__xludf.DUMMYFUNCTION("""COMPUTED_VALUE"""),"हिन्दी")</f>
        <v>हिन्दी</v>
      </c>
      <c r="G537" s="1" t="str">
        <f ca="1">IFERROR(__xludf.DUMMYFUNCTION("""COMPUTED_VALUE"""),"वैज्ञानिक अध्यात्मवाद का प्रतिपादन")</f>
        <v>वैज्ञानिक अध्यात्मवाद का प्रतिपादन</v>
      </c>
      <c r="H537" s="1"/>
      <c r="I537" s="1"/>
      <c r="J537" s="1"/>
      <c r="K537" s="1"/>
      <c r="L537" s="1"/>
      <c r="M537" s="1"/>
      <c r="N537" s="1"/>
      <c r="O537" s="1"/>
      <c r="P537" s="1"/>
      <c r="Q537" s="1"/>
      <c r="R537" s="1"/>
      <c r="S537" s="1" t="str">
        <f ca="1">IFERROR(__xludf.DUMMYFUNCTION("""COMPUTED_VALUE"""),"वैज्ञानिक अध्यात्मवाद का प्रतिपादन")</f>
        <v>वैज्ञानिक अध्यात्मवाद का प्रतिपादन</v>
      </c>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f ca="1">IFERROR(__xludf.DUMMYFUNCTION("""COMPUTED_VALUE"""),24)</f>
        <v>24</v>
      </c>
      <c r="BX537" s="1">
        <f ca="1">IFERROR(__xludf.DUMMYFUNCTION("""COMPUTED_VALUE"""),18)</f>
        <v>18</v>
      </c>
      <c r="BY537" s="1">
        <f ca="1">IFERROR(__xludf.DUMMYFUNCTION("""COMPUTED_VALUE"""),7)</f>
        <v>7</v>
      </c>
      <c r="BZ537" s="1">
        <f ca="1">IFERROR(__xludf.DUMMYFUNCTION("""COMPUTED_VALUE"""),5)</f>
        <v>5</v>
      </c>
      <c r="CA537" s="1"/>
      <c r="CB537" s="1"/>
      <c r="CC537" s="1" t="str">
        <f ca="1">IFERROR(__xludf.DUMMYFUNCTION("""COMPUTED_VALUE"""),"प्राण योग द्वारा प्राण ऊर्जा का मंथन संवर्धन : Rare Book")</f>
        <v>प्राण योग द्वारा प्राण ऊर्जा का मंथन संवर्धन : Rare Book</v>
      </c>
      <c r="CD537" s="3" t="str">
        <f ca="1">IFERROR(__xludf.DUMMYFUNCTION("""COMPUTED_VALUE"""),"https://vicharkrantibooks.org/productdetail?product_id=443")</f>
        <v>https://vicharkrantibooks.org/productdetail?product_id=443</v>
      </c>
      <c r="CE537" s="1" t="str">
        <f ca="1">IFERROR(__xludf.DUMMYFUNCTION("""COMPUTED_VALUE"""),"Audiobook : प्राण योग द्वारा प्राण ऊर्जा का मंथन संवर्धन : Rare Book : anu161965@gmail.com : Recorded")</f>
        <v>Audiobook : प्राण योग द्वारा प्राण ऊर्जा का मंथन संवर्धन : Rare Book : anu161965@gmail.com : Recorded</v>
      </c>
      <c r="CF537" s="1" t="str">
        <f ca="1">IFERROR(__xludf.DUMMYFUNCTION("""COMPUTED_VALUE"""),"Audiobook : प्राण योग द्वारा प्राण ऊर्जा का मंथन संवर्धन : Rare Book : anu161965@gmail.com : Recorded")</f>
        <v>Audiobook : प्राण योग द्वारा प्राण ऊर्जा का मंथन संवर्धन : Rare Book : anu161965@gmail.com : Recorded</v>
      </c>
      <c r="CG537" s="1" t="str">
        <f ca="1">IFERROR(__xludf.DUMMYFUNCTION("""COMPUTED_VALUE"""),"Adarniya Anureeta awadh ji प्राण योग द्वारा प्राण ऊर्जा का मंथन संवर्धन : Rare Book : Allocated on 03-Jan-24 Contact Number  , 8860314422")</f>
        <v>Adarniya Anureeta awadh ji प्राण योग द्वारा प्राण ऊर्जा का मंथन संवर्धन : Rare Book : Allocated on 03-Jan-24 Contact Number  , 8860314422</v>
      </c>
      <c r="CH537" s="1" t="str">
        <f ca="1">IFERROR(__xludf.DUMMYFUNCTION("""COMPUTED_VALUE"""),"anu161965@gmail.com : प्राण योग द्वारा प्राण ऊर्जा का मंथन संवर्धन : Rare Book")</f>
        <v>anu161965@gmail.com : प्राण योग द्वारा प्राण ऊर्जा का मंथन संवर्धन : Rare Book</v>
      </c>
      <c r="CI537" s="5">
        <f ca="1">IFERROR(__xludf.DUMMYFUNCTION("""COMPUTED_VALUE"""),45294.0383803935)</f>
        <v>45294.038380393496</v>
      </c>
    </row>
    <row r="538" spans="1:87" x14ac:dyDescent="0.25">
      <c r="A538" s="5">
        <f ca="1">IFERROR(__xludf.DUMMYFUNCTION("""COMPUTED_VALUE"""),45293.8922245949)</f>
        <v>45293.8922245949</v>
      </c>
      <c r="B538" s="1" t="str">
        <f ca="1">IFERROR(__xludf.DUMMYFUNCTION("""COMPUTED_VALUE"""),"shrutidube.86@gmail.com")</f>
        <v>shrutidube.86@gmail.com</v>
      </c>
      <c r="C538" s="1" t="str">
        <f ca="1">IFERROR(__xludf.DUMMYFUNCTION("""COMPUTED_VALUE"""),"shruti dubey")</f>
        <v>shruti dubey</v>
      </c>
      <c r="D538" s="1">
        <f ca="1">IFERROR(__xludf.DUMMYFUNCTION("""COMPUTED_VALUE"""),7021294023)</f>
        <v>7021294023</v>
      </c>
      <c r="E538" s="1" t="str">
        <f ca="1">IFERROR(__xludf.DUMMYFUNCTION("""COMPUTED_VALUE"""),"Yes")</f>
        <v>Yes</v>
      </c>
      <c r="F538" s="1" t="str">
        <f ca="1">IFERROR(__xludf.DUMMYFUNCTION("""COMPUTED_VALUE"""),"English")</f>
        <v>English</v>
      </c>
      <c r="G538" s="1" t="str">
        <f ca="1">IFERROR(__xludf.DUMMYFUNCTION("""COMPUTED_VALUE"""),"English")</f>
        <v>English</v>
      </c>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f ca="1">IFERROR(__xludf.DUMMYFUNCTION("""COMPUTED_VALUE"""),8)</f>
        <v>8</v>
      </c>
      <c r="BX538" s="1">
        <f ca="1">IFERROR(__xludf.DUMMYFUNCTION("""COMPUTED_VALUE"""),4)</f>
        <v>4</v>
      </c>
      <c r="BY538" s="1">
        <f ca="1">IFERROR(__xludf.DUMMYFUNCTION("""COMPUTED_VALUE"""),4)</f>
        <v>4</v>
      </c>
      <c r="BZ538" s="1">
        <f ca="1">IFERROR(__xludf.DUMMYFUNCTION("""COMPUTED_VALUE"""),1)</f>
        <v>1</v>
      </c>
      <c r="CA538" s="1"/>
      <c r="CB538" s="1"/>
      <c r="CC538" s="1" t="str">
        <f ca="1">IFERROR(__xludf.DUMMYFUNCTION("""COMPUTED_VALUE"""),"Observe And Enforce In Life : EP_124")</f>
        <v>Observe And Enforce In Life : EP_124</v>
      </c>
      <c r="CD538" s="3" t="str">
        <f ca="1">IFERROR(__xludf.DUMMYFUNCTION("""COMPUTED_VALUE"""),"https://vicharkrantibooks.org/productdetail?book_name=ENGP0609_OBSERVE_AND_ENFORCE_IN_LIFE_xxyyyy&amp;product_id=3509")</f>
        <v>https://vicharkrantibooks.org/productdetail?book_name=ENGP0609_OBSERVE_AND_ENFORCE_IN_LIFE_xxyyyy&amp;product_id=3509</v>
      </c>
      <c r="CE538" s="1" t="str">
        <f ca="1">IFERROR(__xludf.DUMMYFUNCTION("""COMPUTED_VALUE"""),"Audiobook : Observe And Enforce In Life : EP_124 : shrutidube.86@gmail.com : Recorded")</f>
        <v>Audiobook : Observe And Enforce In Life : EP_124 : shrutidube.86@gmail.com : Recorded</v>
      </c>
      <c r="CF538" s="1" t="str">
        <f ca="1">IFERROR(__xludf.DUMMYFUNCTION("""COMPUTED_VALUE"""),"#N/A")</f>
        <v>#N/A</v>
      </c>
      <c r="CG538" s="1" t="str">
        <f ca="1">IFERROR(__xludf.DUMMYFUNCTION("""COMPUTED_VALUE"""),"Adarniya shruti dubey ji Observe And Enforce In Life : EP_124 : Allocated on 02-Jan-24 Contact Number  7021294023")</f>
        <v>Adarniya shruti dubey ji Observe And Enforce In Life : EP_124 : Allocated on 02-Jan-24 Contact Number  7021294023</v>
      </c>
      <c r="CH538" s="1" t="str">
        <f ca="1">IFERROR(__xludf.DUMMYFUNCTION("""COMPUTED_VALUE"""),"shrutidube.86@gmail.com : Observe And Enforce In Life : EP_124")</f>
        <v>shrutidube.86@gmail.com : Observe And Enforce In Life : EP_124</v>
      </c>
      <c r="CI538" s="5">
        <f ca="1">IFERROR(__xludf.DUMMYFUNCTION("""COMPUTED_VALUE"""),45293.8922245949)</f>
        <v>45293.8922245949</v>
      </c>
    </row>
    <row r="539" spans="1:87" x14ac:dyDescent="0.25">
      <c r="A539" s="5">
        <f ca="1">IFERROR(__xludf.DUMMYFUNCTION("""COMPUTED_VALUE"""),45293.6973411574)</f>
        <v>45293.6973411574</v>
      </c>
      <c r="B539" s="1" t="str">
        <f ca="1">IFERROR(__xludf.DUMMYFUNCTION("""COMPUTED_VALUE"""),"brphodmba@gmail.com")</f>
        <v>brphodmba@gmail.com</v>
      </c>
      <c r="C539" s="1" t="str">
        <f ca="1">IFERROR(__xludf.DUMMYFUNCTION("""COMPUTED_VALUE"""),"Dr Baidyanath Ram Prajapati")</f>
        <v>Dr Baidyanath Ram Prajapati</v>
      </c>
      <c r="D539" s="1">
        <f ca="1">IFERROR(__xludf.DUMMYFUNCTION("""COMPUTED_VALUE"""),9811724821)</f>
        <v>9811724821</v>
      </c>
      <c r="E539" s="1" t="str">
        <f ca="1">IFERROR(__xludf.DUMMYFUNCTION("""COMPUTED_VALUE"""),"Yes")</f>
        <v>Yes</v>
      </c>
      <c r="F539" s="1" t="str">
        <f ca="1">IFERROR(__xludf.DUMMYFUNCTION("""COMPUTED_VALUE"""),"हिन्दी")</f>
        <v>हिन्दी</v>
      </c>
      <c r="G539" s="1" t="str">
        <f ca="1">IFERROR(__xludf.DUMMYFUNCTION("""COMPUTED_VALUE"""),"अध्यात्म, धर्म एवं दर्शन")</f>
        <v>अध्यात्म, धर्म एवं दर्शन</v>
      </c>
      <c r="H539" s="1" t="str">
        <f ca="1">IFERROR(__xludf.DUMMYFUNCTION("""COMPUTED_VALUE"""),"अध्यात्म, धर्म एवं आस्तिकता")</f>
        <v>अध्यात्म, धर्म एवं आस्तिकता</v>
      </c>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f ca="1">IFERROR(__xludf.DUMMYFUNCTION("""COMPUTED_VALUE"""),12)</f>
        <v>12</v>
      </c>
      <c r="BX539" s="1">
        <f ca="1">IFERROR(__xludf.DUMMYFUNCTION("""COMPUTED_VALUE"""),10)</f>
        <v>10</v>
      </c>
      <c r="BY539" s="1">
        <f ca="1">IFERROR(__xludf.DUMMYFUNCTION("""COMPUTED_VALUE"""),4)</f>
        <v>4</v>
      </c>
      <c r="BZ539" s="1">
        <f ca="1">IFERROR(__xludf.DUMMYFUNCTION("""COMPUTED_VALUE"""),0)</f>
        <v>0</v>
      </c>
      <c r="CA539" s="1"/>
      <c r="CB539" s="1"/>
      <c r="CC539" s="1" t="str">
        <f ca="1">IFERROR(__xludf.DUMMYFUNCTION("""COMPUTED_VALUE"""),"ओजस तेजस और वर्चस के जागरण की साधना  : Rare Book")</f>
        <v>ओजस तेजस और वर्चस के जागरण की साधना  : Rare Book</v>
      </c>
      <c r="CD539" s="3" t="str">
        <f ca="1">IFERROR(__xludf.DUMMYFUNCTION("""COMPUTED_VALUE"""),"https://vicharkrantibooks.org/productdetail?book_name=HINP0608_OJAS_TEJAS_AUR_VARCHAS_KE_JAGARAN_KI_SADHANA_xx1981&amp;product_id=1173")</f>
        <v>https://vicharkrantibooks.org/productdetail?book_name=HINP0608_OJAS_TEJAS_AUR_VARCHAS_KE_JAGARAN_KI_SADHANA_xx1981&amp;product_id=1173</v>
      </c>
      <c r="CE539" s="1" t="str">
        <f ca="1">IFERROR(__xludf.DUMMYFUNCTION("""COMPUTED_VALUE"""),"Audiobook : ओजस तेजस और वर्चस के जागरण की साधना  : Rare Book : brphodmba@gmail.com : Recorded")</f>
        <v>Audiobook : ओजस तेजस और वर्चस के जागरण की साधना  : Rare Book : brphodmba@gmail.com : Recorded</v>
      </c>
      <c r="CF539" s="1" t="str">
        <f ca="1">IFERROR(__xludf.DUMMYFUNCTION("""COMPUTED_VALUE"""),"Audiobook : ओजस तेजस और वर्चस के जागरण की साधना  : Rare Book : brphodmba@gmail.com : Recorded")</f>
        <v>Audiobook : ओजस तेजस और वर्चस के जागरण की साधना  : Rare Book : brphodmba@gmail.com : Recorded</v>
      </c>
      <c r="CG539" s="1" t="str">
        <f ca="1">IFERROR(__xludf.DUMMYFUNCTION("""COMPUTED_VALUE"""),"Adarniya Dr Baidyanath Ram Prajapati ji ओजस तेजस और वर्चस के जागरण की साधना  : Rare Book : Allocated on 02-Jan-24 Contact Number  9811724821")</f>
        <v>Adarniya Dr Baidyanath Ram Prajapati ji ओजस तेजस और वर्चस के जागरण की साधना  : Rare Book : Allocated on 02-Jan-24 Contact Number  9811724821</v>
      </c>
      <c r="CH539" s="1" t="str">
        <f ca="1">IFERROR(__xludf.DUMMYFUNCTION("""COMPUTED_VALUE"""),"brphodmba@gmail.com : ओजस तेजस और वर्चस के जागरण की साधना  : Rare Book")</f>
        <v>brphodmba@gmail.com : ओजस तेजस और वर्चस के जागरण की साधना  : Rare Book</v>
      </c>
      <c r="CI539" s="5">
        <f ca="1">IFERROR(__xludf.DUMMYFUNCTION("""COMPUTED_VALUE"""),45293.6973411574)</f>
        <v>45293.6973411574</v>
      </c>
    </row>
    <row r="540" spans="1:87" x14ac:dyDescent="0.25">
      <c r="A540" s="5">
        <f ca="1">IFERROR(__xludf.DUMMYFUNCTION("""COMPUTED_VALUE"""),45293.3658883449)</f>
        <v>45293.365888344902</v>
      </c>
      <c r="B540" s="1" t="str">
        <f ca="1">IFERROR(__xludf.DUMMYFUNCTION("""COMPUTED_VALUE"""),"druma4107@gmail.com")</f>
        <v>druma4107@gmail.com</v>
      </c>
      <c r="C540" s="1" t="str">
        <f ca="1">IFERROR(__xludf.DUMMYFUNCTION("""COMPUTED_VALUE"""),"Dr Uma Agrawal ")</f>
        <v xml:space="preserve">Dr Uma Agrawal </v>
      </c>
      <c r="D540" s="1">
        <f ca="1">IFERROR(__xludf.DUMMYFUNCTION("""COMPUTED_VALUE"""),9410861182)</f>
        <v>9410861182</v>
      </c>
      <c r="E540" s="1" t="str">
        <f ca="1">IFERROR(__xludf.DUMMYFUNCTION("""COMPUTED_VALUE"""),"Yes")</f>
        <v>Yes</v>
      </c>
      <c r="F540" s="1" t="str">
        <f ca="1">IFERROR(__xludf.DUMMYFUNCTION("""COMPUTED_VALUE"""),"हिन्दी")</f>
        <v>हिन्दी</v>
      </c>
      <c r="G540" s="1" t="str">
        <f ca="1">IFERROR(__xludf.DUMMYFUNCTION("""COMPUTED_VALUE"""),"समग्र स्वास्थ्य")</f>
        <v>समग्र स्वास्थ्य</v>
      </c>
      <c r="H540" s="1"/>
      <c r="I540" s="1"/>
      <c r="J540" s="1"/>
      <c r="K540" s="1"/>
      <c r="L540" s="1"/>
      <c r="M540" s="1"/>
      <c r="N540" s="1"/>
      <c r="O540" s="1"/>
      <c r="P540" s="1"/>
      <c r="Q540" s="1"/>
      <c r="R540" s="1"/>
      <c r="S540" s="1"/>
      <c r="T540" s="1"/>
      <c r="U540" s="1" t="str">
        <f ca="1">IFERROR(__xludf.DUMMYFUNCTION("""COMPUTED_VALUE"""),"आहार-विहार एवं उपवास")</f>
        <v>आहार-विहार एवं उपवास</v>
      </c>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f ca="1">IFERROR(__xludf.DUMMYFUNCTION("""COMPUTED_VALUE"""),104)</f>
        <v>104</v>
      </c>
      <c r="BX540" s="1">
        <f ca="1">IFERROR(__xludf.DUMMYFUNCTION("""COMPUTED_VALUE"""),106)</f>
        <v>106</v>
      </c>
      <c r="BY540" s="1">
        <f ca="1">IFERROR(__xludf.DUMMYFUNCTION("""COMPUTED_VALUE"""),9)</f>
        <v>9</v>
      </c>
      <c r="BZ540" s="1">
        <f ca="1">IFERROR(__xludf.DUMMYFUNCTION("""COMPUTED_VALUE"""),43)</f>
        <v>43</v>
      </c>
      <c r="CA540" s="1"/>
      <c r="CB540" s="1"/>
      <c r="CC540" s="1" t="str">
        <f ca="1">IFERROR(__xludf.DUMMYFUNCTION("""COMPUTED_VALUE"""),"बिना औषधियों के रोग निवृत्ति : Rare Book")</f>
        <v>बिना औषधियों के रोग निवृत्ति : Rare Book</v>
      </c>
      <c r="CD540" s="3" t="str">
        <f ca="1">IFERROR(__xludf.DUMMYFUNCTION("""COMPUTED_VALUE"""),"https://vicharkrantibooks.org/productdetail?book_name=HINP0172_BINA_AUSHADHIYON_KE_ROG_NIVRUTTI_xxyyyy&amp;product_id=737")</f>
        <v>https://vicharkrantibooks.org/productdetail?book_name=HINP0172_BINA_AUSHADHIYON_KE_ROG_NIVRUTTI_xxyyyy&amp;product_id=737</v>
      </c>
      <c r="CE540" s="1" t="str">
        <f ca="1">IFERROR(__xludf.DUMMYFUNCTION("""COMPUTED_VALUE"""),"Audiobook : बिना औषधियों के रोग निवृत्ति : Rare Book : druma4107@gmail.com : Recorded")</f>
        <v>Audiobook : बिना औषधियों के रोग निवृत्ति : Rare Book : druma4107@gmail.com : Recorded</v>
      </c>
      <c r="CF540" s="1" t="str">
        <f ca="1">IFERROR(__xludf.DUMMYFUNCTION("""COMPUTED_VALUE"""),"Audiobook : बिना औषधियों के रोग निवृत्ति : Rare Book : druma4107@gmail.com : Recorded")</f>
        <v>Audiobook : बिना औषधियों के रोग निवृत्ति : Rare Book : druma4107@gmail.com : Recorded</v>
      </c>
      <c r="CG540" s="1" t="str">
        <f ca="1">IFERROR(__xludf.DUMMYFUNCTION("""COMPUTED_VALUE"""),"Adarniya Dr Uma Agrawal  ji बिना औषधियों के रोग निवृत्ति : Rare Book : Allocated on 02-Jan-24 Contact Number  9410861182")</f>
        <v>Adarniya Dr Uma Agrawal  ji बिना औषधियों के रोग निवृत्ति : Rare Book : Allocated on 02-Jan-24 Contact Number  9410861182</v>
      </c>
      <c r="CH540" s="1" t="str">
        <f ca="1">IFERROR(__xludf.DUMMYFUNCTION("""COMPUTED_VALUE"""),"druma4107@gmail.com : बिना औषधियों के रोग निवृत्ति : Rare Book")</f>
        <v>druma4107@gmail.com : बिना औषधियों के रोग निवृत्ति : Rare Book</v>
      </c>
      <c r="CI540" s="5">
        <f ca="1">IFERROR(__xludf.DUMMYFUNCTION("""COMPUTED_VALUE"""),45293.3658883449)</f>
        <v>45293.365888344902</v>
      </c>
    </row>
    <row r="541" spans="1:87" x14ac:dyDescent="0.25">
      <c r="A541" s="5">
        <f ca="1">IFERROR(__xludf.DUMMYFUNCTION("""COMPUTED_VALUE"""),45292.9205366782)</f>
        <v>45292.920536678197</v>
      </c>
      <c r="B541" s="1" t="str">
        <f ca="1">IFERROR(__xludf.DUMMYFUNCTION("""COMPUTED_VALUE"""),"vandana15rastogi@gmail.com")</f>
        <v>vandana15rastogi@gmail.com</v>
      </c>
      <c r="C541" s="1" t="str">
        <f ca="1">IFERROR(__xludf.DUMMYFUNCTION("""COMPUTED_VALUE"""),"Vandana Rastogi")</f>
        <v>Vandana Rastogi</v>
      </c>
      <c r="D541" s="1">
        <f ca="1">IFERROR(__xludf.DUMMYFUNCTION("""COMPUTED_VALUE"""),9359528684)</f>
        <v>9359528684</v>
      </c>
      <c r="E541" s="1" t="str">
        <f ca="1">IFERROR(__xludf.DUMMYFUNCTION("""COMPUTED_VALUE"""),"Yes")</f>
        <v>Yes</v>
      </c>
      <c r="F541" s="1" t="str">
        <f ca="1">IFERROR(__xludf.DUMMYFUNCTION("""COMPUTED_VALUE"""),"हिन्दी")</f>
        <v>हिन्दी</v>
      </c>
      <c r="G541" s="1" t="str">
        <f ca="1">IFERROR(__xludf.DUMMYFUNCTION("""COMPUTED_VALUE"""),"युग द्रष्टा पं. श्रीराम शर्मा आचार्यजी")</f>
        <v>युग द्रष्टा पं. श्रीराम शर्मा आचार्यजी</v>
      </c>
      <c r="H541" s="1"/>
      <c r="I541" s="1"/>
      <c r="J541" s="1"/>
      <c r="K541" s="1"/>
      <c r="L541" s="1"/>
      <c r="M541" s="1"/>
      <c r="N541" s="1"/>
      <c r="O541" s="1"/>
      <c r="P541" s="1" t="str">
        <f ca="1">IFERROR(__xludf.DUMMYFUNCTION("""COMPUTED_VALUE"""),"युगॠषी की अमृतवाणी")</f>
        <v>युगॠषी की अमृतवाणी</v>
      </c>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f ca="1">IFERROR(__xludf.DUMMYFUNCTION("""COMPUTED_VALUE"""),33)</f>
        <v>33</v>
      </c>
      <c r="BX541" s="1">
        <f ca="1">IFERROR(__xludf.DUMMYFUNCTION("""COMPUTED_VALUE"""),19)</f>
        <v>19</v>
      </c>
      <c r="BY541" s="1">
        <f ca="1">IFERROR(__xludf.DUMMYFUNCTION("""COMPUTED_VALUE"""),17)</f>
        <v>17</v>
      </c>
      <c r="BZ541" s="1">
        <f ca="1">IFERROR(__xludf.DUMMYFUNCTION("""COMPUTED_VALUE"""),14)</f>
        <v>14</v>
      </c>
      <c r="CA541" s="1"/>
      <c r="CB541" s="1"/>
      <c r="CC541" s="1" t="str">
        <f ca="1">IFERROR(__xludf.DUMMYFUNCTION("""COMPUTED_VALUE"""),"मनुष्य के मूल्यांकन का आधार आध्यात्मिकता : H_JS_33")</f>
        <v>मनुष्य के मूल्यांकन का आधार आध्यात्मिकता : H_JS_33</v>
      </c>
      <c r="CD541" s="3" t="str">
        <f ca="1">IFERROR(__xludf.DUMMYFUNCTION("""COMPUTED_VALUE"""),"https://vicharkrantibooks.org/productdetail?book_name=HINP0527_MANUSHY_KE_MULYANKAN_KA_ADHAR_ADHYATMIKATA_xx2011&amp;product_id=1092")</f>
        <v>https://vicharkrantibooks.org/productdetail?book_name=HINP0527_MANUSHY_KE_MULYANKAN_KA_ADHAR_ADHYATMIKATA_xx2011&amp;product_id=1092</v>
      </c>
      <c r="CE541" s="1" t="str">
        <f ca="1">IFERROR(__xludf.DUMMYFUNCTION("""COMPUTED_VALUE"""),"Audiobook : मनुष्य के मूल्यांकन का आधार आध्यात्मिकता : H_JS_33 : vandana15rastogi@gmail.com : Recorded")</f>
        <v>Audiobook : मनुष्य के मूल्यांकन का आधार आध्यात्मिकता : H_JS_33 : vandana15rastogi@gmail.com : Recorded</v>
      </c>
      <c r="CF541" s="1" t="str">
        <f ca="1">IFERROR(__xludf.DUMMYFUNCTION("""COMPUTED_VALUE"""),"#N/A")</f>
        <v>#N/A</v>
      </c>
      <c r="CG541" s="1" t="str">
        <f ca="1">IFERROR(__xludf.DUMMYFUNCTION("""COMPUTED_VALUE"""),"Adarniya Vandana Rastogi ji मनुष्य के मूल्यांकन का आधार आध्यात्मिकता : H_JS_33 : Allocated on 01-Jan-24 Contact Number  9359528684")</f>
        <v>Adarniya Vandana Rastogi ji मनुष्य के मूल्यांकन का आधार आध्यात्मिकता : H_JS_33 : Allocated on 01-Jan-24 Contact Number  9359528684</v>
      </c>
      <c r="CH541" s="1" t="str">
        <f ca="1">IFERROR(__xludf.DUMMYFUNCTION("""COMPUTED_VALUE"""),"vandana15rastogi@gmail.com : मनुष्य के मूल्यांकन का आधार आध्यात्मिकता : H_JS_33")</f>
        <v>vandana15rastogi@gmail.com : मनुष्य के मूल्यांकन का आधार आध्यात्मिकता : H_JS_33</v>
      </c>
      <c r="CI541" s="5">
        <f ca="1">IFERROR(__xludf.DUMMYFUNCTION("""COMPUTED_VALUE"""),45292.9205366782)</f>
        <v>45292.920536678197</v>
      </c>
    </row>
    <row r="542" spans="1:87" x14ac:dyDescent="0.25">
      <c r="A542" s="5">
        <f ca="1">IFERROR(__xludf.DUMMYFUNCTION("""COMPUTED_VALUE"""),45292.9131536458)</f>
        <v>45292.913153645801</v>
      </c>
      <c r="B542" s="1" t="str">
        <f ca="1">IFERROR(__xludf.DUMMYFUNCTION("""COMPUTED_VALUE"""),"anu161965@gmail.com")</f>
        <v>anu161965@gmail.com</v>
      </c>
      <c r="C542" s="1" t="str">
        <f ca="1">IFERROR(__xludf.DUMMYFUNCTION("""COMPUTED_VALUE""")," Anureeta awadh")</f>
        <v xml:space="preserve"> Anureeta awadh</v>
      </c>
      <c r="D542" s="1" t="str">
        <f ca="1">IFERROR(__xludf.DUMMYFUNCTION("""COMPUTED_VALUE"""),", 8860314422")</f>
        <v>, 8860314422</v>
      </c>
      <c r="E542" s="1" t="str">
        <f ca="1">IFERROR(__xludf.DUMMYFUNCTION("""COMPUTED_VALUE"""),"Yes")</f>
        <v>Yes</v>
      </c>
      <c r="F542" s="1" t="str">
        <f ca="1">IFERROR(__xludf.DUMMYFUNCTION("""COMPUTED_VALUE"""),"हिन्दी")</f>
        <v>हिन्दी</v>
      </c>
      <c r="G542" s="1" t="str">
        <f ca="1">IFERROR(__xludf.DUMMYFUNCTION("""COMPUTED_VALUE"""),"वैज्ञानिक अध्यात्मवाद का प्रतिपादन")</f>
        <v>वैज्ञानिक अध्यात्मवाद का प्रतिपादन</v>
      </c>
      <c r="H542" s="1"/>
      <c r="I542" s="1"/>
      <c r="J542" s="1"/>
      <c r="K542" s="1"/>
      <c r="L542" s="1"/>
      <c r="M542" s="1"/>
      <c r="N542" s="1"/>
      <c r="O542" s="1"/>
      <c r="P542" s="1"/>
      <c r="Q542" s="1"/>
      <c r="R542" s="1"/>
      <c r="S542" s="1" t="str">
        <f ca="1">IFERROR(__xludf.DUMMYFUNCTION("""COMPUTED_VALUE"""),"वैज्ञानिक अध्यात्मवाद का प्रतिपादन")</f>
        <v>वैज्ञानिक अध्यात्मवाद का प्रतिपादन</v>
      </c>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f ca="1">IFERROR(__xludf.DUMMYFUNCTION("""COMPUTED_VALUE"""),24)</f>
        <v>24</v>
      </c>
      <c r="BX542" s="1">
        <f ca="1">IFERROR(__xludf.DUMMYFUNCTION("""COMPUTED_VALUE"""),18)</f>
        <v>18</v>
      </c>
      <c r="BY542" s="1">
        <f ca="1">IFERROR(__xludf.DUMMYFUNCTION("""COMPUTED_VALUE"""),7)</f>
        <v>7</v>
      </c>
      <c r="BZ542" s="1">
        <f ca="1">IFERROR(__xludf.DUMMYFUNCTION("""COMPUTED_VALUE"""),5)</f>
        <v>5</v>
      </c>
      <c r="CA542" s="1"/>
      <c r="CB542" s="1"/>
      <c r="CC542" s="1" t="str">
        <f ca="1">IFERROR(__xludf.DUMMYFUNCTION("""COMPUTED_VALUE"""),"तेजोवलय : एक बहुमूल्य आध्यात्मिक सम्पदा : Rare Book")</f>
        <v>तेजोवलय : एक बहुमूल्य आध्यात्मिक सम्पदा : Rare Book</v>
      </c>
      <c r="CD542" s="3" t="str">
        <f ca="1">IFERROR(__xludf.DUMMYFUNCTION("""COMPUTED_VALUE"""),"https://vicharkrantibooks.org/productdetail?product_id=510")</f>
        <v>https://vicharkrantibooks.org/productdetail?product_id=510</v>
      </c>
      <c r="CE542" s="1" t="str">
        <f ca="1">IFERROR(__xludf.DUMMYFUNCTION("""COMPUTED_VALUE"""),"Audiobook : तेजोवलय : एक बहुमूल्य आध्यात्मिक सम्पदा : Rare Book : anu161965@gmail.com : Recorded")</f>
        <v>Audiobook : तेजोवलय : एक बहुमूल्य आध्यात्मिक सम्पदा : Rare Book : anu161965@gmail.com : Recorded</v>
      </c>
      <c r="CF542" s="1" t="str">
        <f ca="1">IFERROR(__xludf.DUMMYFUNCTION("""COMPUTED_VALUE"""),"Audiobook : तेजोवलय : एक बहुमूल्य आध्यात्मिक सम्पदा : Rare Book : anu161965@gmail.com : Recorded")</f>
        <v>Audiobook : तेजोवलय : एक बहुमूल्य आध्यात्मिक सम्पदा : Rare Book : anu161965@gmail.com : Recorded</v>
      </c>
      <c r="CG542" s="1" t="str">
        <f ca="1">IFERROR(__xludf.DUMMYFUNCTION("""COMPUTED_VALUE"""),"Adarniya  Anureeta awadh ji तेजोवलय : एक बहुमूल्य आध्यात्मिक सम्पदा : Rare Book : Allocated on 01-Jan-24 Contact Number  , 8860314422")</f>
        <v>Adarniya  Anureeta awadh ji तेजोवलय : एक बहुमूल्य आध्यात्मिक सम्पदा : Rare Book : Allocated on 01-Jan-24 Contact Number  , 8860314422</v>
      </c>
      <c r="CH542" s="1" t="str">
        <f ca="1">IFERROR(__xludf.DUMMYFUNCTION("""COMPUTED_VALUE"""),"anu161965@gmail.com : तेजोवलय : एक बहुमूल्य आध्यात्मिक सम्पदा : Rare Book")</f>
        <v>anu161965@gmail.com : तेजोवलय : एक बहुमूल्य आध्यात्मिक सम्पदा : Rare Book</v>
      </c>
      <c r="CI542" s="5">
        <f ca="1">IFERROR(__xludf.DUMMYFUNCTION("""COMPUTED_VALUE"""),45292.9131536458)</f>
        <v>45292.913153645801</v>
      </c>
    </row>
    <row r="543" spans="1:87" x14ac:dyDescent="0.25">
      <c r="A543" s="5">
        <f ca="1">IFERROR(__xludf.DUMMYFUNCTION("""COMPUTED_VALUE"""),45291.6801222106)</f>
        <v>45291.680122210601</v>
      </c>
      <c r="B543" s="1" t="str">
        <f ca="1">IFERROR(__xludf.DUMMYFUNCTION("""COMPUTED_VALUE"""),"ashish_in_nagpur@yahoo.com")</f>
        <v>ashish_in_nagpur@yahoo.com</v>
      </c>
      <c r="C543" s="1" t="str">
        <f ca="1">IFERROR(__xludf.DUMMYFUNCTION("""COMPUTED_VALUE"""),"Ashish Shrivastava ")</f>
        <v xml:space="preserve">Ashish Shrivastava </v>
      </c>
      <c r="D543" s="1">
        <f ca="1">IFERROR(__xludf.DUMMYFUNCTION("""COMPUTED_VALUE"""),8275970236)</f>
        <v>8275970236</v>
      </c>
      <c r="E543" s="1" t="str">
        <f ca="1">IFERROR(__xludf.DUMMYFUNCTION("""COMPUTED_VALUE"""),"Yes")</f>
        <v>Yes</v>
      </c>
      <c r="F543" s="1" t="str">
        <f ca="1">IFERROR(__xludf.DUMMYFUNCTION("""COMPUTED_VALUE"""),"हिन्दी")</f>
        <v>हिन्दी</v>
      </c>
      <c r="G543" s="1" t="str">
        <f ca="1">IFERROR(__xludf.DUMMYFUNCTION("""COMPUTED_VALUE"""),"वैज्ञानिक अध्यात्मवाद का प्रतिपादन")</f>
        <v>वैज्ञानिक अध्यात्मवाद का प्रतिपादन</v>
      </c>
      <c r="H543" s="1"/>
      <c r="I543" s="1"/>
      <c r="J543" s="1"/>
      <c r="K543" s="1"/>
      <c r="L543" s="1"/>
      <c r="M543" s="1"/>
      <c r="N543" s="1"/>
      <c r="O543" s="1"/>
      <c r="P543" s="1"/>
      <c r="Q543" s="1"/>
      <c r="R543" s="1"/>
      <c r="S543" s="1" t="str">
        <f ca="1">IFERROR(__xludf.DUMMYFUNCTION("""COMPUTED_VALUE"""),"वैज्ञानिक अध्यात्मवाद का प्रतिपादन")</f>
        <v>वैज्ञानिक अध्यात्मवाद का प्रतिपादन</v>
      </c>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f ca="1">IFERROR(__xludf.DUMMYFUNCTION("""COMPUTED_VALUE"""),5)</f>
        <v>5</v>
      </c>
      <c r="BX543" s="1">
        <f ca="1">IFERROR(__xludf.DUMMYFUNCTION("""COMPUTED_VALUE"""),3)</f>
        <v>3</v>
      </c>
      <c r="BY543" s="1">
        <f ca="1">IFERROR(__xludf.DUMMYFUNCTION("""COMPUTED_VALUE"""),2)</f>
        <v>2</v>
      </c>
      <c r="BZ543" s="1">
        <f ca="1">IFERROR(__xludf.DUMMYFUNCTION("""COMPUTED_VALUE"""),1)</f>
        <v>1</v>
      </c>
      <c r="CA543" s="1"/>
      <c r="CB543" s="1"/>
      <c r="CC543" s="1" t="str">
        <f ca="1">IFERROR(__xludf.DUMMYFUNCTION("""COMPUTED_VALUE"""),"महाकाल की भविष्यवाणी : Rare Book")</f>
        <v>महाकाल की भविष्यवाणी : Rare Book</v>
      </c>
      <c r="CD543" s="3" t="str">
        <f ca="1">IFERROR(__xludf.DUMMYFUNCTION("""COMPUTED_VALUE"""),"https://vicharkrantibooks.org/productdetail?book_name=HINP1117_MAHAKAL_KI_BHAVISHYAVANI_xxyyyy&amp;product_id=1682")</f>
        <v>https://vicharkrantibooks.org/productdetail?book_name=HINP1117_MAHAKAL_KI_BHAVISHYAVANI_xxyyyy&amp;product_id=1682</v>
      </c>
      <c r="CE543" s="1" t="str">
        <f ca="1">IFERROR(__xludf.DUMMYFUNCTION("""COMPUTED_VALUE"""),"Audiobook : महाकाल की भविष्यवाणी : Rare Book : ashish_in_nagpur@yahoo.com : Recorded")</f>
        <v>Audiobook : महाकाल की भविष्यवाणी : Rare Book : ashish_in_nagpur@yahoo.com : Recorded</v>
      </c>
      <c r="CF543" s="1" t="str">
        <f ca="1">IFERROR(__xludf.DUMMYFUNCTION("""COMPUTED_VALUE"""),"#N/A")</f>
        <v>#N/A</v>
      </c>
      <c r="CG543" s="1" t="str">
        <f ca="1">IFERROR(__xludf.DUMMYFUNCTION("""COMPUTED_VALUE"""),"Adarniya Ashish Shrivastava  ji महाकाल की भविष्यवाणी : Rare Book : Allocated on 31-Dec-23 Contact Number  8275970236")</f>
        <v>Adarniya Ashish Shrivastava  ji महाकाल की भविष्यवाणी : Rare Book : Allocated on 31-Dec-23 Contact Number  8275970236</v>
      </c>
      <c r="CH543" s="1" t="str">
        <f ca="1">IFERROR(__xludf.DUMMYFUNCTION("""COMPUTED_VALUE"""),"ashish_in_nagpur@yahoo.com : महाकाल की भविष्यवाणी : Rare Book")</f>
        <v>ashish_in_nagpur@yahoo.com : महाकाल की भविष्यवाणी : Rare Book</v>
      </c>
      <c r="CI543" s="5">
        <f ca="1">IFERROR(__xludf.DUMMYFUNCTION("""COMPUTED_VALUE"""),45291.6801222106)</f>
        <v>45291.680122210601</v>
      </c>
    </row>
    <row r="544" spans="1:87" x14ac:dyDescent="0.25">
      <c r="A544" s="5">
        <f ca="1">IFERROR(__xludf.DUMMYFUNCTION("""COMPUTED_VALUE"""),45290.6146328935)</f>
        <v>45290.614632893499</v>
      </c>
      <c r="B544" s="1" t="str">
        <f ca="1">IFERROR(__xludf.DUMMYFUNCTION("""COMPUTED_VALUE"""),"vartikasharma@hotmail.com")</f>
        <v>vartikasharma@hotmail.com</v>
      </c>
      <c r="C544" s="1" t="str">
        <f ca="1">IFERROR(__xludf.DUMMYFUNCTION("""COMPUTED_VALUE"""),"Vartika Sharma")</f>
        <v>Vartika Sharma</v>
      </c>
      <c r="D544" s="1" t="str">
        <f ca="1">IFERROR(__xludf.DUMMYFUNCTION("""COMPUTED_VALUE"""),"+12896894365")</f>
        <v>+12896894365</v>
      </c>
      <c r="E544" s="1" t="str">
        <f ca="1">IFERROR(__xludf.DUMMYFUNCTION("""COMPUTED_VALUE"""),"Yes")</f>
        <v>Yes</v>
      </c>
      <c r="F544" s="1" t="str">
        <f ca="1">IFERROR(__xludf.DUMMYFUNCTION("""COMPUTED_VALUE"""),"English")</f>
        <v>English</v>
      </c>
      <c r="G544" s="1" t="str">
        <f ca="1">IFERROR(__xludf.DUMMYFUNCTION("""COMPUTED_VALUE"""),"English")</f>
        <v>English</v>
      </c>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f ca="1">IFERROR(__xludf.DUMMYFUNCTION("""COMPUTED_VALUE"""),3)</f>
        <v>3</v>
      </c>
      <c r="BX544" s="1">
        <f ca="1">IFERROR(__xludf.DUMMYFUNCTION("""COMPUTED_VALUE"""),1)</f>
        <v>1</v>
      </c>
      <c r="BY544" s="1">
        <f ca="1">IFERROR(__xludf.DUMMYFUNCTION("""COMPUTED_VALUE"""),2)</f>
        <v>2</v>
      </c>
      <c r="BZ544" s="1">
        <f ca="1">IFERROR(__xludf.DUMMYFUNCTION("""COMPUTED_VALUE"""),0)</f>
        <v>0</v>
      </c>
      <c r="CA544" s="1"/>
      <c r="CB544" s="1"/>
      <c r="CC544" s="1" t="str">
        <f ca="1">IFERROR(__xludf.DUMMYFUNCTION("""COMPUTED_VALUE"""),"Increase Your Merits And Observe Civility : EP_126")</f>
        <v>Increase Your Merits And Observe Civility : EP_126</v>
      </c>
      <c r="CD544" s="3" t="str">
        <f ca="1">IFERROR(__xludf.DUMMYFUNCTION("""COMPUTED_VALUE"""),"https://vicharkrantibooks.org/productdetail?book_name=ENGP0733_INCREASE_YOUR_MERITS_AND_OBSERVE_CIVILITY_xxyyyy&amp;product_id=3511")</f>
        <v>https://vicharkrantibooks.org/productdetail?book_name=ENGP0733_INCREASE_YOUR_MERITS_AND_OBSERVE_CIVILITY_xxyyyy&amp;product_id=3511</v>
      </c>
      <c r="CE544" s="1" t="str">
        <f ca="1">IFERROR(__xludf.DUMMYFUNCTION("""COMPUTED_VALUE"""),"Audiobook : Increase Your Merits And Observe Civility : EP_126 : vartikasharma@hotmail.com : Recorded")</f>
        <v>Audiobook : Increase Your Merits And Observe Civility : EP_126 : vartikasharma@hotmail.com : Recorded</v>
      </c>
      <c r="CF544" s="1" t="str">
        <f ca="1">IFERROR(__xludf.DUMMYFUNCTION("""COMPUTED_VALUE"""),"#N/A")</f>
        <v>#N/A</v>
      </c>
      <c r="CG544" s="1" t="str">
        <f ca="1">IFERROR(__xludf.DUMMYFUNCTION("""COMPUTED_VALUE"""),"Adarniya Vartika Sharma ji Increase Your Merits And Observe Civility : EP_126 : Allocated on 30-Dec-23 Contact Number  +12896894365")</f>
        <v>Adarniya Vartika Sharma ji Increase Your Merits And Observe Civility : EP_126 : Allocated on 30-Dec-23 Contact Number  +12896894365</v>
      </c>
      <c r="CH544" s="1" t="str">
        <f ca="1">IFERROR(__xludf.DUMMYFUNCTION("""COMPUTED_VALUE"""),"vartikasharma@hotmail.com : Increase Your Merits And Observe Civility : EP_126")</f>
        <v>vartikasharma@hotmail.com : Increase Your Merits And Observe Civility : EP_126</v>
      </c>
      <c r="CI544" s="5">
        <f ca="1">IFERROR(__xludf.DUMMYFUNCTION("""COMPUTED_VALUE"""),45290.6146328935)</f>
        <v>45290.614632893499</v>
      </c>
    </row>
    <row r="545" spans="1:87" x14ac:dyDescent="0.25">
      <c r="A545" s="5">
        <f ca="1">IFERROR(__xludf.DUMMYFUNCTION("""COMPUTED_VALUE"""),45290.3043851041)</f>
        <v>45290.3043851041</v>
      </c>
      <c r="B545" s="1" t="str">
        <f ca="1">IFERROR(__xludf.DUMMYFUNCTION("""COMPUTED_VALUE"""),"druma4107@gmail.com")</f>
        <v>druma4107@gmail.com</v>
      </c>
      <c r="C545" s="1" t="str">
        <f ca="1">IFERROR(__xludf.DUMMYFUNCTION("""COMPUTED_VALUE"""),"Dr Uma Agrawal ")</f>
        <v xml:space="preserve">Dr Uma Agrawal </v>
      </c>
      <c r="D545" s="1">
        <f ca="1">IFERROR(__xludf.DUMMYFUNCTION("""COMPUTED_VALUE"""),9410861182)</f>
        <v>9410861182</v>
      </c>
      <c r="E545" s="1" t="str">
        <f ca="1">IFERROR(__xludf.DUMMYFUNCTION("""COMPUTED_VALUE"""),"Yes")</f>
        <v>Yes</v>
      </c>
      <c r="F545" s="1" t="str">
        <f ca="1">IFERROR(__xludf.DUMMYFUNCTION("""COMPUTED_VALUE"""),"हिन्दी")</f>
        <v>हिन्दी</v>
      </c>
      <c r="G545" s="1" t="str">
        <f ca="1">IFERROR(__xludf.DUMMYFUNCTION("""COMPUTED_VALUE"""),"समग्र स्वास्थ्य")</f>
        <v>समग्र स्वास्थ्य</v>
      </c>
      <c r="H545" s="1"/>
      <c r="I545" s="1"/>
      <c r="J545" s="1"/>
      <c r="K545" s="1"/>
      <c r="L545" s="1"/>
      <c r="M545" s="1"/>
      <c r="N545" s="1"/>
      <c r="O545" s="1"/>
      <c r="P545" s="1"/>
      <c r="Q545" s="1"/>
      <c r="R545" s="1"/>
      <c r="S545" s="1"/>
      <c r="T545" s="1"/>
      <c r="U545" s="1" t="str">
        <f ca="1">IFERROR(__xludf.DUMMYFUNCTION("""COMPUTED_VALUE"""),"आहार-विहार एवं उपवास")</f>
        <v>आहार-विहार एवं उपवास</v>
      </c>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f ca="1">IFERROR(__xludf.DUMMYFUNCTION("""COMPUTED_VALUE"""),104)</f>
        <v>104</v>
      </c>
      <c r="BX545" s="1">
        <f ca="1">IFERROR(__xludf.DUMMYFUNCTION("""COMPUTED_VALUE"""),106)</f>
        <v>106</v>
      </c>
      <c r="BY545" s="1">
        <f ca="1">IFERROR(__xludf.DUMMYFUNCTION("""COMPUTED_VALUE"""),9)</f>
        <v>9</v>
      </c>
      <c r="BZ545" s="1">
        <f ca="1">IFERROR(__xludf.DUMMYFUNCTION("""COMPUTED_VALUE"""),43)</f>
        <v>43</v>
      </c>
      <c r="CA545" s="1"/>
      <c r="CB545" s="1"/>
      <c r="CC545" s="1" t="str">
        <f ca="1">IFERROR(__xludf.DUMMYFUNCTION("""COMPUTED_VALUE"""),"फलाहार स्वास्थ्य रक्षक : Rare Book")</f>
        <v>फलाहार स्वास्थ्य रक्षक : Rare Book</v>
      </c>
      <c r="CD545" s="3" t="str">
        <f ca="1">IFERROR(__xludf.DUMMYFUNCTION("""COMPUTED_VALUE"""),"https://vicharkrantibooks.org/productdetail?book_name=HINP0646_PHALAHAR_SWASTHY_RAKSHAK_xxyyyy&amp;product_id=1211")</f>
        <v>https://vicharkrantibooks.org/productdetail?book_name=HINP0646_PHALAHAR_SWASTHY_RAKSHAK_xxyyyy&amp;product_id=1211</v>
      </c>
      <c r="CE545" s="1" t="str">
        <f ca="1">IFERROR(__xludf.DUMMYFUNCTION("""COMPUTED_VALUE"""),"Audiobook : फलाहार स्वास्थ्य रक्षक : Rare Book : druma4107@gmail.com : Recorded")</f>
        <v>Audiobook : फलाहार स्वास्थ्य रक्षक : Rare Book : druma4107@gmail.com : Recorded</v>
      </c>
      <c r="CF545" s="1" t="str">
        <f ca="1">IFERROR(__xludf.DUMMYFUNCTION("""COMPUTED_VALUE"""),"Audiobook : फलाहार स्वास्थ्य रक्षक : Rare Book : druma4107@gmail.com : Recorded")</f>
        <v>Audiobook : फलाहार स्वास्थ्य रक्षक : Rare Book : druma4107@gmail.com : Recorded</v>
      </c>
      <c r="CG545" s="1" t="str">
        <f ca="1">IFERROR(__xludf.DUMMYFUNCTION("""COMPUTED_VALUE"""),"Adarniya Dr Uma Agrawal  ji फलाहार स्वास्थ्य रक्षक : Rare Book : Allocated on 30-Dec-23 Contact Number  9410861182")</f>
        <v>Adarniya Dr Uma Agrawal  ji फलाहार स्वास्थ्य रक्षक : Rare Book : Allocated on 30-Dec-23 Contact Number  9410861182</v>
      </c>
      <c r="CH545" s="1" t="str">
        <f ca="1">IFERROR(__xludf.DUMMYFUNCTION("""COMPUTED_VALUE"""),"druma4107@gmail.com : फलाहार स्वास्थ्य रक्षक : Rare Book")</f>
        <v>druma4107@gmail.com : फलाहार स्वास्थ्य रक्षक : Rare Book</v>
      </c>
      <c r="CI545" s="5">
        <f ca="1">IFERROR(__xludf.DUMMYFUNCTION("""COMPUTED_VALUE"""),45290.3043851041)</f>
        <v>45290.3043851041</v>
      </c>
    </row>
    <row r="546" spans="1:87" x14ac:dyDescent="0.25">
      <c r="A546" s="5">
        <f ca="1">IFERROR(__xludf.DUMMYFUNCTION("""COMPUTED_VALUE"""),45289.8625370023)</f>
        <v>45289.8625370023</v>
      </c>
      <c r="B546" s="1" t="str">
        <f ca="1">IFERROR(__xludf.DUMMYFUNCTION("""COMPUTED_VALUE"""),"manjusrivastava349@gmail.com")</f>
        <v>manjusrivastava349@gmail.com</v>
      </c>
      <c r="C546" s="1" t="str">
        <f ca="1">IFERROR(__xludf.DUMMYFUNCTION("""COMPUTED_VALUE"""),"Manju Srivastava")</f>
        <v>Manju Srivastava</v>
      </c>
      <c r="D546" s="1">
        <f ca="1">IFERROR(__xludf.DUMMYFUNCTION("""COMPUTED_VALUE"""),9450345667)</f>
        <v>9450345667</v>
      </c>
      <c r="E546" s="1" t="str">
        <f ca="1">IFERROR(__xludf.DUMMYFUNCTION("""COMPUTED_VALUE"""),"Yes")</f>
        <v>Yes</v>
      </c>
      <c r="F546" s="1" t="str">
        <f ca="1">IFERROR(__xludf.DUMMYFUNCTION("""COMPUTED_VALUE"""),"हिन्दी")</f>
        <v>हिन्दी</v>
      </c>
      <c r="G546" s="1" t="str">
        <f ca="1">IFERROR(__xludf.DUMMYFUNCTION("""COMPUTED_VALUE"""),"युग द्रष्टा पं. श्रीराम शर्मा आचार्यजी")</f>
        <v>युग द्रष्टा पं. श्रीराम शर्मा आचार्यजी</v>
      </c>
      <c r="H546" s="1"/>
      <c r="I546" s="1"/>
      <c r="J546" s="1"/>
      <c r="K546" s="1"/>
      <c r="L546" s="1"/>
      <c r="M546" s="1"/>
      <c r="N546" s="1"/>
      <c r="O546" s="1"/>
      <c r="P546" s="1" t="str">
        <f ca="1">IFERROR(__xludf.DUMMYFUNCTION("""COMPUTED_VALUE"""),"युगॠषी की अमृतवाणी")</f>
        <v>युगॠषी की अमृतवाणी</v>
      </c>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f ca="1">IFERROR(__xludf.DUMMYFUNCTION("""COMPUTED_VALUE"""),10)</f>
        <v>10</v>
      </c>
      <c r="BX546" s="1">
        <f ca="1">IFERROR(__xludf.DUMMYFUNCTION("""COMPUTED_VALUE"""),12)</f>
        <v>12</v>
      </c>
      <c r="BY546" s="1">
        <f ca="1">IFERROR(__xludf.DUMMYFUNCTION("""COMPUTED_VALUE"""),0)</f>
        <v>0</v>
      </c>
      <c r="BZ546" s="1">
        <f ca="1">IFERROR(__xludf.DUMMYFUNCTION("""COMPUTED_VALUE"""),2)</f>
        <v>2</v>
      </c>
      <c r="CA546" s="1"/>
      <c r="CB546" s="1"/>
      <c r="CC546" s="1" t="str">
        <f ca="1">IFERROR(__xludf.DUMMYFUNCTION("""COMPUTED_VALUE"""),"अश्लीलता हमें पतित बना रही है : Rare Book")</f>
        <v>अश्लीलता हमें पतित बना रही है : Rare Book</v>
      </c>
      <c r="CD546" s="3" t="str">
        <f ca="1">IFERROR(__xludf.DUMMYFUNCTION("""COMPUTED_VALUE"""),"https://vicharkrantibooks.org/productdetail?book_name=HINP0075_ASHLILATA_HAMEN_PATIT_BANA_RAHI_HAI_xxyyyy&amp;product_id=640")</f>
        <v>https://vicharkrantibooks.org/productdetail?book_name=HINP0075_ASHLILATA_HAMEN_PATIT_BANA_RAHI_HAI_xxyyyy&amp;product_id=640</v>
      </c>
      <c r="CE546" s="1" t="str">
        <f ca="1">IFERROR(__xludf.DUMMYFUNCTION("""COMPUTED_VALUE"""),"Audiobook : अश्लीलता हमें पतित बना रही है : Rare Book : manjusrivastava349@gmail.com : Recorded")</f>
        <v>Audiobook : अश्लीलता हमें पतित बना रही है : Rare Book : manjusrivastava349@gmail.com : Recorded</v>
      </c>
      <c r="CF546" s="1" t="str">
        <f ca="1">IFERROR(__xludf.DUMMYFUNCTION("""COMPUTED_VALUE"""),"Audiobook : अश्लीलता हमें पतित बना रही है : Rare Book : manjusrivastava349@gmail.com : Recorded")</f>
        <v>Audiobook : अश्लीलता हमें पतित बना रही है : Rare Book : manjusrivastava349@gmail.com : Recorded</v>
      </c>
      <c r="CG546" s="1" t="str">
        <f ca="1">IFERROR(__xludf.DUMMYFUNCTION("""COMPUTED_VALUE"""),"Adarniya Manju Srivastava ji अश्लीलता हमें पतित बना रही है : Rare Book : Allocated on 29-Dec-23 Contact Number  9450345667")</f>
        <v>Adarniya Manju Srivastava ji अश्लीलता हमें पतित बना रही है : Rare Book : Allocated on 29-Dec-23 Contact Number  9450345667</v>
      </c>
      <c r="CH546" s="1" t="str">
        <f ca="1">IFERROR(__xludf.DUMMYFUNCTION("""COMPUTED_VALUE"""),"manjusrivastava349@gmail.com : अश्लीलता हमें पतित बना रही है : Rare Book")</f>
        <v>manjusrivastava349@gmail.com : अश्लीलता हमें पतित बना रही है : Rare Book</v>
      </c>
      <c r="CI546" s="5">
        <f ca="1">IFERROR(__xludf.DUMMYFUNCTION("""COMPUTED_VALUE"""),45289.8625370023)</f>
        <v>45289.8625370023</v>
      </c>
    </row>
    <row r="547" spans="1:87" x14ac:dyDescent="0.25">
      <c r="A547" s="5">
        <f ca="1">IFERROR(__xludf.DUMMYFUNCTION("""COMPUTED_VALUE"""),45289.5657737268)</f>
        <v>45289.565773726797</v>
      </c>
      <c r="B547" s="1" t="str">
        <f ca="1">IFERROR(__xludf.DUMMYFUNCTION("""COMPUTED_VALUE"""),"purnima.bharadwaj.24@gmail.com")</f>
        <v>purnima.bharadwaj.24@gmail.com</v>
      </c>
      <c r="C547" s="1" t="str">
        <f ca="1">IFERROR(__xludf.DUMMYFUNCTION("""COMPUTED_VALUE"""),"पूर्णिमा भारद्वाज ")</f>
        <v xml:space="preserve">पूर्णिमा भारद्वाज </v>
      </c>
      <c r="D547" s="1">
        <f ca="1">IFERROR(__xludf.DUMMYFUNCTION("""COMPUTED_VALUE"""),9415389032)</f>
        <v>9415389032</v>
      </c>
      <c r="E547" s="1" t="str">
        <f ca="1">IFERROR(__xludf.DUMMYFUNCTION("""COMPUTED_VALUE"""),"Yes")</f>
        <v>Yes</v>
      </c>
      <c r="F547" s="1" t="str">
        <f ca="1">IFERROR(__xludf.DUMMYFUNCTION("""COMPUTED_VALUE"""),"हिन्दी")</f>
        <v>हिन्दी</v>
      </c>
      <c r="G547" s="1" t="str">
        <f ca="1">IFERROR(__xludf.DUMMYFUNCTION("""COMPUTED_VALUE"""),"युग द्रष्टा पं. श्रीराम शर्मा आचार्यजी")</f>
        <v>युग द्रष्टा पं. श्रीराम शर्मा आचार्यजी</v>
      </c>
      <c r="H547" s="1"/>
      <c r="I547" s="1"/>
      <c r="J547" s="1"/>
      <c r="K547" s="1"/>
      <c r="L547" s="1"/>
      <c r="M547" s="1"/>
      <c r="N547" s="1"/>
      <c r="O547" s="1"/>
      <c r="P547" s="1" t="str">
        <f ca="1">IFERROR(__xludf.DUMMYFUNCTION("""COMPUTED_VALUE"""),"युगॠषी की अमृतवाणी")</f>
        <v>युगॠषी की अमृतवाणी</v>
      </c>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f ca="1">IFERROR(__xludf.DUMMYFUNCTION("""COMPUTED_VALUE"""),43)</f>
        <v>43</v>
      </c>
      <c r="BX547" s="1">
        <f ca="1">IFERROR(__xludf.DUMMYFUNCTION("""COMPUTED_VALUE"""),36)</f>
        <v>36</v>
      </c>
      <c r="BY547" s="1">
        <f ca="1">IFERROR(__xludf.DUMMYFUNCTION("""COMPUTED_VALUE"""),9)</f>
        <v>9</v>
      </c>
      <c r="BZ547" s="1">
        <f ca="1">IFERROR(__xludf.DUMMYFUNCTION("""COMPUTED_VALUE"""),30)</f>
        <v>30</v>
      </c>
      <c r="CA547" s="1"/>
      <c r="CB547" s="1"/>
      <c r="CC547" s="1" t="str">
        <f ca="1">IFERROR(__xludf.DUMMYFUNCTION("""COMPUTED_VALUE"""),"नमो वेदमाता नमो विश्वमाता : H_SC_13")</f>
        <v>नमो वेदमाता नमो विश्वमाता : H_SC_13</v>
      </c>
      <c r="CD547" s="3" t="str">
        <f ca="1">IFERROR(__xludf.DUMMYFUNCTION("""COMPUTED_VALUE"""),"https://vicharkrantibooks.org/productdetail?book_name=HINP0547_NAMO_VEDAMATA_NAMO_VISHVAMATA_xxyyyy&amp;product_id=1112")</f>
        <v>https://vicharkrantibooks.org/productdetail?book_name=HINP0547_NAMO_VEDAMATA_NAMO_VISHVAMATA_xxyyyy&amp;product_id=1112</v>
      </c>
      <c r="CE547" s="1" t="str">
        <f ca="1">IFERROR(__xludf.DUMMYFUNCTION("""COMPUTED_VALUE"""),"Audiobook : नमो वेदमाता नमो विश्वमाता : H_SC_13 : purnima.bharadwaj.24@gmail.com : Recorded")</f>
        <v>Audiobook : नमो वेदमाता नमो विश्वमाता : H_SC_13 : purnima.bharadwaj.24@gmail.com : Recorded</v>
      </c>
      <c r="CF547" s="1" t="str">
        <f ca="1">IFERROR(__xludf.DUMMYFUNCTION("""COMPUTED_VALUE"""),"Audiobook : नमो वेदमाता नमो विश्वमाता : H_SC_13 : purnima.bharadwaj.24@gmail.com : Recorded")</f>
        <v>Audiobook : नमो वेदमाता नमो विश्वमाता : H_SC_13 : purnima.bharadwaj.24@gmail.com : Recorded</v>
      </c>
      <c r="CG547" s="1" t="str">
        <f ca="1">IFERROR(__xludf.DUMMYFUNCTION("""COMPUTED_VALUE"""),"Adarniya पूर्णिमा भारद्वाज  ji नमो वेदमाता नमो विश्वमाता : H_SC_13 : Allocated on 29-Dec-23 Contact Number  9415389032")</f>
        <v>Adarniya पूर्णिमा भारद्वाज  ji नमो वेदमाता नमो विश्वमाता : H_SC_13 : Allocated on 29-Dec-23 Contact Number  9415389032</v>
      </c>
      <c r="CH547" s="1" t="str">
        <f ca="1">IFERROR(__xludf.DUMMYFUNCTION("""COMPUTED_VALUE"""),"purnima.bharadwaj.24@gmail.com : नमो वेदमाता नमो विश्वमाता : H_SC_13")</f>
        <v>purnima.bharadwaj.24@gmail.com : नमो वेदमाता नमो विश्वमाता : H_SC_13</v>
      </c>
      <c r="CI547" s="5">
        <f ca="1">IFERROR(__xludf.DUMMYFUNCTION("""COMPUTED_VALUE"""),45289.5657737268)</f>
        <v>45289.565773726797</v>
      </c>
    </row>
    <row r="548" spans="1:87" x14ac:dyDescent="0.25">
      <c r="A548" s="5">
        <f ca="1">IFERROR(__xludf.DUMMYFUNCTION("""COMPUTED_VALUE"""),45288.9049740625)</f>
        <v>45288.904974062498</v>
      </c>
      <c r="B548" s="1" t="str">
        <f ca="1">IFERROR(__xludf.DUMMYFUNCTION("""COMPUTED_VALUE"""),"rbbansalriya@gmail.com")</f>
        <v>rbbansalriya@gmail.com</v>
      </c>
      <c r="C548" s="1" t="str">
        <f ca="1">IFERROR(__xludf.DUMMYFUNCTION("""COMPUTED_VALUE"""),"Riya bansal ")</f>
        <v xml:space="preserve">Riya bansal </v>
      </c>
      <c r="D548" s="1">
        <f ca="1">IFERROR(__xludf.DUMMYFUNCTION("""COMPUTED_VALUE"""),9176361023)</f>
        <v>9176361023</v>
      </c>
      <c r="E548" s="1" t="str">
        <f ca="1">IFERROR(__xludf.DUMMYFUNCTION("""COMPUTED_VALUE"""),"Yes")</f>
        <v>Yes</v>
      </c>
      <c r="F548" s="1" t="str">
        <f ca="1">IFERROR(__xludf.DUMMYFUNCTION("""COMPUTED_VALUE"""),"हिन्दी")</f>
        <v>हिन्दी</v>
      </c>
      <c r="G548" s="1" t="str">
        <f ca="1">IFERROR(__xludf.DUMMYFUNCTION("""COMPUTED_VALUE"""),"राष्ट्र निर्माण")</f>
        <v>राष्ट्र निर्माण</v>
      </c>
      <c r="H548" s="1"/>
      <c r="I548" s="1"/>
      <c r="J548" s="1"/>
      <c r="K548" s="1"/>
      <c r="L548" s="1"/>
      <c r="M548" s="1"/>
      <c r="N548" s="1"/>
      <c r="O548" s="1"/>
      <c r="P548" s="1"/>
      <c r="Q548" s="1"/>
      <c r="R548" s="1" t="str">
        <f ca="1">IFERROR(__xludf.DUMMYFUNCTION("""COMPUTED_VALUE"""),"सार्थक एवं समग्र शिक्षा")</f>
        <v>सार्थक एवं समग्र शिक्षा</v>
      </c>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f ca="1">IFERROR(__xludf.DUMMYFUNCTION("""COMPUTED_VALUE"""),54)</f>
        <v>54</v>
      </c>
      <c r="BX548" s="1">
        <f ca="1">IFERROR(__xludf.DUMMYFUNCTION("""COMPUTED_VALUE"""),55)</f>
        <v>55</v>
      </c>
      <c r="BY548" s="1">
        <f ca="1">IFERROR(__xludf.DUMMYFUNCTION("""COMPUTED_VALUE"""),9)</f>
        <v>9</v>
      </c>
      <c r="BZ548" s="1">
        <f ca="1">IFERROR(__xludf.DUMMYFUNCTION("""COMPUTED_VALUE"""),43)</f>
        <v>43</v>
      </c>
      <c r="CA548" s="1"/>
      <c r="CB548" s="1"/>
      <c r="CC548" s="1" t="str">
        <f ca="1">IFERROR(__xludf.DUMMYFUNCTION("""COMPUTED_VALUE"""),"जनता के सुप्रीम कोर्ट में समस्याओं के समाधान की गुहार : H_VP_72")</f>
        <v>जनता के सुप्रीम कोर्ट में समस्याओं के समाधान की गुहार : H_VP_72</v>
      </c>
      <c r="CD548" s="3" t="str">
        <f ca="1">IFERROR(__xludf.DUMMYFUNCTION("""COMPUTED_VALUE"""),"https://vicharkrantibooks.org/productdetail?book_name=HINP1075_JANATA_KE_SUPRIM_COURT_MAIN_SAMASYAON_KE_SAMADHAN_KI_GUHAR_Re2015&amp;product_id=1640")</f>
        <v>https://vicharkrantibooks.org/productdetail?book_name=HINP1075_JANATA_KE_SUPRIM_COURT_MAIN_SAMASYAON_KE_SAMADHAN_KI_GUHAR_Re2015&amp;product_id=1640</v>
      </c>
      <c r="CE548" s="1" t="str">
        <f ca="1">IFERROR(__xludf.DUMMYFUNCTION("""COMPUTED_VALUE"""),"Audiobook : जनता के सुप्रीम कोर्ट में समस्याओं के समाधान की गुहार : H_VP_72 : rbbansalriya@gmail.com : Recorded")</f>
        <v>Audiobook : जनता के सुप्रीम कोर्ट में समस्याओं के समाधान की गुहार : H_VP_72 : rbbansalriya@gmail.com : Recorded</v>
      </c>
      <c r="CF548" s="1" t="str">
        <f ca="1">IFERROR(__xludf.DUMMYFUNCTION("""COMPUTED_VALUE"""),"Audiobook : जनता के सुप्रीम कोर्ट में समस्याओं के समाधान की गुहार : H_VP_72 : rbbansalriya@gmail.com : Recorded")</f>
        <v>Audiobook : जनता के सुप्रीम कोर्ट में समस्याओं के समाधान की गुहार : H_VP_72 : rbbansalriya@gmail.com : Recorded</v>
      </c>
      <c r="CG548" s="1" t="str">
        <f ca="1">IFERROR(__xludf.DUMMYFUNCTION("""COMPUTED_VALUE"""),"Adarniya Riya bansal  ji जनता के सुप्रीम कोर्ट में समस्याओं के समाधान की गुहार : H_VP_72 : Allocated on 28-Dec-23 Contact Number  9176361023")</f>
        <v>Adarniya Riya bansal  ji जनता के सुप्रीम कोर्ट में समस्याओं के समाधान की गुहार : H_VP_72 : Allocated on 28-Dec-23 Contact Number  9176361023</v>
      </c>
      <c r="CH548" s="1" t="str">
        <f ca="1">IFERROR(__xludf.DUMMYFUNCTION("""COMPUTED_VALUE"""),"rbbansalriya@gmail.com : जनता के सुप्रीम कोर्ट में समस्याओं के समाधान की गुहार : H_VP_72")</f>
        <v>rbbansalriya@gmail.com : जनता के सुप्रीम कोर्ट में समस्याओं के समाधान की गुहार : H_VP_72</v>
      </c>
      <c r="CI548" s="5">
        <f ca="1">IFERROR(__xludf.DUMMYFUNCTION("""COMPUTED_VALUE"""),45288.9049740625)</f>
        <v>45288.904974062498</v>
      </c>
    </row>
    <row r="549" spans="1:87" x14ac:dyDescent="0.25">
      <c r="A549" s="5">
        <f ca="1">IFERROR(__xludf.DUMMYFUNCTION("""COMPUTED_VALUE"""),45287.9621930092)</f>
        <v>45287.962193009203</v>
      </c>
      <c r="B549" s="1" t="str">
        <f ca="1">IFERROR(__xludf.DUMMYFUNCTION("""COMPUTED_VALUE"""),"rajnivarma24.vns@gmail.com")</f>
        <v>rajnivarma24.vns@gmail.com</v>
      </c>
      <c r="C549" s="1" t="str">
        <f ca="1">IFERROR(__xludf.DUMMYFUNCTION("""COMPUTED_VALUE"""),"Rajni varma")</f>
        <v>Rajni varma</v>
      </c>
      <c r="D549" s="1">
        <f ca="1">IFERROR(__xludf.DUMMYFUNCTION("""COMPUTED_VALUE"""),9335661433)</f>
        <v>9335661433</v>
      </c>
      <c r="E549" s="1" t="str">
        <f ca="1">IFERROR(__xludf.DUMMYFUNCTION("""COMPUTED_VALUE"""),"No")</f>
        <v>No</v>
      </c>
      <c r="F549" s="1" t="str">
        <f ca="1">IFERROR(__xludf.DUMMYFUNCTION("""COMPUTED_VALUE"""),"हिन्दी")</f>
        <v>हिन्दी</v>
      </c>
      <c r="G549" s="1" t="str">
        <f ca="1">IFERROR(__xludf.DUMMYFUNCTION("""COMPUTED_VALUE"""),"युग द्रष्टा पं. श्रीराम शर्मा आचार्यजी")</f>
        <v>युग द्रष्टा पं. श्रीराम शर्मा आचार्यजी</v>
      </c>
      <c r="H549" s="1"/>
      <c r="I549" s="1"/>
      <c r="J549" s="1"/>
      <c r="K549" s="1"/>
      <c r="L549" s="1"/>
      <c r="M549" s="1"/>
      <c r="N549" s="1"/>
      <c r="O549" s="1"/>
      <c r="P549" s="1" t="str">
        <f ca="1">IFERROR(__xludf.DUMMYFUNCTION("""COMPUTED_VALUE"""),"युगॠषी का जीवनदर्शन")</f>
        <v>युगॠषी का जीवनदर्शन</v>
      </c>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f ca="1">IFERROR(__xludf.DUMMYFUNCTION("""COMPUTED_VALUE"""),30)</f>
        <v>30</v>
      </c>
      <c r="BX549" s="1">
        <f ca="1">IFERROR(__xludf.DUMMYFUNCTION("""COMPUTED_VALUE"""),25)</f>
        <v>25</v>
      </c>
      <c r="BY549" s="1">
        <f ca="1">IFERROR(__xludf.DUMMYFUNCTION("""COMPUTED_VALUE"""),7)</f>
        <v>7</v>
      </c>
      <c r="BZ549" s="1">
        <f ca="1">IFERROR(__xludf.DUMMYFUNCTION("""COMPUTED_VALUE"""),7)</f>
        <v>7</v>
      </c>
      <c r="CA549" s="1"/>
      <c r="CB549" s="1"/>
      <c r="CC549" s="1" t="str">
        <f ca="1">IFERROR(__xludf.DUMMYFUNCTION("""COMPUTED_VALUE"""),"नारी प्रगति की अनिवार्य आवश्यकता क्यो? : H_NJ_13")</f>
        <v>नारी प्रगति की अनिवार्य आवश्यकता क्यो? : H_NJ_13</v>
      </c>
      <c r="CD549" s="3" t="str">
        <f ca="1">IFERROR(__xludf.DUMMYFUNCTION("""COMPUTED_VALUE"""),"https://vicharkrantibooks.org/productdetail?book_name=HINP0574_NARI_PRAGATI_KI_ANIVARY_AVASHYAKATA_KYON_xxyyyy&amp;product_id=1139")</f>
        <v>https://vicharkrantibooks.org/productdetail?book_name=HINP0574_NARI_PRAGATI_KI_ANIVARY_AVASHYAKATA_KYON_xxyyyy&amp;product_id=1139</v>
      </c>
      <c r="CE549" s="1" t="str">
        <f ca="1">IFERROR(__xludf.DUMMYFUNCTION("""COMPUTED_VALUE"""),"Audiobook : नारी प्रगति की अनिवार्य आवश्यकता क्यो? : H_NJ_13 : rajnivarma24.vns@gmail.com : Recorded")</f>
        <v>Audiobook : नारी प्रगति की अनिवार्य आवश्यकता क्यो? : H_NJ_13 : rajnivarma24.vns@gmail.com : Recorded</v>
      </c>
      <c r="CF549" s="1" t="str">
        <f ca="1">IFERROR(__xludf.DUMMYFUNCTION("""COMPUTED_VALUE"""),"Audiobook : नारी प्रगति की अनिवार्य आवश्यकता क्यो? : H_NJ_13 : rajnivarma24.vns@gmail.com : Recorded")</f>
        <v>Audiobook : नारी प्रगति की अनिवार्य आवश्यकता क्यो? : H_NJ_13 : rajnivarma24.vns@gmail.com : Recorded</v>
      </c>
      <c r="CG549" s="1" t="str">
        <f ca="1">IFERROR(__xludf.DUMMYFUNCTION("""COMPUTED_VALUE"""),"Adarniya Rajni varma ji नारी प्रगति की अनिवार्य आवश्यकता क्यो? : H_NJ_13 : Allocated on 27-Dec-23 Contact Number  9335661433")</f>
        <v>Adarniya Rajni varma ji नारी प्रगति की अनिवार्य आवश्यकता क्यो? : H_NJ_13 : Allocated on 27-Dec-23 Contact Number  9335661433</v>
      </c>
      <c r="CH549" s="1" t="str">
        <f ca="1">IFERROR(__xludf.DUMMYFUNCTION("""COMPUTED_VALUE"""),"rajnivarma24.vns@gmail.com : नारी प्रगति की अनिवार्य आवश्यकता क्यो? : H_NJ_13")</f>
        <v>rajnivarma24.vns@gmail.com : नारी प्रगति की अनिवार्य आवश्यकता क्यो? : H_NJ_13</v>
      </c>
      <c r="CI549" s="5">
        <f ca="1">IFERROR(__xludf.DUMMYFUNCTION("""COMPUTED_VALUE"""),45287.9621930092)</f>
        <v>45287.962193009203</v>
      </c>
    </row>
    <row r="550" spans="1:87" x14ac:dyDescent="0.25">
      <c r="A550" s="5">
        <f ca="1">IFERROR(__xludf.DUMMYFUNCTION("""COMPUTED_VALUE"""),45287.3219023842)</f>
        <v>45287.321902384203</v>
      </c>
      <c r="B550" s="1" t="str">
        <f ca="1">IFERROR(__xludf.DUMMYFUNCTION("""COMPUTED_VALUE"""),"jamunashukla17@gmail.com")</f>
        <v>jamunashukla17@gmail.com</v>
      </c>
      <c r="C550" s="1" t="str">
        <f ca="1">IFERROR(__xludf.DUMMYFUNCTION("""COMPUTED_VALUE"""),"सीरमती जमुना एस शुक्ला ")</f>
        <v xml:space="preserve">सीरमती जमुना एस शुक्ला </v>
      </c>
      <c r="D550" s="1">
        <f ca="1">IFERROR(__xludf.DUMMYFUNCTION("""COMPUTED_VALUE"""),8390353167)</f>
        <v>8390353167</v>
      </c>
      <c r="E550" s="1" t="str">
        <f ca="1">IFERROR(__xludf.DUMMYFUNCTION("""COMPUTED_VALUE"""),"Yes")</f>
        <v>Yes</v>
      </c>
      <c r="F550" s="1" t="str">
        <f ca="1">IFERROR(__xludf.DUMMYFUNCTION("""COMPUTED_VALUE"""),"हिन्दी")</f>
        <v>हिन्दी</v>
      </c>
      <c r="G550" s="1" t="str">
        <f ca="1">IFERROR(__xludf.DUMMYFUNCTION("""COMPUTED_VALUE"""),"युग परिवर्तन-विचार क्रांति")</f>
        <v>युग परिवर्तन-विचार क्रांति</v>
      </c>
      <c r="H550" s="1"/>
      <c r="I550" s="1"/>
      <c r="J550" s="1"/>
      <c r="K550" s="1"/>
      <c r="L550" s="1"/>
      <c r="M550" s="1"/>
      <c r="N550" s="1"/>
      <c r="O550" s="1"/>
      <c r="P550" s="1"/>
      <c r="Q550" s="1" t="str">
        <f ca="1">IFERROR(__xludf.DUMMYFUNCTION("""COMPUTED_VALUE"""),"युग निर्माण योजना एवं युग परिवर्तन")</f>
        <v>युग निर्माण योजना एवं युग परिवर्तन</v>
      </c>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f ca="1">IFERROR(__xludf.DUMMYFUNCTION("""COMPUTED_VALUE"""),53)</f>
        <v>53</v>
      </c>
      <c r="BX550" s="1">
        <f ca="1">IFERROR(__xludf.DUMMYFUNCTION("""COMPUTED_VALUE"""),53)</f>
        <v>53</v>
      </c>
      <c r="BY550" s="1">
        <f ca="1">IFERROR(__xludf.DUMMYFUNCTION("""COMPUTED_VALUE"""),9)</f>
        <v>9</v>
      </c>
      <c r="BZ550" s="1">
        <f ca="1">IFERROR(__xludf.DUMMYFUNCTION("""COMPUTED_VALUE"""),25)</f>
        <v>25</v>
      </c>
      <c r="CA550" s="1"/>
      <c r="CB550" s="1"/>
      <c r="CC550" s="1" t="str">
        <f ca="1">IFERROR(__xludf.DUMMYFUNCTION("""COMPUTED_VALUE"""),"विचार क्रांति ही एकमात्र उपचार : H_JS_44")</f>
        <v>विचार क्रांति ही एकमात्र उपचार : H_JS_44</v>
      </c>
      <c r="CD550" s="3" t="str">
        <f ca="1">IFERROR(__xludf.DUMMYFUNCTION("""COMPUTED_VALUE"""),"https://vicharkrantibooks.org/productdetail?book_name=HINP0960_VICHAR_KRANTI_HI_EKMATR_UPACHAR_xx2011&amp;product_id=1525")</f>
        <v>https://vicharkrantibooks.org/productdetail?book_name=HINP0960_VICHAR_KRANTI_HI_EKMATR_UPACHAR_xx2011&amp;product_id=1525</v>
      </c>
      <c r="CE550" s="1" t="str">
        <f ca="1">IFERROR(__xludf.DUMMYFUNCTION("""COMPUTED_VALUE"""),"Audiobook : विचार क्रांति ही एकमात्र उपचार : H_JS_44 : jamunashukla17@gmail.com : Recorded")</f>
        <v>Audiobook : विचार क्रांति ही एकमात्र उपचार : H_JS_44 : jamunashukla17@gmail.com : Recorded</v>
      </c>
      <c r="CF550" s="1" t="str">
        <f ca="1">IFERROR(__xludf.DUMMYFUNCTION("""COMPUTED_VALUE"""),"Audiobook : विचार क्रांति ही एकमात्र उपचार : H_JS_44 : jamunashukla17@gmail.com : Recorded")</f>
        <v>Audiobook : विचार क्रांति ही एकमात्र उपचार : H_JS_44 : jamunashukla17@gmail.com : Recorded</v>
      </c>
      <c r="CG550" s="1" t="str">
        <f ca="1">IFERROR(__xludf.DUMMYFUNCTION("""COMPUTED_VALUE"""),"Adarniya सीरमती जमुना एस शुक्ला  ji विचार क्रांति ही एकमात्र उपचार : H_JS_44 : Allocated on 27-Dec-23 Contact Number  8390353167")</f>
        <v>Adarniya सीरमती जमुना एस शुक्ला  ji विचार क्रांति ही एकमात्र उपचार : H_JS_44 : Allocated on 27-Dec-23 Contact Number  8390353167</v>
      </c>
      <c r="CH550" s="1" t="str">
        <f ca="1">IFERROR(__xludf.DUMMYFUNCTION("""COMPUTED_VALUE"""),"jamunashukla17@gmail.com : विचार क्रांति ही एकमात्र उपचार : H_JS_44")</f>
        <v>jamunashukla17@gmail.com : विचार क्रांति ही एकमात्र उपचार : H_JS_44</v>
      </c>
      <c r="CI550" s="5">
        <f ca="1">IFERROR(__xludf.DUMMYFUNCTION("""COMPUTED_VALUE"""),45287.3219023842)</f>
        <v>45287.321902384203</v>
      </c>
    </row>
    <row r="551" spans="1:87" x14ac:dyDescent="0.25">
      <c r="A551" s="5">
        <f ca="1">IFERROR(__xludf.DUMMYFUNCTION("""COMPUTED_VALUE"""),45286.7758199537)</f>
        <v>45286.775819953698</v>
      </c>
      <c r="B551" s="1" t="str">
        <f ca="1">IFERROR(__xludf.DUMMYFUNCTION("""COMPUTED_VALUE"""),"anu161965@gmail.com")</f>
        <v>anu161965@gmail.com</v>
      </c>
      <c r="C551" s="1" t="str">
        <f ca="1">IFERROR(__xludf.DUMMYFUNCTION("""COMPUTED_VALUE"""),"Anureeta awadh")</f>
        <v>Anureeta awadh</v>
      </c>
      <c r="D551" s="1">
        <f ca="1">IFERROR(__xludf.DUMMYFUNCTION("""COMPUTED_VALUE"""),8860314422)</f>
        <v>8860314422</v>
      </c>
      <c r="E551" s="1" t="str">
        <f ca="1">IFERROR(__xludf.DUMMYFUNCTION("""COMPUTED_VALUE"""),"Yes")</f>
        <v>Yes</v>
      </c>
      <c r="F551" s="1" t="str">
        <f ca="1">IFERROR(__xludf.DUMMYFUNCTION("""COMPUTED_VALUE"""),"हिन्दी")</f>
        <v>हिन्दी</v>
      </c>
      <c r="G551" s="1" t="str">
        <f ca="1">IFERROR(__xludf.DUMMYFUNCTION("""COMPUTED_VALUE"""),"वैज्ञानिक अध्यात्मवाद का प्रतिपादन")</f>
        <v>वैज्ञानिक अध्यात्मवाद का प्रतिपादन</v>
      </c>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f ca="1">IFERROR(__xludf.DUMMYFUNCTION("""COMPUTED_VALUE"""),24)</f>
        <v>24</v>
      </c>
      <c r="BX551" s="1">
        <f ca="1">IFERROR(__xludf.DUMMYFUNCTION("""COMPUTED_VALUE"""),18)</f>
        <v>18</v>
      </c>
      <c r="BY551" s="1">
        <f ca="1">IFERROR(__xludf.DUMMYFUNCTION("""COMPUTED_VALUE"""),7)</f>
        <v>7</v>
      </c>
      <c r="BZ551" s="1">
        <f ca="1">IFERROR(__xludf.DUMMYFUNCTION("""COMPUTED_VALUE"""),5)</f>
        <v>5</v>
      </c>
      <c r="CA551" s="1"/>
      <c r="CB551" s="1"/>
      <c r="CC551" s="1" t="str">
        <f ca="1">IFERROR(__xludf.DUMMYFUNCTION("""COMPUTED_VALUE"""),"अतीन्द्रिय सामर्थ्य एवं परब्रह्म की विधि व्यवस्था : Rare Book")</f>
        <v>अतीन्द्रिय सामर्थ्य एवं परब्रह्म की विधि व्यवस्था : Rare Book</v>
      </c>
      <c r="CD551" s="3" t="str">
        <f ca="1">IFERROR(__xludf.DUMMYFUNCTION("""COMPUTED_VALUE"""),"https://vicharkrantibooks.org/productdetail?book_name=HINF0043_ATINDRIY_SAMARTHY_EVAM_PARABRAHM_KI_VIDHI_VYAVASTHA_xxyyyy&amp;product_id=263")</f>
        <v>https://vicharkrantibooks.org/productdetail?book_name=HINF0043_ATINDRIY_SAMARTHY_EVAM_PARABRAHM_KI_VIDHI_VYAVASTHA_xxyyyy&amp;product_id=263</v>
      </c>
      <c r="CE551" s="1" t="str">
        <f ca="1">IFERROR(__xludf.DUMMYFUNCTION("""COMPUTED_VALUE"""),"Audiobook : अतीन्द्रिय सामर्थ्य एवं परब्रह्म की विधि व्यवस्था : Rare Book : anu161965@gmail.com : Recorded")</f>
        <v>Audiobook : अतीन्द्रिय सामर्थ्य एवं परब्रह्म की विधि व्यवस्था : Rare Book : anu161965@gmail.com : Recorded</v>
      </c>
      <c r="CF551" s="1" t="str">
        <f ca="1">IFERROR(__xludf.DUMMYFUNCTION("""COMPUTED_VALUE"""),"#N/A")</f>
        <v>#N/A</v>
      </c>
      <c r="CG551" s="1" t="str">
        <f ca="1">IFERROR(__xludf.DUMMYFUNCTION("""COMPUTED_VALUE"""),"Adarniya Anureeta awadh ji अतीन्द्रिय सामर्थ्य एवं परब्रह्म की विधि व्यवस्था : Rare Book : Allocated on 26-Dec-23 Contact Number  8860314422")</f>
        <v>Adarniya Anureeta awadh ji अतीन्द्रिय सामर्थ्य एवं परब्रह्म की विधि व्यवस्था : Rare Book : Allocated on 26-Dec-23 Contact Number  8860314422</v>
      </c>
      <c r="CH551" s="1" t="str">
        <f ca="1">IFERROR(__xludf.DUMMYFUNCTION("""COMPUTED_VALUE"""),"anu161965@gmail.com : अतीन्द्रिय सामर्थ्य एवं परब्रह्म की विधि व्यवस्था : Rare Book")</f>
        <v>anu161965@gmail.com : अतीन्द्रिय सामर्थ्य एवं परब्रह्म की विधि व्यवस्था : Rare Book</v>
      </c>
      <c r="CI551" s="5">
        <f ca="1">IFERROR(__xludf.DUMMYFUNCTION("""COMPUTED_VALUE"""),45286.7758199537)</f>
        <v>45286.775819953698</v>
      </c>
    </row>
    <row r="552" spans="1:87" x14ac:dyDescent="0.25">
      <c r="A552" s="5">
        <f ca="1">IFERROR(__xludf.DUMMYFUNCTION("""COMPUTED_VALUE"""),45286.0501243865)</f>
        <v>45286.0501243865</v>
      </c>
      <c r="B552" s="1" t="str">
        <f ca="1">IFERROR(__xludf.DUMMYFUNCTION("""COMPUTED_VALUE"""),"richasharma310575@gmail.com")</f>
        <v>richasharma310575@gmail.com</v>
      </c>
      <c r="C552" s="1" t="str">
        <f ca="1">IFERROR(__xludf.DUMMYFUNCTION("""COMPUTED_VALUE"""),"Richa Sharma")</f>
        <v>Richa Sharma</v>
      </c>
      <c r="D552" s="1">
        <f ca="1">IFERROR(__xludf.DUMMYFUNCTION("""COMPUTED_VALUE"""),9479664049)</f>
        <v>9479664049</v>
      </c>
      <c r="E552" s="1" t="str">
        <f ca="1">IFERROR(__xludf.DUMMYFUNCTION("""COMPUTED_VALUE"""),"Yes")</f>
        <v>Yes</v>
      </c>
      <c r="F552" s="1" t="str">
        <f ca="1">IFERROR(__xludf.DUMMYFUNCTION("""COMPUTED_VALUE"""),"हिन्दी")</f>
        <v>हिन्दी</v>
      </c>
      <c r="G552" s="1" t="str">
        <f ca="1">IFERROR(__xludf.DUMMYFUNCTION("""COMPUTED_VALUE"""),"संस्कार, कर्मकाण्ड, पाठ, पूजा, गीत-संगीत")</f>
        <v>संस्कार, कर्मकाण्ड, पाठ, पूजा, गीत-संगीत</v>
      </c>
      <c r="H552" s="1"/>
      <c r="I552" s="1"/>
      <c r="J552" s="1"/>
      <c r="K552" s="1"/>
      <c r="L552" s="1"/>
      <c r="M552" s="1"/>
      <c r="N552" s="1"/>
      <c r="O552" s="1"/>
      <c r="P552" s="1"/>
      <c r="Q552" s="1"/>
      <c r="R552" s="1"/>
      <c r="S552" s="1"/>
      <c r="T552" s="1"/>
      <c r="U552" s="1"/>
      <c r="V552" s="1"/>
      <c r="W552" s="1" t="str">
        <f ca="1">IFERROR(__xludf.DUMMYFUNCTION("""COMPUTED_VALUE"""),"संस्कार")</f>
        <v>संस्कार</v>
      </c>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t="str">
        <f ca="1">IFERROR(__xludf.DUMMYFUNCTION("""COMPUTED_VALUE"""),"अंत्येष्ठि संस्कार विवेचन")</f>
        <v>अंत्येष्ठि संस्कार विवेचन</v>
      </c>
      <c r="BJ552" s="1"/>
      <c r="BK552" s="1"/>
      <c r="BL552" s="1"/>
      <c r="BM552" s="1"/>
      <c r="BN552" s="1"/>
      <c r="BO552" s="1"/>
      <c r="BP552" s="1"/>
      <c r="BQ552" s="1"/>
      <c r="BR552" s="1"/>
      <c r="BS552" s="1"/>
      <c r="BT552" s="1"/>
      <c r="BU552" s="1"/>
      <c r="BV552" s="1"/>
      <c r="BW552" s="1">
        <f ca="1">IFERROR(__xludf.DUMMYFUNCTION("""COMPUTED_VALUE"""),23)</f>
        <v>23</v>
      </c>
      <c r="BX552" s="1">
        <f ca="1">IFERROR(__xludf.DUMMYFUNCTION("""COMPUTED_VALUE"""),28)</f>
        <v>28</v>
      </c>
      <c r="BY552" s="1">
        <f ca="1">IFERROR(__xludf.DUMMYFUNCTION("""COMPUTED_VALUE"""),2)</f>
        <v>2</v>
      </c>
      <c r="BZ552" s="1">
        <f ca="1">IFERROR(__xludf.DUMMYFUNCTION("""COMPUTED_VALUE"""),24)</f>
        <v>24</v>
      </c>
      <c r="CA552" s="1"/>
      <c r="CB552" s="1"/>
      <c r="CC552" s="1" t="str">
        <f ca="1">IFERROR(__xludf.DUMMYFUNCTION("""COMPUTED_VALUE"""),"भय मारक है साहस परक्रम संजीवनी : H_VN_66")</f>
        <v>भय मारक है साहस परक्रम संजीवनी : H_VN_66</v>
      </c>
      <c r="CD552" s="3" t="str">
        <f ca="1">IFERROR(__xludf.DUMMYFUNCTION("""COMPUTED_VALUE"""),"https://vicharkrantibooks.org/productdetail?book_name=HINP0164_BHAY_MARAK_HAI_SAHAS_PARAKRAM_SANJIVANI_xxyyyy&amp;product_id=729")</f>
        <v>https://vicharkrantibooks.org/productdetail?book_name=HINP0164_BHAY_MARAK_HAI_SAHAS_PARAKRAM_SANJIVANI_xxyyyy&amp;product_id=729</v>
      </c>
      <c r="CE552" s="1" t="str">
        <f ca="1">IFERROR(__xludf.DUMMYFUNCTION("""COMPUTED_VALUE"""),"Audiobook : भय मारक है साहस परक्रम संजीवनी : H_VN_66 : richasharma310575@gmail.com : Recorded")</f>
        <v>Audiobook : भय मारक है साहस परक्रम संजीवनी : H_VN_66 : richasharma310575@gmail.com : Recorded</v>
      </c>
      <c r="CF552" s="1" t="str">
        <f ca="1">IFERROR(__xludf.DUMMYFUNCTION("""COMPUTED_VALUE"""),"Audiobook : भय मारक है साहस परक्रम संजीवनी : H_VN_66 : richasharma310575@gmail.com : Recorded")</f>
        <v>Audiobook : भय मारक है साहस परक्रम संजीवनी : H_VN_66 : richasharma310575@gmail.com : Recorded</v>
      </c>
      <c r="CG552" s="1" t="str">
        <f ca="1">IFERROR(__xludf.DUMMYFUNCTION("""COMPUTED_VALUE"""),"Adarniya Richa Sharma ji भय मारक है साहस परक्रम संजीवनी : H_VN_66 : Allocated on 26-Dec-23 Contact Number  9479664049")</f>
        <v>Adarniya Richa Sharma ji भय मारक है साहस परक्रम संजीवनी : H_VN_66 : Allocated on 26-Dec-23 Contact Number  9479664049</v>
      </c>
      <c r="CH552" s="1" t="str">
        <f ca="1">IFERROR(__xludf.DUMMYFUNCTION("""COMPUTED_VALUE"""),"richasharma310575@gmail.com : भय मारक है साहस परक्रम संजीवनी : H_VN_66")</f>
        <v>richasharma310575@gmail.com : भय मारक है साहस परक्रम संजीवनी : H_VN_66</v>
      </c>
      <c r="CI552" s="5">
        <f ca="1">IFERROR(__xludf.DUMMYFUNCTION("""COMPUTED_VALUE"""),45286.0501243865)</f>
        <v>45286.0501243865</v>
      </c>
    </row>
    <row r="553" spans="1:87" x14ac:dyDescent="0.25">
      <c r="A553" s="5">
        <f ca="1">IFERROR(__xludf.DUMMYFUNCTION("""COMPUTED_VALUE"""),45285.6655465277)</f>
        <v>45285.6655465277</v>
      </c>
      <c r="B553" s="1" t="str">
        <f ca="1">IFERROR(__xludf.DUMMYFUNCTION("""COMPUTED_VALUE"""),"shalinibaghel1923@gmail.com")</f>
        <v>shalinibaghel1923@gmail.com</v>
      </c>
      <c r="C553" s="1" t="str">
        <f ca="1">IFERROR(__xludf.DUMMYFUNCTION("""COMPUTED_VALUE"""),"Shalini Baghelker")</f>
        <v>Shalini Baghelker</v>
      </c>
      <c r="D553" s="1">
        <f ca="1">IFERROR(__xludf.DUMMYFUNCTION("""COMPUTED_VALUE"""),7999589365)</f>
        <v>7999589365</v>
      </c>
      <c r="E553" s="1" t="str">
        <f ca="1">IFERROR(__xludf.DUMMYFUNCTION("""COMPUTED_VALUE"""),"Yes")</f>
        <v>Yes</v>
      </c>
      <c r="F553" s="1" t="str">
        <f ca="1">IFERROR(__xludf.DUMMYFUNCTION("""COMPUTED_VALUE"""),"हिन्दी")</f>
        <v>हिन्दी</v>
      </c>
      <c r="G553" s="1" t="str">
        <f ca="1">IFERROR(__xludf.DUMMYFUNCTION("""COMPUTED_VALUE"""),"वैज्ञानिक अध्यात्मवाद का प्रतिपादन")</f>
        <v>वैज्ञानिक अध्यात्मवाद का प्रतिपादन</v>
      </c>
      <c r="H553" s="1"/>
      <c r="I553" s="1"/>
      <c r="J553" s="1"/>
      <c r="K553" s="1"/>
      <c r="L553" s="1"/>
      <c r="M553" s="1"/>
      <c r="N553" s="1"/>
      <c r="O553" s="1"/>
      <c r="P553" s="1"/>
      <c r="Q553" s="1"/>
      <c r="R553" s="1"/>
      <c r="S553" s="1" t="str">
        <f ca="1">IFERROR(__xludf.DUMMYFUNCTION("""COMPUTED_VALUE"""),"वैज्ञानिक अध्यात्मवाद का प्रतिपादन")</f>
        <v>वैज्ञानिक अध्यात्मवाद का प्रतिपादन</v>
      </c>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f ca="1">IFERROR(__xludf.DUMMYFUNCTION("""COMPUTED_VALUE"""),4)</f>
        <v>4</v>
      </c>
      <c r="BX553" s="1">
        <f ca="1">IFERROR(__xludf.DUMMYFUNCTION("""COMPUTED_VALUE"""),2)</f>
        <v>2</v>
      </c>
      <c r="BY553" s="1">
        <f ca="1">IFERROR(__xludf.DUMMYFUNCTION("""COMPUTED_VALUE"""),2)</f>
        <v>2</v>
      </c>
      <c r="BZ553" s="1">
        <f ca="1">IFERROR(__xludf.DUMMYFUNCTION("""COMPUTED_VALUE"""),1)</f>
        <v>1</v>
      </c>
      <c r="CA553" s="1"/>
      <c r="CB553" s="1"/>
      <c r="CC553" s="1" t="str">
        <f ca="1">IFERROR(__xludf.DUMMYFUNCTION("""COMPUTED_VALUE"""),"आज्ञा चक्र जगायें दिव्य दृष्टि पायें : Rare Book")</f>
        <v>आज्ञा चक्र जगायें दिव्य दृष्टि पायें : Rare Book</v>
      </c>
      <c r="CD553" s="3" t="str">
        <f ca="1">IFERROR(__xludf.DUMMYFUNCTION("""COMPUTED_VALUE"""),"https://vicharkrantibooks.org/productdetail?book_name=HINF0019_AGYA_CHAKR_JAGAYEN_DIVY_DRUSHTI_PAYE_xxyyyy&amp;product_id=239")</f>
        <v>https://vicharkrantibooks.org/productdetail?book_name=HINF0019_AGYA_CHAKR_JAGAYEN_DIVY_DRUSHTI_PAYE_xxyyyy&amp;product_id=239</v>
      </c>
      <c r="CE553" s="1" t="str">
        <f ca="1">IFERROR(__xludf.DUMMYFUNCTION("""COMPUTED_VALUE"""),"Audiobook : आज्ञा चक्र जगायें दिव्य दृष्टि पायें : Rare Book : shalinibaghel1923@gmail.com : Recorded")</f>
        <v>Audiobook : आज्ञा चक्र जगायें दिव्य दृष्टि पायें : Rare Book : shalinibaghel1923@gmail.com : Recorded</v>
      </c>
      <c r="CF553" s="1" t="str">
        <f ca="1">IFERROR(__xludf.DUMMYFUNCTION("""COMPUTED_VALUE"""),"#N/A")</f>
        <v>#N/A</v>
      </c>
      <c r="CG553" s="1" t="str">
        <f ca="1">IFERROR(__xludf.DUMMYFUNCTION("""COMPUTED_VALUE"""),"Adarniya Shalini Baghelker ji आज्ञा चक्र जगायें दिव्य दृष्टि पायें : Rare Book : Allocated on 25-Dec-23 Contact Number  7999589365")</f>
        <v>Adarniya Shalini Baghelker ji आज्ञा चक्र जगायें दिव्य दृष्टि पायें : Rare Book : Allocated on 25-Dec-23 Contact Number  7999589365</v>
      </c>
      <c r="CH553" s="1" t="str">
        <f ca="1">IFERROR(__xludf.DUMMYFUNCTION("""COMPUTED_VALUE"""),"shalinibaghel1923@gmail.com : आज्ञा चक्र जगायें दिव्य दृष्टि पायें : Rare Book")</f>
        <v>shalinibaghel1923@gmail.com : आज्ञा चक्र जगायें दिव्य दृष्टि पायें : Rare Book</v>
      </c>
      <c r="CI553" s="5">
        <f ca="1">IFERROR(__xludf.DUMMYFUNCTION("""COMPUTED_VALUE"""),45285.6655465277)</f>
        <v>45285.6655465277</v>
      </c>
    </row>
    <row r="554" spans="1:87" x14ac:dyDescent="0.25">
      <c r="A554" s="5">
        <f ca="1">IFERROR(__xludf.DUMMYFUNCTION("""COMPUTED_VALUE"""),45284.8869276504)</f>
        <v>45284.886927650397</v>
      </c>
      <c r="B554" s="1" t="str">
        <f ca="1">IFERROR(__xludf.DUMMYFUNCTION("""COMPUTED_VALUE"""),"guptarakhi072@gmail.com")</f>
        <v>guptarakhi072@gmail.com</v>
      </c>
      <c r="C554" s="1" t="str">
        <f ca="1">IFERROR(__xludf.DUMMYFUNCTION("""COMPUTED_VALUE"""),"Rakhi Gupta ")</f>
        <v xml:space="preserve">Rakhi Gupta </v>
      </c>
      <c r="D554" s="1">
        <f ca="1">IFERROR(__xludf.DUMMYFUNCTION("""COMPUTED_VALUE"""),8128540757)</f>
        <v>8128540757</v>
      </c>
      <c r="E554" s="1" t="str">
        <f ca="1">IFERROR(__xludf.DUMMYFUNCTION("""COMPUTED_VALUE"""),"Yes")</f>
        <v>Yes</v>
      </c>
      <c r="F554" s="1" t="str">
        <f ca="1">IFERROR(__xludf.DUMMYFUNCTION("""COMPUTED_VALUE"""),"हिन्दी")</f>
        <v>हिन्दी</v>
      </c>
      <c r="G554" s="1"/>
      <c r="H554" s="1" t="str">
        <f ca="1">IFERROR(__xludf.DUMMYFUNCTION("""COMPUTED_VALUE"""),"अध्यात्म, धर्म एवं आस्तिकता")</f>
        <v>अध्यात्म, धर्म एवं आस्तिकता</v>
      </c>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f ca="1">IFERROR(__xludf.DUMMYFUNCTION("""COMPUTED_VALUE"""),21)</f>
        <v>21</v>
      </c>
      <c r="BX554" s="1">
        <f ca="1">IFERROR(__xludf.DUMMYFUNCTION("""COMPUTED_VALUE"""),20)</f>
        <v>20</v>
      </c>
      <c r="BY554" s="1">
        <f ca="1">IFERROR(__xludf.DUMMYFUNCTION("""COMPUTED_VALUE"""),2)</f>
        <v>2</v>
      </c>
      <c r="BZ554" s="1">
        <f ca="1">IFERROR(__xludf.DUMMYFUNCTION("""COMPUTED_VALUE"""),14)</f>
        <v>14</v>
      </c>
      <c r="CA554" s="1"/>
      <c r="CB554" s="1"/>
      <c r="CC554" s="1" t="str">
        <f ca="1">IFERROR(__xludf.DUMMYFUNCTION("""COMPUTED_VALUE"""),"व्यकितत्व की पूर्णता : H_VN_67")</f>
        <v>व्यकितत्व की पूर्णता : H_VN_67</v>
      </c>
      <c r="CD554" s="3" t="str">
        <f ca="1">IFERROR(__xludf.DUMMYFUNCTION("""COMPUTED_VALUE"""),"https://vicharkrantibooks.org/productdetail?book_name=HINP1010_VYAKTITV_KI_PURNATA_xxyyyy&amp;product_id=1575")</f>
        <v>https://vicharkrantibooks.org/productdetail?book_name=HINP1010_VYAKTITV_KI_PURNATA_xxyyyy&amp;product_id=1575</v>
      </c>
      <c r="CE554" s="1" t="str">
        <f ca="1">IFERROR(__xludf.DUMMYFUNCTION("""COMPUTED_VALUE"""),"Audiobook : व्यकितत्व की पूर्णता : H_VN_67 : guptarakhi072@gmail.com : Recorded")</f>
        <v>Audiobook : व्यकितत्व की पूर्णता : H_VN_67 : guptarakhi072@gmail.com : Recorded</v>
      </c>
      <c r="CF554" s="1" t="str">
        <f ca="1">IFERROR(__xludf.DUMMYFUNCTION("""COMPUTED_VALUE"""),"Audiobook : व्यकितत्व की पूर्णता : H_VN_67 : guptarakhi072@gmail.com : Recorded")</f>
        <v>Audiobook : व्यकितत्व की पूर्णता : H_VN_67 : guptarakhi072@gmail.com : Recorded</v>
      </c>
      <c r="CG554" s="1" t="str">
        <f ca="1">IFERROR(__xludf.DUMMYFUNCTION("""COMPUTED_VALUE"""),"Adarniya Rakhi Gupta  ji व्यकितत्व की पूर्णता : H_VN_67 : Allocated on 24-Dec-23 Contact Number  8128540757")</f>
        <v>Adarniya Rakhi Gupta  ji व्यकितत्व की पूर्णता : H_VN_67 : Allocated on 24-Dec-23 Contact Number  8128540757</v>
      </c>
      <c r="CH554" s="1" t="str">
        <f ca="1">IFERROR(__xludf.DUMMYFUNCTION("""COMPUTED_VALUE"""),"guptarakhi072@gmail.com : व्यकितत्व की पूर्णता : H_VN_67")</f>
        <v>guptarakhi072@gmail.com : व्यकितत्व की पूर्णता : H_VN_67</v>
      </c>
      <c r="CI554" s="5">
        <f ca="1">IFERROR(__xludf.DUMMYFUNCTION("""COMPUTED_VALUE"""),45284.8869276504)</f>
        <v>45284.886927650397</v>
      </c>
    </row>
    <row r="555" spans="1:87" x14ac:dyDescent="0.25">
      <c r="A555" s="5">
        <f ca="1">IFERROR(__xludf.DUMMYFUNCTION("""COMPUTED_VALUE"""),45284.6892875578)</f>
        <v>45284.689287557798</v>
      </c>
      <c r="B555" s="1" t="str">
        <f ca="1">IFERROR(__xludf.DUMMYFUNCTION("""COMPUTED_VALUE"""),"anu161965@gmail.com")</f>
        <v>anu161965@gmail.com</v>
      </c>
      <c r="C555" s="1" t="str">
        <f ca="1">IFERROR(__xludf.DUMMYFUNCTION("""COMPUTED_VALUE"""),"Anureeta awadh")</f>
        <v>Anureeta awadh</v>
      </c>
      <c r="D555" s="1">
        <f ca="1">IFERROR(__xludf.DUMMYFUNCTION("""COMPUTED_VALUE"""),8860314422)</f>
        <v>8860314422</v>
      </c>
      <c r="E555" s="1" t="str">
        <f ca="1">IFERROR(__xludf.DUMMYFUNCTION("""COMPUTED_VALUE"""),"Yes")</f>
        <v>Yes</v>
      </c>
      <c r="F555" s="1" t="str">
        <f ca="1">IFERROR(__xludf.DUMMYFUNCTION("""COMPUTED_VALUE"""),"हिन्दी")</f>
        <v>हिन्दी</v>
      </c>
      <c r="G555" s="1" t="str">
        <f ca="1">IFERROR(__xludf.DUMMYFUNCTION("""COMPUTED_VALUE"""),"वैज्ञानिक अध्यात्मवाद का प्रतिपादन")</f>
        <v>वैज्ञानिक अध्यात्मवाद का प्रतिपादन</v>
      </c>
      <c r="H555" s="1"/>
      <c r="I555" s="1"/>
      <c r="J555" s="1"/>
      <c r="K555" s="1"/>
      <c r="L555" s="1"/>
      <c r="M555" s="1"/>
      <c r="N555" s="1"/>
      <c r="O555" s="1"/>
      <c r="P555" s="1"/>
      <c r="Q555" s="1"/>
      <c r="R555" s="1"/>
      <c r="S555" s="1" t="str">
        <f ca="1">IFERROR(__xludf.DUMMYFUNCTION("""COMPUTED_VALUE"""),"वैज्ञानिक अध्यात्मवाद का प्रतिपादन")</f>
        <v>वैज्ञानिक अध्यात्मवाद का प्रतिपादन</v>
      </c>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f ca="1">IFERROR(__xludf.DUMMYFUNCTION("""COMPUTED_VALUE"""),24)</f>
        <v>24</v>
      </c>
      <c r="BX555" s="1">
        <f ca="1">IFERROR(__xludf.DUMMYFUNCTION("""COMPUTED_VALUE"""),18)</f>
        <v>18</v>
      </c>
      <c r="BY555" s="1">
        <f ca="1">IFERROR(__xludf.DUMMYFUNCTION("""COMPUTED_VALUE"""),7)</f>
        <v>7</v>
      </c>
      <c r="BZ555" s="1">
        <f ca="1">IFERROR(__xludf.DUMMYFUNCTION("""COMPUTED_VALUE"""),5)</f>
        <v>5</v>
      </c>
      <c r="CA555" s="1"/>
      <c r="CB555" s="1"/>
      <c r="CC555" s="1" t="str">
        <f ca="1">IFERROR(__xludf.DUMMYFUNCTION("""COMPUTED_VALUE"""),"अपरिमित संभावनाओं का आगार मानवी व्यक्तित्व : H_VS_21")</f>
        <v>अपरिमित संभावनाओं का आगार मानवी व्यक्तित्व : H_VS_21</v>
      </c>
      <c r="CD555" s="1" t="str">
        <f ca="1">IFERROR(__xludf.DUMMYFUNCTION("""COMPUTED_VALUE"""),"#N/A")</f>
        <v>#N/A</v>
      </c>
      <c r="CE555" s="1" t="str">
        <f ca="1">IFERROR(__xludf.DUMMYFUNCTION("""COMPUTED_VALUE"""),"Audiobook : अपरिमित संभावनाओं का आगार मानवी व्यक्तित्व : H_VS_21 : anu161965@gmail.com : Recorded")</f>
        <v>Audiobook : अपरिमित संभावनाओं का आगार मानवी व्यक्तित्व : H_VS_21 : anu161965@gmail.com : Recorded</v>
      </c>
      <c r="CF555" s="1" t="str">
        <f ca="1">IFERROR(__xludf.DUMMYFUNCTION("""COMPUTED_VALUE"""),"#N/A")</f>
        <v>#N/A</v>
      </c>
      <c r="CG555" s="1" t="str">
        <f ca="1">IFERROR(__xludf.DUMMYFUNCTION("""COMPUTED_VALUE"""),"Adarniya Anureeta awadh ji अपरिमित संभावनाओं का आगार मानवी व्यक्तित्व : H_VS_21 : Allocated on 24-Dec-23 Contact Number  8860314422")</f>
        <v>Adarniya Anureeta awadh ji अपरिमित संभावनाओं का आगार मानवी व्यक्तित्व : H_VS_21 : Allocated on 24-Dec-23 Contact Number  8860314422</v>
      </c>
      <c r="CH555" s="1" t="str">
        <f ca="1">IFERROR(__xludf.DUMMYFUNCTION("""COMPUTED_VALUE"""),"anu161965@gmail.com : अपरिमित संभावनाओं का आगार मानवी व्यक्तित्व : H_VS_21")</f>
        <v>anu161965@gmail.com : अपरिमित संभावनाओं का आगार मानवी व्यक्तित्व : H_VS_21</v>
      </c>
      <c r="CI555" s="5">
        <f ca="1">IFERROR(__xludf.DUMMYFUNCTION("""COMPUTED_VALUE"""),45284.6892875578)</f>
        <v>45284.689287557798</v>
      </c>
    </row>
    <row r="556" spans="1:87" x14ac:dyDescent="0.25">
      <c r="A556" s="5">
        <f ca="1">IFERROR(__xludf.DUMMYFUNCTION("""COMPUTED_VALUE"""),45284.3306598379)</f>
        <v>45284.330659837899</v>
      </c>
      <c r="B556" s="1" t="str">
        <f ca="1">IFERROR(__xludf.DUMMYFUNCTION("""COMPUTED_VALUE"""),"druma4107@gmail.com")</f>
        <v>druma4107@gmail.com</v>
      </c>
      <c r="C556" s="1" t="str">
        <f ca="1">IFERROR(__xludf.DUMMYFUNCTION("""COMPUTED_VALUE"""),"Dr Uma Agrawal ")</f>
        <v xml:space="preserve">Dr Uma Agrawal </v>
      </c>
      <c r="D556" s="1">
        <f ca="1">IFERROR(__xludf.DUMMYFUNCTION("""COMPUTED_VALUE"""),9410861182)</f>
        <v>9410861182</v>
      </c>
      <c r="E556" s="1" t="str">
        <f ca="1">IFERROR(__xludf.DUMMYFUNCTION("""COMPUTED_VALUE"""),"Yes")</f>
        <v>Yes</v>
      </c>
      <c r="F556" s="1" t="str">
        <f ca="1">IFERROR(__xludf.DUMMYFUNCTION("""COMPUTED_VALUE"""),"हिन्दी")</f>
        <v>हिन्दी</v>
      </c>
      <c r="G556" s="1" t="str">
        <f ca="1">IFERROR(__xludf.DUMMYFUNCTION("""COMPUTED_VALUE"""),"समग्र स्वास्थ्य")</f>
        <v>समग्र स्वास्थ्य</v>
      </c>
      <c r="H556" s="1"/>
      <c r="I556" s="1"/>
      <c r="J556" s="1"/>
      <c r="K556" s="1"/>
      <c r="L556" s="1"/>
      <c r="M556" s="1"/>
      <c r="N556" s="1"/>
      <c r="O556" s="1"/>
      <c r="P556" s="1"/>
      <c r="Q556" s="1"/>
      <c r="R556" s="1"/>
      <c r="S556" s="1"/>
      <c r="T556" s="1"/>
      <c r="U556" s="1" t="str">
        <f ca="1">IFERROR(__xludf.DUMMYFUNCTION("""COMPUTED_VALUE"""),"आहार-विहार एवं उपवास")</f>
        <v>आहार-विहार एवं उपवास</v>
      </c>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f ca="1">IFERROR(__xludf.DUMMYFUNCTION("""COMPUTED_VALUE"""),104)</f>
        <v>104</v>
      </c>
      <c r="BX556" s="1">
        <f ca="1">IFERROR(__xludf.DUMMYFUNCTION("""COMPUTED_VALUE"""),106)</f>
        <v>106</v>
      </c>
      <c r="BY556" s="1">
        <f ca="1">IFERROR(__xludf.DUMMYFUNCTION("""COMPUTED_VALUE"""),9)</f>
        <v>9</v>
      </c>
      <c r="BZ556" s="1">
        <f ca="1">IFERROR(__xludf.DUMMYFUNCTION("""COMPUTED_VALUE"""),43)</f>
        <v>43</v>
      </c>
      <c r="CA556" s="1"/>
      <c r="CB556" s="1"/>
      <c r="CC556" s="1" t="str">
        <f ca="1">IFERROR(__xludf.DUMMYFUNCTION("""COMPUTED_VALUE"""),"प्राण शक्ति अकूत ऊर्जा का स्त्रोत : Rare Book")</f>
        <v>प्राण शक्ति अकूत ऊर्जा का स्त्रोत : Rare Book</v>
      </c>
      <c r="CD556" s="3" t="str">
        <f ca="1">IFERROR(__xludf.DUMMYFUNCTION("""COMPUTED_VALUE"""),"https://vicharkrantibooks.org/productdetail?book_name=HINP0663_PRAN_SHAKTI_AKUT_URJA_KA_STROT_xxyyyy&amp;product_id=1228")</f>
        <v>https://vicharkrantibooks.org/productdetail?book_name=HINP0663_PRAN_SHAKTI_AKUT_URJA_KA_STROT_xxyyyy&amp;product_id=1228</v>
      </c>
      <c r="CE556" s="1" t="str">
        <f ca="1">IFERROR(__xludf.DUMMYFUNCTION("""COMPUTED_VALUE"""),"Audiobook : प्राण शक्ति अकूत ऊर्जा का स्त्रोत : Rare Book : druma4107@gmail.com : Recorded")</f>
        <v>Audiobook : प्राण शक्ति अकूत ऊर्जा का स्त्रोत : Rare Book : druma4107@gmail.com : Recorded</v>
      </c>
      <c r="CF556" s="1" t="str">
        <f ca="1">IFERROR(__xludf.DUMMYFUNCTION("""COMPUTED_VALUE"""),"#N/A")</f>
        <v>#N/A</v>
      </c>
      <c r="CG556" s="1" t="str">
        <f ca="1">IFERROR(__xludf.DUMMYFUNCTION("""COMPUTED_VALUE"""),"Adarniya Dr Uma Agrawal  ji प्राण शक्ति अकूत ऊर्जा का स्त्रोत : Rare Book : Allocated on 24-Dec-23 Contact Number  9410861182")</f>
        <v>Adarniya Dr Uma Agrawal  ji प्राण शक्ति अकूत ऊर्जा का स्त्रोत : Rare Book : Allocated on 24-Dec-23 Contact Number  9410861182</v>
      </c>
      <c r="CH556" s="1" t="str">
        <f ca="1">IFERROR(__xludf.DUMMYFUNCTION("""COMPUTED_VALUE"""),"druma4107@gmail.com : प्राण शक्ति अकूत ऊर्जा का स्त्रोत : Rare Book")</f>
        <v>druma4107@gmail.com : प्राण शक्ति अकूत ऊर्जा का स्त्रोत : Rare Book</v>
      </c>
      <c r="CI556" s="5">
        <f ca="1">IFERROR(__xludf.DUMMYFUNCTION("""COMPUTED_VALUE"""),45284.3306598379)</f>
        <v>45284.330659837899</v>
      </c>
    </row>
    <row r="557" spans="1:87" x14ac:dyDescent="0.25">
      <c r="A557" s="5">
        <f ca="1">IFERROR(__xludf.DUMMYFUNCTION("""COMPUTED_VALUE"""),45283.8847264004)</f>
        <v>45283.8847264004</v>
      </c>
      <c r="B557" s="1" t="str">
        <f ca="1">IFERROR(__xludf.DUMMYFUNCTION("""COMPUTED_VALUE"""),"savitabhardwaj24@gmail.com")</f>
        <v>savitabhardwaj24@gmail.com</v>
      </c>
      <c r="C557" s="1" t="str">
        <f ca="1">IFERROR(__xludf.DUMMYFUNCTION("""COMPUTED_VALUE"""),"Savita ")</f>
        <v xml:space="preserve">Savita </v>
      </c>
      <c r="D557" s="1">
        <f ca="1">IFERROR(__xludf.DUMMYFUNCTION("""COMPUTED_VALUE"""),9820802184)</f>
        <v>9820802184</v>
      </c>
      <c r="E557" s="1" t="str">
        <f ca="1">IFERROR(__xludf.DUMMYFUNCTION("""COMPUTED_VALUE"""),"No")</f>
        <v>No</v>
      </c>
      <c r="F557" s="1" t="str">
        <f ca="1">IFERROR(__xludf.DUMMYFUNCTION("""COMPUTED_VALUE"""),"हिन्दी")</f>
        <v>हिन्दी</v>
      </c>
      <c r="G557" s="1" t="str">
        <f ca="1">IFERROR(__xludf.DUMMYFUNCTION("""COMPUTED_VALUE"""),"अध्यात्म, धर्म एवं दर्शन")</f>
        <v>अध्यात्म, धर्म एवं दर्शन</v>
      </c>
      <c r="H557" s="1" t="str">
        <f ca="1">IFERROR(__xludf.DUMMYFUNCTION("""COMPUTED_VALUE"""),"साधना")</f>
        <v>साधना</v>
      </c>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f ca="1">IFERROR(__xludf.DUMMYFUNCTION("""COMPUTED_VALUE"""),1)</f>
        <v>1</v>
      </c>
      <c r="BX557" s="1">
        <f ca="1">IFERROR(__xludf.DUMMYFUNCTION("""COMPUTED_VALUE"""),0)</f>
        <v>0</v>
      </c>
      <c r="BY557" s="1">
        <f ca="1">IFERROR(__xludf.DUMMYFUNCTION("""COMPUTED_VALUE"""),1)</f>
        <v>1</v>
      </c>
      <c r="BZ557" s="1">
        <f ca="1">IFERROR(__xludf.DUMMYFUNCTION("""COMPUTED_VALUE"""),0)</f>
        <v>0</v>
      </c>
      <c r="CA557" s="1"/>
      <c r="CB557" s="1"/>
      <c r="CC557" s="1" t="str">
        <f ca="1">IFERROR(__xludf.DUMMYFUNCTION("""COMPUTED_VALUE"""),"आत्म चेतना की जागृति का ज्ञान विज्ञान : Rare Book")</f>
        <v>आत्म चेतना की जागृति का ज्ञान विज्ञान : Rare Book</v>
      </c>
      <c r="CD557" s="3" t="str">
        <f ca="1">IFERROR(__xludf.DUMMYFUNCTION("""COMPUTED_VALUE"""),"https://vicharkrantibooks.org/productdetail?book_name=HINF0045_ATM_CHETANA_KI_JAGRUTI_KA_GYAN_VIGYAN_xxyyyy&amp;product_id=265")</f>
        <v>https://vicharkrantibooks.org/productdetail?book_name=HINF0045_ATM_CHETANA_KI_JAGRUTI_KA_GYAN_VIGYAN_xxyyyy&amp;product_id=265</v>
      </c>
      <c r="CE557" s="1" t="str">
        <f ca="1">IFERROR(__xludf.DUMMYFUNCTION("""COMPUTED_VALUE"""),"Audiobook : आत्म चेतना की जागृति का ज्ञान विज्ञान : Rare Book : savitabhardwaj24@gmail.com : Recorded")</f>
        <v>Audiobook : आत्म चेतना की जागृति का ज्ञान विज्ञान : Rare Book : savitabhardwaj24@gmail.com : Recorded</v>
      </c>
      <c r="CF557" s="1" t="str">
        <f ca="1">IFERROR(__xludf.DUMMYFUNCTION("""COMPUTED_VALUE"""),"#N/A")</f>
        <v>#N/A</v>
      </c>
      <c r="CG557" s="1" t="str">
        <f ca="1">IFERROR(__xludf.DUMMYFUNCTION("""COMPUTED_VALUE"""),"Adarniya Savita  ji आत्म चेतना की जागृति का ज्ञान विज्ञान : Rare Book : Allocated on 23-Dec-23 Contact Number  9820802184")</f>
        <v>Adarniya Savita  ji आत्म चेतना की जागृति का ज्ञान विज्ञान : Rare Book : Allocated on 23-Dec-23 Contact Number  9820802184</v>
      </c>
      <c r="CH557" s="1" t="str">
        <f ca="1">IFERROR(__xludf.DUMMYFUNCTION("""COMPUTED_VALUE"""),"savitabhardwaj24@gmail.com : आत्म चेतना की जागृति का ज्ञान विज्ञान : Rare Book")</f>
        <v>savitabhardwaj24@gmail.com : आत्म चेतना की जागृति का ज्ञान विज्ञान : Rare Book</v>
      </c>
      <c r="CI557" s="5">
        <f ca="1">IFERROR(__xludf.DUMMYFUNCTION("""COMPUTED_VALUE"""),45283.8847264004)</f>
        <v>45283.8847264004</v>
      </c>
    </row>
    <row r="558" spans="1:87" x14ac:dyDescent="0.25">
      <c r="A558" s="5">
        <f ca="1">IFERROR(__xludf.DUMMYFUNCTION("""COMPUTED_VALUE"""),45283.860241493)</f>
        <v>45283.860241492999</v>
      </c>
      <c r="B558" s="1" t="str">
        <f ca="1">IFERROR(__xludf.DUMMYFUNCTION("""COMPUTED_VALUE"""),"ss.40050467@gmail.com")</f>
        <v>ss.40050467@gmail.com</v>
      </c>
      <c r="C558" s="1" t="str">
        <f ca="1">IFERROR(__xludf.DUMMYFUNCTION("""COMPUTED_VALUE"""),"Shreshtha Sharma")</f>
        <v>Shreshtha Sharma</v>
      </c>
      <c r="D558" s="1">
        <f ca="1">IFERROR(__xludf.DUMMYFUNCTION("""COMPUTED_VALUE"""),8130921151)</f>
        <v>8130921151</v>
      </c>
      <c r="E558" s="1" t="str">
        <f ca="1">IFERROR(__xludf.DUMMYFUNCTION("""COMPUTED_VALUE"""),"Yes")</f>
        <v>Yes</v>
      </c>
      <c r="F558" s="1" t="str">
        <f ca="1">IFERROR(__xludf.DUMMYFUNCTION("""COMPUTED_VALUE"""),"हिन्दी or English")</f>
        <v>हिन्दी or English</v>
      </c>
      <c r="G558" s="1" t="str">
        <f ca="1">IFERROR(__xludf.DUMMYFUNCTION("""COMPUTED_VALUE"""),"English")</f>
        <v>English</v>
      </c>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f ca="1">IFERROR(__xludf.DUMMYFUNCTION("""COMPUTED_VALUE"""),2)</f>
        <v>2</v>
      </c>
      <c r="BX558" s="1">
        <f ca="1">IFERROR(__xludf.DUMMYFUNCTION("""COMPUTED_VALUE"""),0)</f>
        <v>0</v>
      </c>
      <c r="BY558" s="1">
        <f ca="1">IFERROR(__xludf.DUMMYFUNCTION("""COMPUTED_VALUE"""),2)</f>
        <v>2</v>
      </c>
      <c r="BZ558" s="1">
        <f ca="1">IFERROR(__xludf.DUMMYFUNCTION("""COMPUTED_VALUE"""),0)</f>
        <v>0</v>
      </c>
      <c r="CA558" s="1"/>
      <c r="CB558" s="1"/>
      <c r="CC558" s="1" t="str">
        <f ca="1">IFERROR(__xludf.DUMMYFUNCTION("""COMPUTED_VALUE"""),"Steer The Life For Definite Rewards : EP_128")</f>
        <v>Steer The Life For Definite Rewards : EP_128</v>
      </c>
      <c r="CD558" s="3" t="str">
        <f ca="1">IFERROR(__xludf.DUMMYFUNCTION("""COMPUTED_VALUE"""),"https://vicharkrantibooks.org/productdetail?book_name=ENGP0605_STEER_THE_LIFE_FOR_DEFINITE_REWARDS_xxyyyy&amp;product_id=3513")</f>
        <v>https://vicharkrantibooks.org/productdetail?book_name=ENGP0605_STEER_THE_LIFE_FOR_DEFINITE_REWARDS_xxyyyy&amp;product_id=3513</v>
      </c>
      <c r="CE558" s="1" t="str">
        <f ca="1">IFERROR(__xludf.DUMMYFUNCTION("""COMPUTED_VALUE"""),"Audiobook : Steer The Life For Definite Rewards : EP_128 : ss.40050467@gmail.com : Recorded")</f>
        <v>Audiobook : Steer The Life For Definite Rewards : EP_128 : ss.40050467@gmail.com : Recorded</v>
      </c>
      <c r="CF558" s="1" t="str">
        <f ca="1">IFERROR(__xludf.DUMMYFUNCTION("""COMPUTED_VALUE"""),"#N/A")</f>
        <v>#N/A</v>
      </c>
      <c r="CG558" s="1" t="str">
        <f ca="1">IFERROR(__xludf.DUMMYFUNCTION("""COMPUTED_VALUE"""),"Adarniya Shreshtha Sharma ji Steer The Life For Definite Rewards : EP_128 : Allocated on 23-Dec-23 Contact Number  8130921151")</f>
        <v>Adarniya Shreshtha Sharma ji Steer The Life For Definite Rewards : EP_128 : Allocated on 23-Dec-23 Contact Number  8130921151</v>
      </c>
      <c r="CH558" s="1" t="str">
        <f ca="1">IFERROR(__xludf.DUMMYFUNCTION("""COMPUTED_VALUE"""),"ss.40050467@gmail.com : Steer The Life For Definite Rewards : EP_128")</f>
        <v>ss.40050467@gmail.com : Steer The Life For Definite Rewards : EP_128</v>
      </c>
      <c r="CI558" s="5">
        <f ca="1">IFERROR(__xludf.DUMMYFUNCTION("""COMPUTED_VALUE"""),45283.860241493)</f>
        <v>45283.860241492999</v>
      </c>
    </row>
    <row r="559" spans="1:87" x14ac:dyDescent="0.25">
      <c r="A559" s="5">
        <f ca="1">IFERROR(__xludf.DUMMYFUNCTION("""COMPUTED_VALUE"""),45283.4673065277)</f>
        <v>45283.467306527702</v>
      </c>
      <c r="B559" s="1" t="str">
        <f ca="1">IFERROR(__xludf.DUMMYFUNCTION("""COMPUTED_VALUE"""),"anu161965@gmail.com")</f>
        <v>anu161965@gmail.com</v>
      </c>
      <c r="C559" s="1" t="str">
        <f ca="1">IFERROR(__xludf.DUMMYFUNCTION("""COMPUTED_VALUE"""),"Anureeta awadh")</f>
        <v>Anureeta awadh</v>
      </c>
      <c r="D559" s="1">
        <f ca="1">IFERROR(__xludf.DUMMYFUNCTION("""COMPUTED_VALUE"""),8860314422)</f>
        <v>8860314422</v>
      </c>
      <c r="E559" s="1" t="str">
        <f ca="1">IFERROR(__xludf.DUMMYFUNCTION("""COMPUTED_VALUE"""),"Yes")</f>
        <v>Yes</v>
      </c>
      <c r="F559" s="1" t="str">
        <f ca="1">IFERROR(__xludf.DUMMYFUNCTION("""COMPUTED_VALUE"""),"हिन्दी")</f>
        <v>हिन्दी</v>
      </c>
      <c r="G559" s="1" t="str">
        <f ca="1">IFERROR(__xludf.DUMMYFUNCTION("""COMPUTED_VALUE"""),"वैज्ञानिक अध्यात्मवाद का प्रतिपादन")</f>
        <v>वैज्ञानिक अध्यात्मवाद का प्रतिपादन</v>
      </c>
      <c r="H559" s="1"/>
      <c r="I559" s="1"/>
      <c r="J559" s="1"/>
      <c r="K559" s="1"/>
      <c r="L559" s="1"/>
      <c r="M559" s="1"/>
      <c r="N559" s="1"/>
      <c r="O559" s="1"/>
      <c r="P559" s="1"/>
      <c r="Q559" s="1"/>
      <c r="R559" s="1"/>
      <c r="S559" s="1" t="str">
        <f ca="1">IFERROR(__xludf.DUMMYFUNCTION("""COMPUTED_VALUE"""),"वैज्ञानिक अध्यात्मवाद का प्रतिपादन")</f>
        <v>वैज्ञानिक अध्यात्मवाद का प्रतिपादन</v>
      </c>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f ca="1">IFERROR(__xludf.DUMMYFUNCTION("""COMPUTED_VALUE"""),24)</f>
        <v>24</v>
      </c>
      <c r="BX559" s="1">
        <f ca="1">IFERROR(__xludf.DUMMYFUNCTION("""COMPUTED_VALUE"""),18)</f>
        <v>18</v>
      </c>
      <c r="BY559" s="1">
        <f ca="1">IFERROR(__xludf.DUMMYFUNCTION("""COMPUTED_VALUE"""),7)</f>
        <v>7</v>
      </c>
      <c r="BZ559" s="1">
        <f ca="1">IFERROR(__xludf.DUMMYFUNCTION("""COMPUTED_VALUE"""),5)</f>
        <v>5</v>
      </c>
      <c r="CA559" s="1"/>
      <c r="CB559" s="1"/>
      <c r="CC559" s="1" t="str">
        <f ca="1">IFERROR(__xludf.DUMMYFUNCTION("""COMPUTED_VALUE"""),"स्वर्ग और नरक हमारी अपनी करनी के ही फल : Rare Book")</f>
        <v>स्वर्ग और नरक हमारी अपनी करनी के ही फल : Rare Book</v>
      </c>
      <c r="CD559" s="3" t="str">
        <f ca="1">IFERROR(__xludf.DUMMYFUNCTION("""COMPUTED_VALUE"""),"https://vicharkrantibooks.org/productdetail?book_name=HINF0286_SWARG_AUR_NARAK_HMARI_APANI_KARANI_KE_HI_PHAL_xxyyyy&amp;product_id=506")</f>
        <v>https://vicharkrantibooks.org/productdetail?book_name=HINF0286_SWARG_AUR_NARAK_HMARI_APANI_KARANI_KE_HI_PHAL_xxyyyy&amp;product_id=506</v>
      </c>
      <c r="CE559" s="1" t="str">
        <f ca="1">IFERROR(__xludf.DUMMYFUNCTION("""COMPUTED_VALUE"""),"Audiobook : स्वर्ग और नरक हमारी अपनी करनी के ही फल : Rare Book : anu161965@gmail.com : Recorded")</f>
        <v>Audiobook : स्वर्ग और नरक हमारी अपनी करनी के ही फल : Rare Book : anu161965@gmail.com : Recorded</v>
      </c>
      <c r="CF559" s="1" t="str">
        <f ca="1">IFERROR(__xludf.DUMMYFUNCTION("""COMPUTED_VALUE"""),"Audiobook : स्वर्ग और नरक हमारी अपनी करनी के ही फल : Rare Book : anu161965@gmail.com : Recorded")</f>
        <v>Audiobook : स्वर्ग और नरक हमारी अपनी करनी के ही फल : Rare Book : anu161965@gmail.com : Recorded</v>
      </c>
      <c r="CG559" s="1" t="str">
        <f ca="1">IFERROR(__xludf.DUMMYFUNCTION("""COMPUTED_VALUE"""),"Adarniya Anureeta awadh ji स्वर्ग और नरक हमारी अपनी करनी के ही फल : Rare Book : Allocated on 23-Dec-23 Contact Number  8860314422")</f>
        <v>Adarniya Anureeta awadh ji स्वर्ग और नरक हमारी अपनी करनी के ही फल : Rare Book : Allocated on 23-Dec-23 Contact Number  8860314422</v>
      </c>
      <c r="CH559" s="1" t="str">
        <f ca="1">IFERROR(__xludf.DUMMYFUNCTION("""COMPUTED_VALUE"""),"anu161965@gmail.com : स्वर्ग और नरक हमारी अपनी करनी के ही फल : Rare Book")</f>
        <v>anu161965@gmail.com : स्वर्ग और नरक हमारी अपनी करनी के ही फल : Rare Book</v>
      </c>
      <c r="CI559" s="5">
        <f ca="1">IFERROR(__xludf.DUMMYFUNCTION("""COMPUTED_VALUE"""),45283.4673065277)</f>
        <v>45283.467306527702</v>
      </c>
    </row>
    <row r="560" spans="1:87" x14ac:dyDescent="0.25">
      <c r="A560" s="5">
        <f ca="1">IFERROR(__xludf.DUMMYFUNCTION("""COMPUTED_VALUE"""),45283.2966518865)</f>
        <v>45283.2966518865</v>
      </c>
      <c r="B560" s="1" t="str">
        <f ca="1">IFERROR(__xludf.DUMMYFUNCTION("""COMPUTED_VALUE"""),"brphodmba@gmail.com")</f>
        <v>brphodmba@gmail.com</v>
      </c>
      <c r="C560" s="1" t="str">
        <f ca="1">IFERROR(__xludf.DUMMYFUNCTION("""COMPUTED_VALUE"""),"Dr Baidyanath Ram Prajapati ")</f>
        <v xml:space="preserve">Dr Baidyanath Ram Prajapati </v>
      </c>
      <c r="D560" s="1">
        <f ca="1">IFERROR(__xludf.DUMMYFUNCTION("""COMPUTED_VALUE"""),9811724821)</f>
        <v>9811724821</v>
      </c>
      <c r="E560" s="1" t="str">
        <f ca="1">IFERROR(__xludf.DUMMYFUNCTION("""COMPUTED_VALUE"""),"Yes")</f>
        <v>Yes</v>
      </c>
      <c r="F560" s="1" t="str">
        <f ca="1">IFERROR(__xludf.DUMMYFUNCTION("""COMPUTED_VALUE"""),"हिन्दी")</f>
        <v>हिन्दी</v>
      </c>
      <c r="G560" s="1" t="str">
        <f ca="1">IFERROR(__xludf.DUMMYFUNCTION("""COMPUTED_VALUE"""),"अध्यात्म, धर्म एवं दर्शन")</f>
        <v>अध्यात्म, धर्म एवं दर्शन</v>
      </c>
      <c r="H560" s="1" t="str">
        <f ca="1">IFERROR(__xludf.DUMMYFUNCTION("""COMPUTED_VALUE"""),"अध्यात्म, धर्म एवं आस्तिकता")</f>
        <v>अध्यात्म, धर्म एवं आस्तिकता</v>
      </c>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f ca="1">IFERROR(__xludf.DUMMYFUNCTION("""COMPUTED_VALUE"""),12)</f>
        <v>12</v>
      </c>
      <c r="BX560" s="1">
        <f ca="1">IFERROR(__xludf.DUMMYFUNCTION("""COMPUTED_VALUE"""),10)</f>
        <v>10</v>
      </c>
      <c r="BY560" s="1">
        <f ca="1">IFERROR(__xludf.DUMMYFUNCTION("""COMPUTED_VALUE"""),4)</f>
        <v>4</v>
      </c>
      <c r="BZ560" s="1">
        <f ca="1">IFERROR(__xludf.DUMMYFUNCTION("""COMPUTED_VALUE"""),0)</f>
        <v>0</v>
      </c>
      <c r="CA560" s="1"/>
      <c r="CB560" s="1"/>
      <c r="CC560" s="1" t="str">
        <f ca="1">IFERROR(__xludf.DUMMYFUNCTION("""COMPUTED_VALUE"""),"ज्ञानयोग, कर्मयोग, भक्तियोग की साधना : Rare Book")</f>
        <v>ज्ञानयोग, कर्मयोग, भक्तियोग की साधना : Rare Book</v>
      </c>
      <c r="CD560" s="3" t="str">
        <f ca="1">IFERROR(__xludf.DUMMYFUNCTION("""COMPUTED_VALUE"""),"https://vicharkrantibooks.org/productdetail?book_name=HINP0327_GYANAYOG_KARMAYOG_BHAKTIYOG_KI_SADHANA_xxyyyy&amp;product_id=892")</f>
        <v>https://vicharkrantibooks.org/productdetail?book_name=HINP0327_GYANAYOG_KARMAYOG_BHAKTIYOG_KI_SADHANA_xxyyyy&amp;product_id=892</v>
      </c>
      <c r="CE560" s="1" t="str">
        <f ca="1">IFERROR(__xludf.DUMMYFUNCTION("""COMPUTED_VALUE"""),"Audiobook : ज्ञानयोग, कर्मयोग, भक्तियोग की साधना : Rare Book : brphodmba@gmail.com : Recorded")</f>
        <v>Audiobook : ज्ञानयोग, कर्मयोग, भक्तियोग की साधना : Rare Book : brphodmba@gmail.com : Recorded</v>
      </c>
      <c r="CF560" s="1" t="str">
        <f ca="1">IFERROR(__xludf.DUMMYFUNCTION("""COMPUTED_VALUE"""),"Audiobook : ज्ञानयोग, कर्मयोग, भक्तियोग की साधना : Rare Book : brphodmba@gmail.com : Recorded")</f>
        <v>Audiobook : ज्ञानयोग, कर्मयोग, भक्तियोग की साधना : Rare Book : brphodmba@gmail.com : Recorded</v>
      </c>
      <c r="CG560" s="1" t="str">
        <f ca="1">IFERROR(__xludf.DUMMYFUNCTION("""COMPUTED_VALUE"""),"Adarniya Dr Baidyanath Ram Prajapati  ji ज्ञानयोग, कर्मयोग, भक्तियोग की साधना : Rare Book : Allocated on 23-Dec-23 Contact Number  9811724821")</f>
        <v>Adarniya Dr Baidyanath Ram Prajapati  ji ज्ञानयोग, कर्मयोग, भक्तियोग की साधना : Rare Book : Allocated on 23-Dec-23 Contact Number  9811724821</v>
      </c>
      <c r="CH560" s="1" t="str">
        <f ca="1">IFERROR(__xludf.DUMMYFUNCTION("""COMPUTED_VALUE"""),"brphodmba@gmail.com : ज्ञानयोग, कर्मयोग, भक्तियोग की साधना : Rare Book")</f>
        <v>brphodmba@gmail.com : ज्ञानयोग, कर्मयोग, भक्तियोग की साधना : Rare Book</v>
      </c>
      <c r="CI560" s="5">
        <f ca="1">IFERROR(__xludf.DUMMYFUNCTION("""COMPUTED_VALUE"""),45283.2966518865)</f>
        <v>45283.2966518865</v>
      </c>
    </row>
    <row r="561" spans="1:87" x14ac:dyDescent="0.25">
      <c r="A561" s="5">
        <f ca="1">IFERROR(__xludf.DUMMYFUNCTION("""COMPUTED_VALUE"""),45282.8792272337)</f>
        <v>45282.879227233701</v>
      </c>
      <c r="B561" s="1" t="str">
        <f ca="1">IFERROR(__xludf.DUMMYFUNCTION("""COMPUTED_VALUE"""),"purnima.bharadwaj.24@gmail.com")</f>
        <v>purnima.bharadwaj.24@gmail.com</v>
      </c>
      <c r="C561" s="1" t="str">
        <f ca="1">IFERROR(__xludf.DUMMYFUNCTION("""COMPUTED_VALUE"""),"पूर्णिमा भारद्वाज ")</f>
        <v xml:space="preserve">पूर्णिमा भारद्वाज </v>
      </c>
      <c r="D561" s="1">
        <f ca="1">IFERROR(__xludf.DUMMYFUNCTION("""COMPUTED_VALUE"""),9415389032)</f>
        <v>9415389032</v>
      </c>
      <c r="E561" s="1" t="str">
        <f ca="1">IFERROR(__xludf.DUMMYFUNCTION("""COMPUTED_VALUE"""),"Yes")</f>
        <v>Yes</v>
      </c>
      <c r="F561" s="1" t="str">
        <f ca="1">IFERROR(__xludf.DUMMYFUNCTION("""COMPUTED_VALUE"""),"हिन्दी")</f>
        <v>हिन्दी</v>
      </c>
      <c r="G561" s="1" t="str">
        <f ca="1">IFERROR(__xludf.DUMMYFUNCTION("""COMPUTED_VALUE"""),"युग द्रष्टा पं. श्रीराम शर्मा आचार्यजी")</f>
        <v>युग द्रष्टा पं. श्रीराम शर्मा आचार्यजी</v>
      </c>
      <c r="H561" s="1"/>
      <c r="I561" s="1"/>
      <c r="J561" s="1"/>
      <c r="K561" s="1"/>
      <c r="L561" s="1"/>
      <c r="M561" s="1"/>
      <c r="N561" s="1"/>
      <c r="O561" s="1"/>
      <c r="P561" s="1" t="str">
        <f ca="1">IFERROR(__xludf.DUMMYFUNCTION("""COMPUTED_VALUE"""),"युगॠषी की अमृतवाणी")</f>
        <v>युगॠषी की अमृतवाणी</v>
      </c>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f ca="1">IFERROR(__xludf.DUMMYFUNCTION("""COMPUTED_VALUE"""),43)</f>
        <v>43</v>
      </c>
      <c r="BX561" s="1">
        <f ca="1">IFERROR(__xludf.DUMMYFUNCTION("""COMPUTED_VALUE"""),36)</f>
        <v>36</v>
      </c>
      <c r="BY561" s="1">
        <f ca="1">IFERROR(__xludf.DUMMYFUNCTION("""COMPUTED_VALUE"""),9)</f>
        <v>9</v>
      </c>
      <c r="BZ561" s="1">
        <f ca="1">IFERROR(__xludf.DUMMYFUNCTION("""COMPUTED_VALUE"""),30)</f>
        <v>30</v>
      </c>
      <c r="CA561" s="1"/>
      <c r="CB561" s="1"/>
      <c r="CC561" s="1" t="str">
        <f ca="1">IFERROR(__xludf.DUMMYFUNCTION("""COMPUTED_VALUE"""),"महाशक्ति गायत्री : H_SC_35")</f>
        <v>महाशक्ति गायत्री : H_SC_35</v>
      </c>
      <c r="CD561" s="3" t="str">
        <f ca="1">IFERROR(__xludf.DUMMYFUNCTION("""COMPUTED_VALUE"""),"https://vicharkrantibooks.org/productdetail?book_name=HINP0477_MAHASHAKTI_GAYATRI_Re2012&amp;product_id=1042")</f>
        <v>https://vicharkrantibooks.org/productdetail?book_name=HINP0477_MAHASHAKTI_GAYATRI_Re2012&amp;product_id=1042</v>
      </c>
      <c r="CE561" s="1" t="str">
        <f ca="1">IFERROR(__xludf.DUMMYFUNCTION("""COMPUTED_VALUE"""),"Audiobook : महाशक्ति गायत्री : H_SC_35 : purnima.bharadwaj.24@gmail.com : Recorded")</f>
        <v>Audiobook : महाशक्ति गायत्री : H_SC_35 : purnima.bharadwaj.24@gmail.com : Recorded</v>
      </c>
      <c r="CF561" s="1" t="str">
        <f ca="1">IFERROR(__xludf.DUMMYFUNCTION("""COMPUTED_VALUE"""),"Audiobook : महाशक्ति गायत्री : H_SC_35 : purnima.bharadwaj.24@gmail.com : Recorded")</f>
        <v>Audiobook : महाशक्ति गायत्री : H_SC_35 : purnima.bharadwaj.24@gmail.com : Recorded</v>
      </c>
      <c r="CG561" s="1" t="str">
        <f ca="1">IFERROR(__xludf.DUMMYFUNCTION("""COMPUTED_VALUE"""),"Adarniya पूर्णिमा भारद्वाज  ji महाशक्ति गायत्री : H_SC_35 : Allocated on 22-Dec-23 Contact Number  9415389032")</f>
        <v>Adarniya पूर्णिमा भारद्वाज  ji महाशक्ति गायत्री : H_SC_35 : Allocated on 22-Dec-23 Contact Number  9415389032</v>
      </c>
      <c r="CH561" s="1" t="str">
        <f ca="1">IFERROR(__xludf.DUMMYFUNCTION("""COMPUTED_VALUE"""),"purnima.bharadwaj.24@gmail.com : महाशक्ति गायत्री : H_SC_35")</f>
        <v>purnima.bharadwaj.24@gmail.com : महाशक्ति गायत्री : H_SC_35</v>
      </c>
      <c r="CI561" s="5">
        <f ca="1">IFERROR(__xludf.DUMMYFUNCTION("""COMPUTED_VALUE"""),45282.8792272337)</f>
        <v>45282.879227233701</v>
      </c>
    </row>
    <row r="562" spans="1:87" x14ac:dyDescent="0.25">
      <c r="A562" s="5">
        <f ca="1">IFERROR(__xludf.DUMMYFUNCTION("""COMPUTED_VALUE"""),45282.2786551851)</f>
        <v>45282.278655185102</v>
      </c>
      <c r="B562" s="1" t="str">
        <f ca="1">IFERROR(__xludf.DUMMYFUNCTION("""COMPUTED_VALUE"""),"purnima.bharadwaj.24@gmail.com")</f>
        <v>purnima.bharadwaj.24@gmail.com</v>
      </c>
      <c r="C562" s="1" t="str">
        <f ca="1">IFERROR(__xludf.DUMMYFUNCTION("""COMPUTED_VALUE"""),"पूर्णिमा भारद्वाज ")</f>
        <v xml:space="preserve">पूर्णिमा भारद्वाज </v>
      </c>
      <c r="D562" s="1">
        <f ca="1">IFERROR(__xludf.DUMMYFUNCTION("""COMPUTED_VALUE"""),9415389032)</f>
        <v>9415389032</v>
      </c>
      <c r="E562" s="1" t="str">
        <f ca="1">IFERROR(__xludf.DUMMYFUNCTION("""COMPUTED_VALUE"""),"Yes")</f>
        <v>Yes</v>
      </c>
      <c r="F562" s="1" t="str">
        <f ca="1">IFERROR(__xludf.DUMMYFUNCTION("""COMPUTED_VALUE"""),"हिन्दी")</f>
        <v>हिन्दी</v>
      </c>
      <c r="G562" s="1" t="str">
        <f ca="1">IFERROR(__xludf.DUMMYFUNCTION("""COMPUTED_VALUE"""),"युग द्रष्टा पं. श्रीराम शर्मा आचार्यजी")</f>
        <v>युग द्रष्टा पं. श्रीराम शर्मा आचार्यजी</v>
      </c>
      <c r="H562" s="1"/>
      <c r="I562" s="1"/>
      <c r="J562" s="1"/>
      <c r="K562" s="1"/>
      <c r="L562" s="1"/>
      <c r="M562" s="1"/>
      <c r="N562" s="1"/>
      <c r="O562" s="1"/>
      <c r="P562" s="1" t="str">
        <f ca="1">IFERROR(__xludf.DUMMYFUNCTION("""COMPUTED_VALUE"""),"युगॠषी की अमृतवाणी")</f>
        <v>युगॠषी की अमृतवाणी</v>
      </c>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f ca="1">IFERROR(__xludf.DUMMYFUNCTION("""COMPUTED_VALUE"""),43)</f>
        <v>43</v>
      </c>
      <c r="BX562" s="1">
        <f ca="1">IFERROR(__xludf.DUMMYFUNCTION("""COMPUTED_VALUE"""),36)</f>
        <v>36</v>
      </c>
      <c r="BY562" s="1">
        <f ca="1">IFERROR(__xludf.DUMMYFUNCTION("""COMPUTED_VALUE"""),9)</f>
        <v>9</v>
      </c>
      <c r="BZ562" s="1">
        <f ca="1">IFERROR(__xludf.DUMMYFUNCTION("""COMPUTED_VALUE"""),30)</f>
        <v>30</v>
      </c>
      <c r="CA562" s="1"/>
      <c r="CB562" s="1"/>
      <c r="CC562" s="1" t="str">
        <f ca="1">IFERROR(__xludf.DUMMYFUNCTION("""COMPUTED_VALUE"""),"विवाह क्या उन्माद है : H_SN_69")</f>
        <v>विवाह क्या उन्माद है : H_SN_69</v>
      </c>
      <c r="CD562" s="3" t="str">
        <f ca="1">IFERROR(__xludf.DUMMYFUNCTION("""COMPUTED_VALUE"""),"https://vicharkrantibooks.org/productdetail?book_name=HINP1076_VIVAH_KYA_UNMAD_HAI_xxyyyy&amp;product_id=1641")</f>
        <v>https://vicharkrantibooks.org/productdetail?book_name=HINP1076_VIVAH_KYA_UNMAD_HAI_xxyyyy&amp;product_id=1641</v>
      </c>
      <c r="CE562" s="1" t="str">
        <f ca="1">IFERROR(__xludf.DUMMYFUNCTION("""COMPUTED_VALUE"""),"Audiobook : विवाह क्या उन्माद है : H_SN_69 : purnima.bharadwaj.24@gmail.com : Recorded")</f>
        <v>Audiobook : विवाह क्या उन्माद है : H_SN_69 : purnima.bharadwaj.24@gmail.com : Recorded</v>
      </c>
      <c r="CF562" s="1" t="str">
        <f ca="1">IFERROR(__xludf.DUMMYFUNCTION("""COMPUTED_VALUE"""),"Audiobook : विवाह क्या उन्माद है : H_SN_69 : purnima.bharadwaj.24@gmail.com : Recorded")</f>
        <v>Audiobook : विवाह क्या उन्माद है : H_SN_69 : purnima.bharadwaj.24@gmail.com : Recorded</v>
      </c>
      <c r="CG562" s="1" t="str">
        <f ca="1">IFERROR(__xludf.DUMMYFUNCTION("""COMPUTED_VALUE"""),"Adarniya पूर्णिमा भारद्वाज  ji विवाह क्या उन्माद है : H_SN_69 : Allocated on 22-Dec-23 Contact Number  9415389032")</f>
        <v>Adarniya पूर्णिमा भारद्वाज  ji विवाह क्या उन्माद है : H_SN_69 : Allocated on 22-Dec-23 Contact Number  9415389032</v>
      </c>
      <c r="CH562" s="1" t="str">
        <f ca="1">IFERROR(__xludf.DUMMYFUNCTION("""COMPUTED_VALUE"""),"purnima.bharadwaj.24@gmail.com : विवाह क्या उन्माद है : H_SN_69")</f>
        <v>purnima.bharadwaj.24@gmail.com : विवाह क्या उन्माद है : H_SN_69</v>
      </c>
      <c r="CI562" s="5">
        <f ca="1">IFERROR(__xludf.DUMMYFUNCTION("""COMPUTED_VALUE"""),45282.2786551851)</f>
        <v>45282.278655185102</v>
      </c>
    </row>
    <row r="563" spans="1:87" x14ac:dyDescent="0.25">
      <c r="A563" s="5">
        <f ca="1">IFERROR(__xludf.DUMMYFUNCTION("""COMPUTED_VALUE"""),45281.6794273263)</f>
        <v>45281.6794273263</v>
      </c>
      <c r="B563" s="1" t="str">
        <f ca="1">IFERROR(__xludf.DUMMYFUNCTION("""COMPUTED_VALUE"""),"anu161965@gmail.com")</f>
        <v>anu161965@gmail.com</v>
      </c>
      <c r="C563" s="1" t="str">
        <f ca="1">IFERROR(__xludf.DUMMYFUNCTION("""COMPUTED_VALUE"""),"Anureeta awadh")</f>
        <v>Anureeta awadh</v>
      </c>
      <c r="D563" s="1">
        <f ca="1">IFERROR(__xludf.DUMMYFUNCTION("""COMPUTED_VALUE"""),8860314422)</f>
        <v>8860314422</v>
      </c>
      <c r="E563" s="1" t="str">
        <f ca="1">IFERROR(__xludf.DUMMYFUNCTION("""COMPUTED_VALUE"""),"Yes")</f>
        <v>Yes</v>
      </c>
      <c r="F563" s="1" t="str">
        <f ca="1">IFERROR(__xludf.DUMMYFUNCTION("""COMPUTED_VALUE"""),"हिन्दी")</f>
        <v>हिन्दी</v>
      </c>
      <c r="G563" s="1" t="str">
        <f ca="1">IFERROR(__xludf.DUMMYFUNCTION("""COMPUTED_VALUE"""),"वैज्ञानिक अध्यात्मवाद का प्रतिपादन")</f>
        <v>वैज्ञानिक अध्यात्मवाद का प्रतिपादन</v>
      </c>
      <c r="H563" s="1"/>
      <c r="I563" s="1"/>
      <c r="J563" s="1"/>
      <c r="K563" s="1"/>
      <c r="L563" s="1"/>
      <c r="M563" s="1"/>
      <c r="N563" s="1"/>
      <c r="O563" s="1"/>
      <c r="P563" s="1"/>
      <c r="Q563" s="1"/>
      <c r="R563" s="1"/>
      <c r="S563" s="1" t="str">
        <f ca="1">IFERROR(__xludf.DUMMYFUNCTION("""COMPUTED_VALUE"""),"वैज्ञानिक अध्यात्मवाद का प्रतिपादन")</f>
        <v>वैज्ञानिक अध्यात्मवाद का प्रतिपादन</v>
      </c>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f ca="1">IFERROR(__xludf.DUMMYFUNCTION("""COMPUTED_VALUE"""),24)</f>
        <v>24</v>
      </c>
      <c r="BX563" s="1">
        <f ca="1">IFERROR(__xludf.DUMMYFUNCTION("""COMPUTED_VALUE"""),18)</f>
        <v>18</v>
      </c>
      <c r="BY563" s="1">
        <f ca="1">IFERROR(__xludf.DUMMYFUNCTION("""COMPUTED_VALUE"""),7)</f>
        <v>7</v>
      </c>
      <c r="BZ563" s="1">
        <f ca="1">IFERROR(__xludf.DUMMYFUNCTION("""COMPUTED_VALUE"""),5)</f>
        <v>5</v>
      </c>
      <c r="CA563" s="1"/>
      <c r="CB563" s="1"/>
      <c r="CC563" s="1" t="str">
        <f ca="1">IFERROR(__xludf.DUMMYFUNCTION("""COMPUTED_VALUE"""),"काय विध्युत के ऊर्जा स्त्रोत को नष्ट न होने दें : Rare Book")</f>
        <v>काय विध्युत के ऊर्जा स्त्रोत को नष्ट न होने दें : Rare Book</v>
      </c>
      <c r="CD563" s="3" t="str">
        <f ca="1">IFERROR(__xludf.DUMMYFUNCTION("""COMPUTED_VALUE"""),"https://vicharkrantibooks.org/productdetail?product_id=368")</f>
        <v>https://vicharkrantibooks.org/productdetail?product_id=368</v>
      </c>
      <c r="CE563" s="1" t="str">
        <f ca="1">IFERROR(__xludf.DUMMYFUNCTION("""COMPUTED_VALUE"""),"Audiobook : काय विध्युत के ऊर्जा स्त्रोत को नष्ट न होने दें : Rare Book : anu161965@gmail.com : Recorded")</f>
        <v>Audiobook : काय विध्युत के ऊर्जा स्त्रोत को नष्ट न होने दें : Rare Book : anu161965@gmail.com : Recorded</v>
      </c>
      <c r="CF563" s="1" t="str">
        <f ca="1">IFERROR(__xludf.DUMMYFUNCTION("""COMPUTED_VALUE"""),"Audiobook : काय विध्युत के ऊर्जा स्त्रोत को नष्ट न होने दें : Rare Book : anu161965@gmail.com : Recorded")</f>
        <v>Audiobook : काय विध्युत के ऊर्जा स्त्रोत को नष्ट न होने दें : Rare Book : anu161965@gmail.com : Recorded</v>
      </c>
      <c r="CG563" s="1" t="str">
        <f ca="1">IFERROR(__xludf.DUMMYFUNCTION("""COMPUTED_VALUE"""),"Adarniya Anureeta awadh ji काय विध्युत के ऊर्जा स्त्रोत को नष्ट न होने दें : Rare Book : Allocated on 21-Dec-23 Contact Number  8860314422")</f>
        <v>Adarniya Anureeta awadh ji काय विध्युत के ऊर्जा स्त्रोत को नष्ट न होने दें : Rare Book : Allocated on 21-Dec-23 Contact Number  8860314422</v>
      </c>
      <c r="CH563" s="1" t="str">
        <f ca="1">IFERROR(__xludf.DUMMYFUNCTION("""COMPUTED_VALUE"""),"anu161965@gmail.com : काय विध्युत के ऊर्जा स्त्रोत को नष्ट न होने दें : Rare Book")</f>
        <v>anu161965@gmail.com : काय विध्युत के ऊर्जा स्त्रोत को नष्ट न होने दें : Rare Book</v>
      </c>
      <c r="CI563" s="5">
        <f ca="1">IFERROR(__xludf.DUMMYFUNCTION("""COMPUTED_VALUE"""),45281.6794273263)</f>
        <v>45281.6794273263</v>
      </c>
    </row>
    <row r="564" spans="1:87" x14ac:dyDescent="0.25">
      <c r="A564" s="5">
        <f ca="1">IFERROR(__xludf.DUMMYFUNCTION("""COMPUTED_VALUE"""),45280.8480135763)</f>
        <v>45280.848013576302</v>
      </c>
      <c r="B564" s="1" t="str">
        <f ca="1">IFERROR(__xludf.DUMMYFUNCTION("""COMPUTED_VALUE"""),"shivangijyoti@gmail.com")</f>
        <v>shivangijyoti@gmail.com</v>
      </c>
      <c r="C564" s="1" t="str">
        <f ca="1">IFERROR(__xludf.DUMMYFUNCTION("""COMPUTED_VALUE"""),"Jyoti Shrivastava ")</f>
        <v xml:space="preserve">Jyoti Shrivastava </v>
      </c>
      <c r="D564" s="1">
        <f ca="1">IFERROR(__xludf.DUMMYFUNCTION("""COMPUTED_VALUE"""),9406759903)</f>
        <v>9406759903</v>
      </c>
      <c r="E564" s="1" t="str">
        <f ca="1">IFERROR(__xludf.DUMMYFUNCTION("""COMPUTED_VALUE"""),"Yes")</f>
        <v>Yes</v>
      </c>
      <c r="F564" s="1" t="str">
        <f ca="1">IFERROR(__xludf.DUMMYFUNCTION("""COMPUTED_VALUE"""),"हिन्दी")</f>
        <v>हिन्दी</v>
      </c>
      <c r="G564" s="1" t="str">
        <f ca="1">IFERROR(__xludf.DUMMYFUNCTION("""COMPUTED_VALUE"""),"युग द्रष्टा पं. श्रीराम शर्मा आचार्यजी")</f>
        <v>युग द्रष्टा पं. श्रीराम शर्मा आचार्यजी</v>
      </c>
      <c r="H564" s="1"/>
      <c r="I564" s="1"/>
      <c r="J564" s="1"/>
      <c r="K564" s="1"/>
      <c r="L564" s="1"/>
      <c r="M564" s="1"/>
      <c r="N564" s="1"/>
      <c r="O564" s="1"/>
      <c r="P564" s="1" t="str">
        <f ca="1">IFERROR(__xludf.DUMMYFUNCTION("""COMPUTED_VALUE"""),"युगॠषी की अमृतवाणी")</f>
        <v>युगॠषी की अमृतवाणी</v>
      </c>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f ca="1">IFERROR(__xludf.DUMMYFUNCTION("""COMPUTED_VALUE"""),6)</f>
        <v>6</v>
      </c>
      <c r="BX564" s="1">
        <f ca="1">IFERROR(__xludf.DUMMYFUNCTION("""COMPUTED_VALUE"""),1)</f>
        <v>1</v>
      </c>
      <c r="BY564" s="1">
        <f ca="1">IFERROR(__xludf.DUMMYFUNCTION("""COMPUTED_VALUE"""),5)</f>
        <v>5</v>
      </c>
      <c r="BZ564" s="1">
        <f ca="1">IFERROR(__xludf.DUMMYFUNCTION("""COMPUTED_VALUE"""),0)</f>
        <v>0</v>
      </c>
      <c r="CA564" s="1"/>
      <c r="CB564" s="1"/>
      <c r="CC564" s="1" t="str">
        <f ca="1">IFERROR(__xludf.DUMMYFUNCTION("""COMPUTED_VALUE"""),"ज्ञानयोग कर्मयोग भक्तियोग : Rare Book")</f>
        <v>ज्ञानयोग कर्मयोग भक्तियोग : Rare Book</v>
      </c>
      <c r="CD564" s="3" t="str">
        <f ca="1">IFERROR(__xludf.DUMMYFUNCTION("""COMPUTED_VALUE"""),"https://vicharkrantibooks.org/productdetail?book_name=HINP1109_GYANAYOG_KARMAYOG_BHAKTIYOG_xx1979&amp;product_id=1674")</f>
        <v>https://vicharkrantibooks.org/productdetail?book_name=HINP1109_GYANAYOG_KARMAYOG_BHAKTIYOG_xx1979&amp;product_id=1674</v>
      </c>
      <c r="CE564" s="1" t="str">
        <f ca="1">IFERROR(__xludf.DUMMYFUNCTION("""COMPUTED_VALUE"""),"Audiobook : ज्ञानयोग कर्मयोग भक्तियोग : Rare Book : shivangijyoti@gmail.com : Recorded")</f>
        <v>Audiobook : ज्ञानयोग कर्मयोग भक्तियोग : Rare Book : shivangijyoti@gmail.com : Recorded</v>
      </c>
      <c r="CF564" s="1" t="str">
        <f ca="1">IFERROR(__xludf.DUMMYFUNCTION("""COMPUTED_VALUE"""),"#N/A")</f>
        <v>#N/A</v>
      </c>
      <c r="CG564" s="1" t="str">
        <f ca="1">IFERROR(__xludf.DUMMYFUNCTION("""COMPUTED_VALUE"""),"Adarniya Jyoti Shrivastava  ji ज्ञानयोग कर्मयोग भक्तियोग : Rare Book : Allocated on 20-Dec-23 Contact Number  9406759903")</f>
        <v>Adarniya Jyoti Shrivastava  ji ज्ञानयोग कर्मयोग भक्तियोग : Rare Book : Allocated on 20-Dec-23 Contact Number  9406759903</v>
      </c>
      <c r="CH564" s="1" t="str">
        <f ca="1">IFERROR(__xludf.DUMMYFUNCTION("""COMPUTED_VALUE"""),"shivangijyoti@gmail.com : ज्ञानयोग कर्मयोग भक्तियोग : Rare Book")</f>
        <v>shivangijyoti@gmail.com : ज्ञानयोग कर्मयोग भक्तियोग : Rare Book</v>
      </c>
      <c r="CI564" s="5">
        <f ca="1">IFERROR(__xludf.DUMMYFUNCTION("""COMPUTED_VALUE"""),45280.8480135763)</f>
        <v>45280.848013576302</v>
      </c>
    </row>
    <row r="565" spans="1:87" x14ac:dyDescent="0.25">
      <c r="A565" s="5">
        <f ca="1">IFERROR(__xludf.DUMMYFUNCTION("""COMPUTED_VALUE"""),45280.5062309027)</f>
        <v>45280.506230902698</v>
      </c>
      <c r="B565" s="1" t="str">
        <f ca="1">IFERROR(__xludf.DUMMYFUNCTION("""COMPUTED_VALUE"""),"ashish_in_nagpur@yahoo.com")</f>
        <v>ashish_in_nagpur@yahoo.com</v>
      </c>
      <c r="C565" s="1" t="str">
        <f ca="1">IFERROR(__xludf.DUMMYFUNCTION("""COMPUTED_VALUE"""),"Ashish Shrivastava")</f>
        <v>Ashish Shrivastava</v>
      </c>
      <c r="D565" s="1">
        <f ca="1">IFERROR(__xludf.DUMMYFUNCTION("""COMPUTED_VALUE"""),8275970236)</f>
        <v>8275970236</v>
      </c>
      <c r="E565" s="1" t="str">
        <f ca="1">IFERROR(__xludf.DUMMYFUNCTION("""COMPUTED_VALUE"""),"Yes")</f>
        <v>Yes</v>
      </c>
      <c r="F565" s="1" t="str">
        <f ca="1">IFERROR(__xludf.DUMMYFUNCTION("""COMPUTED_VALUE"""),"हिन्दी")</f>
        <v>हिन्दी</v>
      </c>
      <c r="G565" s="1" t="str">
        <f ca="1">IFERROR(__xludf.DUMMYFUNCTION("""COMPUTED_VALUE"""),"वैज्ञानिक अध्यात्मवाद का प्रतिपादन")</f>
        <v>वैज्ञानिक अध्यात्मवाद का प्रतिपादन</v>
      </c>
      <c r="H565" s="1"/>
      <c r="I565" s="1"/>
      <c r="J565" s="1"/>
      <c r="K565" s="1"/>
      <c r="L565" s="1"/>
      <c r="M565" s="1"/>
      <c r="N565" s="1"/>
      <c r="O565" s="1"/>
      <c r="P565" s="1"/>
      <c r="Q565" s="1"/>
      <c r="R565" s="1"/>
      <c r="S565" s="1" t="str">
        <f ca="1">IFERROR(__xludf.DUMMYFUNCTION("""COMPUTED_VALUE"""),"वैज्ञानिक अध्यात्मवाद का प्रतिपादन")</f>
        <v>वैज्ञानिक अध्यात्मवाद का प्रतिपादन</v>
      </c>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f ca="1">IFERROR(__xludf.DUMMYFUNCTION("""COMPUTED_VALUE"""),5)</f>
        <v>5</v>
      </c>
      <c r="BX565" s="1">
        <f ca="1">IFERROR(__xludf.DUMMYFUNCTION("""COMPUTED_VALUE"""),3)</f>
        <v>3</v>
      </c>
      <c r="BY565" s="1">
        <f ca="1">IFERROR(__xludf.DUMMYFUNCTION("""COMPUTED_VALUE"""),2)</f>
        <v>2</v>
      </c>
      <c r="BZ565" s="1">
        <f ca="1">IFERROR(__xludf.DUMMYFUNCTION("""COMPUTED_VALUE"""),1)</f>
        <v>1</v>
      </c>
      <c r="CA565" s="1"/>
      <c r="CB565" s="1"/>
      <c r="CC565" s="1" t="str">
        <f ca="1">IFERROR(__xludf.DUMMYFUNCTION("""COMPUTED_VALUE"""),"मानव चेतना में प्राण चेतना़ का कमाल : Rare Book")</f>
        <v>मानव चेतना में प्राण चेतना़ का कमाल : Rare Book</v>
      </c>
      <c r="CD565" s="3" t="str">
        <f ca="1">IFERROR(__xludf.DUMMYFUNCTION("""COMPUTED_VALUE"""),"https://vicharkrantibooks.org/productdetail?book_name=HINP0499_MANAV_CHETANA_MEIN_PRAN_CHETANA_KA_KAMAL_xxyyyy&amp;product_id=1064")</f>
        <v>https://vicharkrantibooks.org/productdetail?book_name=HINP0499_MANAV_CHETANA_MEIN_PRAN_CHETANA_KA_KAMAL_xxyyyy&amp;product_id=1064</v>
      </c>
      <c r="CE565" s="1" t="str">
        <f ca="1">IFERROR(__xludf.DUMMYFUNCTION("""COMPUTED_VALUE"""),"Audiobook : मानव चेतना में प्राण चेतना़ का कमाल : Rare Book : ashish_in_nagpur@yahoo.com : Recorded")</f>
        <v>Audiobook : मानव चेतना में प्राण चेतना़ का कमाल : Rare Book : ashish_in_nagpur@yahoo.com : Recorded</v>
      </c>
      <c r="CF565" s="1" t="str">
        <f ca="1">IFERROR(__xludf.DUMMYFUNCTION("""COMPUTED_VALUE"""),"#N/A")</f>
        <v>#N/A</v>
      </c>
      <c r="CG565" s="1" t="str">
        <f ca="1">IFERROR(__xludf.DUMMYFUNCTION("""COMPUTED_VALUE"""),"Adarniya Ashish Shrivastava ji मानव चेतना में प्राण चेतना़ का कमाल : Rare Book : Allocated on 20-Dec-23 Contact Number  8275970236")</f>
        <v>Adarniya Ashish Shrivastava ji मानव चेतना में प्राण चेतना़ का कमाल : Rare Book : Allocated on 20-Dec-23 Contact Number  8275970236</v>
      </c>
      <c r="CH565" s="1" t="str">
        <f ca="1">IFERROR(__xludf.DUMMYFUNCTION("""COMPUTED_VALUE"""),"ashish_in_nagpur@yahoo.com : मानव चेतना में प्राण चेतना़ का कमाल : Rare Book")</f>
        <v>ashish_in_nagpur@yahoo.com : मानव चेतना में प्राण चेतना़ का कमाल : Rare Book</v>
      </c>
      <c r="CI565" s="5">
        <f ca="1">IFERROR(__xludf.DUMMYFUNCTION("""COMPUTED_VALUE"""),45280.5062309027)</f>
        <v>45280.506230902698</v>
      </c>
    </row>
    <row r="566" spans="1:87" x14ac:dyDescent="0.25">
      <c r="A566" s="5">
        <f ca="1">IFERROR(__xludf.DUMMYFUNCTION("""COMPUTED_VALUE"""),45279.967840625)</f>
        <v>45279.967840625002</v>
      </c>
      <c r="B566" s="1" t="str">
        <f ca="1">IFERROR(__xludf.DUMMYFUNCTION("""COMPUTED_VALUE"""),"anu161965@gmail.com")</f>
        <v>anu161965@gmail.com</v>
      </c>
      <c r="C566" s="1" t="str">
        <f ca="1">IFERROR(__xludf.DUMMYFUNCTION("""COMPUTED_VALUE"""),"Anureeta awadh")</f>
        <v>Anureeta awadh</v>
      </c>
      <c r="D566" s="1">
        <f ca="1">IFERROR(__xludf.DUMMYFUNCTION("""COMPUTED_VALUE"""),8860314422)</f>
        <v>8860314422</v>
      </c>
      <c r="E566" s="1" t="str">
        <f ca="1">IFERROR(__xludf.DUMMYFUNCTION("""COMPUTED_VALUE"""),"Yes")</f>
        <v>Yes</v>
      </c>
      <c r="F566" s="1" t="str">
        <f ca="1">IFERROR(__xludf.DUMMYFUNCTION("""COMPUTED_VALUE"""),"हिन्दी")</f>
        <v>हिन्दी</v>
      </c>
      <c r="G566" s="1" t="str">
        <f ca="1">IFERROR(__xludf.DUMMYFUNCTION("""COMPUTED_VALUE"""),"वैज्ञानिक अध्यात्मवाद का प्रतिपादन")</f>
        <v>वैज्ञानिक अध्यात्मवाद का प्रतिपादन</v>
      </c>
      <c r="H566" s="1"/>
      <c r="I566" s="1"/>
      <c r="J566" s="1"/>
      <c r="K566" s="1"/>
      <c r="L566" s="1"/>
      <c r="M566" s="1"/>
      <c r="N566" s="1"/>
      <c r="O566" s="1"/>
      <c r="P566" s="1"/>
      <c r="Q566" s="1"/>
      <c r="R566" s="1"/>
      <c r="S566" s="1" t="str">
        <f ca="1">IFERROR(__xludf.DUMMYFUNCTION("""COMPUTED_VALUE"""),"वैज्ञानिक अध्यात्मवाद का प्रतिपादन")</f>
        <v>वैज्ञानिक अध्यात्मवाद का प्रतिपादन</v>
      </c>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f ca="1">IFERROR(__xludf.DUMMYFUNCTION("""COMPUTED_VALUE"""),24)</f>
        <v>24</v>
      </c>
      <c r="BX566" s="1">
        <f ca="1">IFERROR(__xludf.DUMMYFUNCTION("""COMPUTED_VALUE"""),18)</f>
        <v>18</v>
      </c>
      <c r="BY566" s="1">
        <f ca="1">IFERROR(__xludf.DUMMYFUNCTION("""COMPUTED_VALUE"""),7)</f>
        <v>7</v>
      </c>
      <c r="BZ566" s="1">
        <f ca="1">IFERROR(__xludf.DUMMYFUNCTION("""COMPUTED_VALUE"""),5)</f>
        <v>5</v>
      </c>
      <c r="CA566" s="1"/>
      <c r="CB566" s="1"/>
      <c r="CC566" s="1" t="str">
        <f ca="1">IFERROR(__xludf.DUMMYFUNCTION("""COMPUTED_VALUE"""),"विज्ञान धर्म का विरोधी नहीं हो सकता : Rare Book")</f>
        <v>विज्ञान धर्म का विरोधी नहीं हो सकता : Rare Book</v>
      </c>
      <c r="CD566" s="3" t="str">
        <f ca="1">IFERROR(__xludf.DUMMYFUNCTION("""COMPUTED_VALUE"""),"https://vicharkrantibooks.org/productdetail?book_name=HINP0971_VIGYAN_DHARM_KA_VIRODHI_NAHI_HO_SAKATA_xx1981&amp;product_id=1536")</f>
        <v>https://vicharkrantibooks.org/productdetail?book_name=HINP0971_VIGYAN_DHARM_KA_VIRODHI_NAHI_HO_SAKATA_xx1981&amp;product_id=1536</v>
      </c>
      <c r="CE566" s="1" t="str">
        <f ca="1">IFERROR(__xludf.DUMMYFUNCTION("""COMPUTED_VALUE"""),"Audiobook : विज्ञान धर्म का विरोधी नहीं हो सकता : Rare Book : anu161965@gmail.com : Recorded")</f>
        <v>Audiobook : विज्ञान धर्म का विरोधी नहीं हो सकता : Rare Book : anu161965@gmail.com : Recorded</v>
      </c>
      <c r="CF566" s="1" t="str">
        <f ca="1">IFERROR(__xludf.DUMMYFUNCTION("""COMPUTED_VALUE"""),"Audiobook : विज्ञान धर्म का विरोधी नहीं हो सकता : Rare Book : anu161965@gmail.com : Recorded")</f>
        <v>Audiobook : विज्ञान धर्म का विरोधी नहीं हो सकता : Rare Book : anu161965@gmail.com : Recorded</v>
      </c>
      <c r="CG566" s="1" t="str">
        <f ca="1">IFERROR(__xludf.DUMMYFUNCTION("""COMPUTED_VALUE"""),"Adarniya Anureeta awadh ji विज्ञान धर्म का विरोधी नहीं हो सकता : Rare Book : Allocated on 19-Dec-23 Contact Number  8860314422")</f>
        <v>Adarniya Anureeta awadh ji विज्ञान धर्म का विरोधी नहीं हो सकता : Rare Book : Allocated on 19-Dec-23 Contact Number  8860314422</v>
      </c>
      <c r="CH566" s="1" t="str">
        <f ca="1">IFERROR(__xludf.DUMMYFUNCTION("""COMPUTED_VALUE"""),"anu161965@gmail.com : विज्ञान धर्म का विरोधी नहीं हो सकता : Rare Book")</f>
        <v>anu161965@gmail.com : विज्ञान धर्म का विरोधी नहीं हो सकता : Rare Book</v>
      </c>
      <c r="CI566" s="5">
        <f ca="1">IFERROR(__xludf.DUMMYFUNCTION("""COMPUTED_VALUE"""),45279.967840625)</f>
        <v>45279.967840625002</v>
      </c>
    </row>
    <row r="567" spans="1:87" x14ac:dyDescent="0.25">
      <c r="A567" s="5">
        <f ca="1">IFERROR(__xludf.DUMMYFUNCTION("""COMPUTED_VALUE"""),45279.6458075578)</f>
        <v>45279.645807557798</v>
      </c>
      <c r="B567" s="1" t="str">
        <f ca="1">IFERROR(__xludf.DUMMYFUNCTION("""COMPUTED_VALUE"""),"shweta.r.gupta79@gmail.com")</f>
        <v>shweta.r.gupta79@gmail.com</v>
      </c>
      <c r="C567" s="1" t="str">
        <f ca="1">IFERROR(__xludf.DUMMYFUNCTION("""COMPUTED_VALUE"""),"Shweta Gupta")</f>
        <v>Shweta Gupta</v>
      </c>
      <c r="D567" s="1">
        <f ca="1">IFERROR(__xludf.DUMMYFUNCTION("""COMPUTED_VALUE"""),8369516724)</f>
        <v>8369516724</v>
      </c>
      <c r="E567" s="1" t="str">
        <f ca="1">IFERROR(__xludf.DUMMYFUNCTION("""COMPUTED_VALUE"""),"Yes")</f>
        <v>Yes</v>
      </c>
      <c r="F567" s="1" t="str">
        <f ca="1">IFERROR(__xludf.DUMMYFUNCTION("""COMPUTED_VALUE"""),"हिन्दी")</f>
        <v>हिन्दी</v>
      </c>
      <c r="G567" s="1" t="str">
        <f ca="1">IFERROR(__xludf.DUMMYFUNCTION("""COMPUTED_VALUE"""),"व्यक्ति निर्माण, युवा/विद्यार्थी एवं शिक्षक")</f>
        <v>व्यक्ति निर्माण, युवा/विद्यार्थी एवं शिक्षक</v>
      </c>
      <c r="H567" s="1"/>
      <c r="I567" s="1"/>
      <c r="J567" s="1"/>
      <c r="K567" s="1"/>
      <c r="L567" s="1"/>
      <c r="M567" s="1"/>
      <c r="N567" s="1"/>
      <c r="O567" s="1"/>
      <c r="P567" s="1"/>
      <c r="Q567" s="1"/>
      <c r="R567" s="1"/>
      <c r="S567" s="1"/>
      <c r="T567" s="1" t="str">
        <f ca="1">IFERROR(__xludf.DUMMYFUNCTION("""COMPUTED_VALUE"""),"व्यक्तित्व परिष्कार")</f>
        <v>व्यक्तित्व परिष्कार</v>
      </c>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f ca="1">IFERROR(__xludf.DUMMYFUNCTION("""COMPUTED_VALUE"""),31)</f>
        <v>31</v>
      </c>
      <c r="BX567" s="1">
        <f ca="1">IFERROR(__xludf.DUMMYFUNCTION("""COMPUTED_VALUE"""),45)</f>
        <v>45</v>
      </c>
      <c r="BY567" s="1">
        <f ca="1">IFERROR(__xludf.DUMMYFUNCTION("""COMPUTED_VALUE"""),3)</f>
        <v>3</v>
      </c>
      <c r="BZ567" s="1">
        <f ca="1">IFERROR(__xludf.DUMMYFUNCTION("""COMPUTED_VALUE"""),40)</f>
        <v>40</v>
      </c>
      <c r="CA567" s="1"/>
      <c r="CB567" s="1"/>
      <c r="CC567" s="1" t="str">
        <f ca="1">IFERROR(__xludf.DUMMYFUNCTION("""COMPUTED_VALUE"""),"सफलता की जननी संकल्प शक्ति : H_PP_33")</f>
        <v>सफलता की जननी संकल्प शक्ति : H_PP_33</v>
      </c>
      <c r="CD567" s="3" t="str">
        <f ca="1">IFERROR(__xludf.DUMMYFUNCTION("""COMPUTED_VALUE"""),"https://vicharkrantibooks.org/productdetail?book_name=HINP0810_SAPHALATA_KI_JANANI_SANKALP_SHAKTI_xxyyyy&amp;product_id=1375")</f>
        <v>https://vicharkrantibooks.org/productdetail?book_name=HINP0810_SAPHALATA_KI_JANANI_SANKALP_SHAKTI_xxyyyy&amp;product_id=1375</v>
      </c>
      <c r="CE567" s="1" t="str">
        <f ca="1">IFERROR(__xludf.DUMMYFUNCTION("""COMPUTED_VALUE"""),"Audiobook : सफलता की जननी संकल्प शक्ति : H_PP_33 : shweta.r.gupta79@gmail.com : Recorded")</f>
        <v>Audiobook : सफलता की जननी संकल्प शक्ति : H_PP_33 : shweta.r.gupta79@gmail.com : Recorded</v>
      </c>
      <c r="CF567" s="1" t="str">
        <f ca="1">IFERROR(__xludf.DUMMYFUNCTION("""COMPUTED_VALUE"""),"Audiobook : सफलता की जननी संकल्प शक्ति : H_PP_33 : shweta.r.gupta79@gmail.com : Recorded")</f>
        <v>Audiobook : सफलता की जननी संकल्प शक्ति : H_PP_33 : shweta.r.gupta79@gmail.com : Recorded</v>
      </c>
      <c r="CG567" s="1" t="str">
        <f ca="1">IFERROR(__xludf.DUMMYFUNCTION("""COMPUTED_VALUE"""),"Adarniya Shweta Gupta ji सफलता की जननी संकल्प शक्ति : H_PP_33 : Allocated on 19-Dec-23 Contact Number  8369516724")</f>
        <v>Adarniya Shweta Gupta ji सफलता की जननी संकल्प शक्ति : H_PP_33 : Allocated on 19-Dec-23 Contact Number  8369516724</v>
      </c>
      <c r="CH567" s="1" t="str">
        <f ca="1">IFERROR(__xludf.DUMMYFUNCTION("""COMPUTED_VALUE"""),"shweta.r.gupta79@gmail.com : सफलता की जननी संकल्प शक्ति : H_PP_33")</f>
        <v>shweta.r.gupta79@gmail.com : सफलता की जननी संकल्प शक्ति : H_PP_33</v>
      </c>
      <c r="CI567" s="5">
        <f ca="1">IFERROR(__xludf.DUMMYFUNCTION("""COMPUTED_VALUE"""),45279.6458075578)</f>
        <v>45279.645807557798</v>
      </c>
    </row>
    <row r="568" spans="1:87" x14ac:dyDescent="0.25">
      <c r="A568" s="6">
        <f ca="1">IFERROR(__xludf.DUMMYFUNCTION("""COMPUTED_VALUE"""),45279)</f>
        <v>45279</v>
      </c>
      <c r="B568" s="1" t="str">
        <f ca="1">IFERROR(__xludf.DUMMYFUNCTION("""COMPUTED_VALUE"""),"shweta.r.gupta79@gmail.com")</f>
        <v>shweta.r.gupta79@gmail.com</v>
      </c>
      <c r="C568" s="1" t="str">
        <f ca="1">IFERROR(__xludf.DUMMYFUNCTION("""COMPUTED_VALUE"""),"Shweta Gupta")</f>
        <v>Shweta Gupta</v>
      </c>
      <c r="D568" s="1">
        <f ca="1">IFERROR(__xludf.DUMMYFUNCTION("""COMPUTED_VALUE"""),8369516724)</f>
        <v>8369516724</v>
      </c>
      <c r="E568" s="1" t="str">
        <f ca="1">IFERROR(__xludf.DUMMYFUNCTION("""COMPUTED_VALUE"""),"Yes")</f>
        <v>Yes</v>
      </c>
      <c r="F568" s="1" t="str">
        <f ca="1">IFERROR(__xludf.DUMMYFUNCTION("""COMPUTED_VALUE"""),"हिन्दी")</f>
        <v>हिन्दी</v>
      </c>
      <c r="G568" s="1" t="str">
        <f ca="1">IFERROR(__xludf.DUMMYFUNCTION("""COMPUTED_VALUE"""),"व्यक्ति निर्माण, युवा/विद्यार्थी एवं शिक्षक")</f>
        <v>व्यक्ति निर्माण, युवा/विद्यार्थी एवं शिक्षक</v>
      </c>
      <c r="H568" s="1"/>
      <c r="I568" s="1"/>
      <c r="J568" s="1"/>
      <c r="K568" s="1"/>
      <c r="L568" s="1"/>
      <c r="M568" s="1"/>
      <c r="N568" s="1"/>
      <c r="O568" s="1"/>
      <c r="P568" s="1"/>
      <c r="Q568" s="1"/>
      <c r="R568" s="1"/>
      <c r="S568" s="1"/>
      <c r="T568" s="1" t="str">
        <f ca="1">IFERROR(__xludf.DUMMYFUNCTION("""COMPUTED_VALUE"""),"व्यक्तित्व परिष्कार")</f>
        <v>व्यक्तित्व परिष्कार</v>
      </c>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f ca="1">IFERROR(__xludf.DUMMYFUNCTION("""COMPUTED_VALUE"""),31)</f>
        <v>31</v>
      </c>
      <c r="BX568" s="1">
        <f ca="1">IFERROR(__xludf.DUMMYFUNCTION("""COMPUTED_VALUE"""),45)</f>
        <v>45</v>
      </c>
      <c r="BY568" s="1">
        <f ca="1">IFERROR(__xludf.DUMMYFUNCTION("""COMPUTED_VALUE"""),3)</f>
        <v>3</v>
      </c>
      <c r="BZ568" s="1">
        <f ca="1">IFERROR(__xludf.DUMMYFUNCTION("""COMPUTED_VALUE"""),40)</f>
        <v>40</v>
      </c>
      <c r="CA568" s="1"/>
      <c r="CB568" s="1"/>
      <c r="CC568" s="1" t="str">
        <f ca="1">IFERROR(__xludf.DUMMYFUNCTION("""COMPUTED_VALUE"""),"हर सुबह नया जन्म हर रात नई मौत : H_JS_76")</f>
        <v>हर सुबह नया जन्म हर रात नई मौत : H_JS_76</v>
      </c>
      <c r="CD568" s="3" t="str">
        <f ca="1">IFERROR(__xludf.DUMMYFUNCTION("""COMPUTED_VALUE"""),"https://vicharkrantibooks.org/productdetail?book_name=HINP0341_HAR_SUBAH_NAYA_JANM_HAR_RAT_NAYI_MAUT_xx2011&amp;product_id=906")</f>
        <v>https://vicharkrantibooks.org/productdetail?book_name=HINP0341_HAR_SUBAH_NAYA_JANM_HAR_RAT_NAYI_MAUT_xx2011&amp;product_id=906</v>
      </c>
      <c r="CE568" s="1" t="str">
        <f ca="1">IFERROR(__xludf.DUMMYFUNCTION("""COMPUTED_VALUE"""),"Audiobook : हर सुबह नया जन्म हर रात नई मौत : H_JS_76 : shweta.r.gupta79@gmail.com : Recorded")</f>
        <v>Audiobook : हर सुबह नया जन्म हर रात नई मौत : H_JS_76 : shweta.r.gupta79@gmail.com : Recorded</v>
      </c>
      <c r="CF568" s="1" t="str">
        <f ca="1">IFERROR(__xludf.DUMMYFUNCTION("""COMPUTED_VALUE"""),"Audiobook : हर सुबह नया जन्म हर रात नई मौत : H_JS_76 : shweta.r.gupta79@gmail.com : Recorded")</f>
        <v>Audiobook : हर सुबह नया जन्म हर रात नई मौत : H_JS_76 : shweta.r.gupta79@gmail.com : Recorded</v>
      </c>
      <c r="CG568" s="1" t="str">
        <f ca="1">IFERROR(__xludf.DUMMYFUNCTION("""COMPUTED_VALUE"""),"Adarniya Shweta Gupta ji हर सुबह नया जन्म हर रात नई मौत : H_JS_76 : Allocated on 19-Dec-23 Contact Number  8369516724")</f>
        <v>Adarniya Shweta Gupta ji हर सुबह नया जन्म हर रात नई मौत : H_JS_76 : Allocated on 19-Dec-23 Contact Number  8369516724</v>
      </c>
      <c r="CH568" s="1" t="str">
        <f ca="1">IFERROR(__xludf.DUMMYFUNCTION("""COMPUTED_VALUE"""),"shweta.r.gupta79@gmail.com : हर सुबह नया जन्म हर रात नई मौत : H_JS_76")</f>
        <v>shweta.r.gupta79@gmail.com : हर सुबह नया जन्म हर रात नई मौत : H_JS_76</v>
      </c>
      <c r="CI568" s="6">
        <f ca="1">IFERROR(__xludf.DUMMYFUNCTION("""COMPUTED_VALUE"""),45279)</f>
        <v>45279</v>
      </c>
    </row>
    <row r="569" spans="1:87" x14ac:dyDescent="0.25">
      <c r="A569" s="5">
        <f ca="1">IFERROR(__xludf.DUMMYFUNCTION("""COMPUTED_VALUE"""),45278.9623988425)</f>
        <v>45278.962398842501</v>
      </c>
      <c r="B569" s="1" t="str">
        <f ca="1">IFERROR(__xludf.DUMMYFUNCTION("""COMPUTED_VALUE"""),"druma4107@gmail.com")</f>
        <v>druma4107@gmail.com</v>
      </c>
      <c r="C569" s="1" t="str">
        <f ca="1">IFERROR(__xludf.DUMMYFUNCTION("""COMPUTED_VALUE"""),"Dr Uma Agrawal ")</f>
        <v xml:space="preserve">Dr Uma Agrawal </v>
      </c>
      <c r="D569" s="1">
        <f ca="1">IFERROR(__xludf.DUMMYFUNCTION("""COMPUTED_VALUE"""),9410861182)</f>
        <v>9410861182</v>
      </c>
      <c r="E569" s="1" t="str">
        <f ca="1">IFERROR(__xludf.DUMMYFUNCTION("""COMPUTED_VALUE"""),"Yes")</f>
        <v>Yes</v>
      </c>
      <c r="F569" s="1" t="str">
        <f ca="1">IFERROR(__xludf.DUMMYFUNCTION("""COMPUTED_VALUE"""),"हिन्दी")</f>
        <v>हिन्दी</v>
      </c>
      <c r="G569" s="1" t="str">
        <f ca="1">IFERROR(__xludf.DUMMYFUNCTION("""COMPUTED_VALUE"""),"समग्र स्वास्थ्य")</f>
        <v>समग्र स्वास्थ्य</v>
      </c>
      <c r="H569" s="1"/>
      <c r="I569" s="1"/>
      <c r="J569" s="1"/>
      <c r="K569" s="1"/>
      <c r="L569" s="1"/>
      <c r="M569" s="1"/>
      <c r="N569" s="1"/>
      <c r="O569" s="1"/>
      <c r="P569" s="1"/>
      <c r="Q569" s="1"/>
      <c r="R569" s="1"/>
      <c r="S569" s="1"/>
      <c r="T569" s="1"/>
      <c r="U569" s="1" t="str">
        <f ca="1">IFERROR(__xludf.DUMMYFUNCTION("""COMPUTED_VALUE"""),"स्वास्थ्य संवर्धन")</f>
        <v>स्वास्थ्य संवर्धन</v>
      </c>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f ca="1">IFERROR(__xludf.DUMMYFUNCTION("""COMPUTED_VALUE"""),104)</f>
        <v>104</v>
      </c>
      <c r="BX569" s="1">
        <f ca="1">IFERROR(__xludf.DUMMYFUNCTION("""COMPUTED_VALUE"""),106)</f>
        <v>106</v>
      </c>
      <c r="BY569" s="1">
        <f ca="1">IFERROR(__xludf.DUMMYFUNCTION("""COMPUTED_VALUE"""),9)</f>
        <v>9</v>
      </c>
      <c r="BZ569" s="1">
        <f ca="1">IFERROR(__xludf.DUMMYFUNCTION("""COMPUTED_VALUE"""),43)</f>
        <v>43</v>
      </c>
      <c r="CA569" s="1"/>
      <c r="CB569" s="1"/>
      <c r="CC569" s="1" t="str">
        <f ca="1">IFERROR(__xludf.DUMMYFUNCTION("""COMPUTED_VALUE"""),"अनीति असुरता के अन्याय को रोकें : Rare Book")</f>
        <v>अनीति असुरता के अन्याय को रोकें : Rare Book</v>
      </c>
      <c r="CD569" s="3" t="str">
        <f ca="1">IFERROR(__xludf.DUMMYFUNCTION("""COMPUTED_VALUE"""),"https://vicharkrantibooks.org/productdetail?book_name=HINP0042_ANITI_ASURATA_KE_ANYAY_KO_ROKEN_xxyyyy&amp;product_id=607")</f>
        <v>https://vicharkrantibooks.org/productdetail?book_name=HINP0042_ANITI_ASURATA_KE_ANYAY_KO_ROKEN_xxyyyy&amp;product_id=607</v>
      </c>
      <c r="CE569" s="1" t="str">
        <f ca="1">IFERROR(__xludf.DUMMYFUNCTION("""COMPUTED_VALUE"""),"Audiobook : अनीति असुरता के अन्याय को रोकें : Rare Book : druma4107@gmail.com : Recorded")</f>
        <v>Audiobook : अनीति असुरता के अन्याय को रोकें : Rare Book : druma4107@gmail.com : Recorded</v>
      </c>
      <c r="CF569" s="1" t="str">
        <f ca="1">IFERROR(__xludf.DUMMYFUNCTION("""COMPUTED_VALUE"""),"Audiobook : अनीति असुरता के अन्याय को रोकें : Rare Book : druma4107@gmail.com : Recorded")</f>
        <v>Audiobook : अनीति असुरता के अन्याय को रोकें : Rare Book : druma4107@gmail.com : Recorded</v>
      </c>
      <c r="CG569" s="1" t="str">
        <f ca="1">IFERROR(__xludf.DUMMYFUNCTION("""COMPUTED_VALUE"""),"Adarniya Dr Uma Agrawal  ji अनीति असुरता के अन्याय को रोकें : Rare Book : Allocated on 18-Dec-23 Contact Number  9410861182")</f>
        <v>Adarniya Dr Uma Agrawal  ji अनीति असुरता के अन्याय को रोकें : Rare Book : Allocated on 18-Dec-23 Contact Number  9410861182</v>
      </c>
      <c r="CH569" s="1" t="str">
        <f ca="1">IFERROR(__xludf.DUMMYFUNCTION("""COMPUTED_VALUE"""),"druma4107@gmail.com : अनीति असुरता के अन्याय को रोकें : Rare Book")</f>
        <v>druma4107@gmail.com : अनीति असुरता के अन्याय को रोकें : Rare Book</v>
      </c>
      <c r="CI569" s="5">
        <f ca="1">IFERROR(__xludf.DUMMYFUNCTION("""COMPUTED_VALUE"""),45278.9623988425)</f>
        <v>45278.962398842501</v>
      </c>
    </row>
    <row r="570" spans="1:87" x14ac:dyDescent="0.25">
      <c r="A570" s="5">
        <f ca="1">IFERROR(__xludf.DUMMYFUNCTION("""COMPUTED_VALUE"""),45278.6503501504)</f>
        <v>45278.650350150398</v>
      </c>
      <c r="B570" s="1" t="str">
        <f ca="1">IFERROR(__xludf.DUMMYFUNCTION("""COMPUTED_VALUE"""),"rbbansalriya@gmail.com")</f>
        <v>rbbansalriya@gmail.com</v>
      </c>
      <c r="C570" s="1" t="str">
        <f ca="1">IFERROR(__xludf.DUMMYFUNCTION("""COMPUTED_VALUE"""),"Riya bansal ")</f>
        <v xml:space="preserve">Riya bansal </v>
      </c>
      <c r="D570" s="1">
        <f ca="1">IFERROR(__xludf.DUMMYFUNCTION("""COMPUTED_VALUE"""),9176361023)</f>
        <v>9176361023</v>
      </c>
      <c r="E570" s="1" t="str">
        <f ca="1">IFERROR(__xludf.DUMMYFUNCTION("""COMPUTED_VALUE"""),"Yes")</f>
        <v>Yes</v>
      </c>
      <c r="F570" s="1" t="str">
        <f ca="1">IFERROR(__xludf.DUMMYFUNCTION("""COMPUTED_VALUE"""),"हिन्दी")</f>
        <v>हिन्दी</v>
      </c>
      <c r="G570" s="1" t="str">
        <f ca="1">IFERROR(__xludf.DUMMYFUNCTION("""COMPUTED_VALUE"""),"भारतीय संस्कृति")</f>
        <v>भारतीय संस्कृति</v>
      </c>
      <c r="H570" s="1"/>
      <c r="I570" s="1"/>
      <c r="J570" s="1"/>
      <c r="K570" s="1"/>
      <c r="L570" s="1"/>
      <c r="M570" s="1"/>
      <c r="N570" s="1"/>
      <c r="O570" s="1" t="str">
        <f ca="1">IFERROR(__xludf.DUMMYFUNCTION("""COMPUTED_VALUE"""),"भारतीय संस्कृति")</f>
        <v>भारतीय संस्कृति</v>
      </c>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f ca="1">IFERROR(__xludf.DUMMYFUNCTION("""COMPUTED_VALUE"""),54)</f>
        <v>54</v>
      </c>
      <c r="BX570" s="1">
        <f ca="1">IFERROR(__xludf.DUMMYFUNCTION("""COMPUTED_VALUE"""),55)</f>
        <v>55</v>
      </c>
      <c r="BY570" s="1">
        <f ca="1">IFERROR(__xludf.DUMMYFUNCTION("""COMPUTED_VALUE"""),9)</f>
        <v>9</v>
      </c>
      <c r="BZ570" s="1">
        <f ca="1">IFERROR(__xludf.DUMMYFUNCTION("""COMPUTED_VALUE"""),43)</f>
        <v>43</v>
      </c>
      <c r="CA570" s="1"/>
      <c r="CB570" s="1"/>
      <c r="CC570" s="1" t="str">
        <f ca="1">IFERROR(__xludf.DUMMYFUNCTION("""COMPUTED_VALUE"""),"गायत्री साधना की उपलब्धियाँ : H_JS_05")</f>
        <v>गायत्री साधना की उपलब्धियाँ : H_JS_05</v>
      </c>
      <c r="CD570" s="3" t="str">
        <f ca="1">IFERROR(__xludf.DUMMYFUNCTION("""COMPUTED_VALUE"""),"https://vicharkrantibooks.org/productdetail?book_name=HINP0291_GAYATRI_SADHANA_KI_UPALABDHIYAN_xx2011&amp;product_id=856")</f>
        <v>https://vicharkrantibooks.org/productdetail?book_name=HINP0291_GAYATRI_SADHANA_KI_UPALABDHIYAN_xx2011&amp;product_id=856</v>
      </c>
      <c r="CE570" s="1" t="str">
        <f ca="1">IFERROR(__xludf.DUMMYFUNCTION("""COMPUTED_VALUE"""),"Audiobook : गायत्री साधना की उपलब्धियाँ : H_JS_05 : rbbansalriya@gmail.com : Recorded")</f>
        <v>Audiobook : गायत्री साधना की उपलब्धियाँ : H_JS_05 : rbbansalriya@gmail.com : Recorded</v>
      </c>
      <c r="CF570" s="1" t="str">
        <f ca="1">IFERROR(__xludf.DUMMYFUNCTION("""COMPUTED_VALUE"""),"#N/A")</f>
        <v>#N/A</v>
      </c>
      <c r="CG570" s="1" t="str">
        <f ca="1">IFERROR(__xludf.DUMMYFUNCTION("""COMPUTED_VALUE"""),"Adarniya Riya bansal  ji गायत्री साधना की उपलब्धियाँ : H_JS_05 : Allocated on 18-Dec-23 Contact Number  9176361023")</f>
        <v>Adarniya Riya bansal  ji गायत्री साधना की उपलब्धियाँ : H_JS_05 : Allocated on 18-Dec-23 Contact Number  9176361023</v>
      </c>
      <c r="CH570" s="1" t="str">
        <f ca="1">IFERROR(__xludf.DUMMYFUNCTION("""COMPUTED_VALUE"""),"rbbansalriya@gmail.com : गायत्री साधना की उपलब्धियाँ : H_JS_05")</f>
        <v>rbbansalriya@gmail.com : गायत्री साधना की उपलब्धियाँ : H_JS_05</v>
      </c>
      <c r="CI570" s="5">
        <f ca="1">IFERROR(__xludf.DUMMYFUNCTION("""COMPUTED_VALUE"""),45278.6503501504)</f>
        <v>45278.650350150398</v>
      </c>
    </row>
    <row r="571" spans="1:87" x14ac:dyDescent="0.25">
      <c r="A571" s="5">
        <f ca="1">IFERROR(__xludf.DUMMYFUNCTION("""COMPUTED_VALUE"""),45278.2948200925)</f>
        <v>45278.294820092502</v>
      </c>
      <c r="B571" s="1" t="str">
        <f ca="1">IFERROR(__xludf.DUMMYFUNCTION("""COMPUTED_VALUE"""),"nksaxena.yoga@gmail.com")</f>
        <v>nksaxena.yoga@gmail.com</v>
      </c>
      <c r="C571" s="1" t="str">
        <f ca="1">IFERROR(__xludf.DUMMYFUNCTION("""COMPUTED_VALUE"""),"Narendra Kumar Saxena ")</f>
        <v xml:space="preserve">Narendra Kumar Saxena </v>
      </c>
      <c r="D571" s="1" t="str">
        <f ca="1">IFERROR(__xludf.DUMMYFUNCTION("""COMPUTED_VALUE"""),"+918826499188")</f>
        <v>+918826499188</v>
      </c>
      <c r="E571" s="1" t="str">
        <f ca="1">IFERROR(__xludf.DUMMYFUNCTION("""COMPUTED_VALUE"""),"Yes")</f>
        <v>Yes</v>
      </c>
      <c r="F571" s="1" t="str">
        <f ca="1">IFERROR(__xludf.DUMMYFUNCTION("""COMPUTED_VALUE"""),"हिन्दी")</f>
        <v>हिन्दी</v>
      </c>
      <c r="G571" s="1" t="str">
        <f ca="1">IFERROR(__xludf.DUMMYFUNCTION("""COMPUTED_VALUE"""),"समग्र स्वास्थ्य")</f>
        <v>समग्र स्वास्थ्य</v>
      </c>
      <c r="H571" s="1"/>
      <c r="I571" s="1"/>
      <c r="J571" s="1"/>
      <c r="K571" s="1"/>
      <c r="L571" s="1"/>
      <c r="M571" s="1"/>
      <c r="N571" s="1"/>
      <c r="O571" s="1"/>
      <c r="P571" s="1"/>
      <c r="Q571" s="1"/>
      <c r="R571" s="1"/>
      <c r="S571" s="1"/>
      <c r="T571" s="1"/>
      <c r="U571" s="1" t="str">
        <f ca="1">IFERROR(__xludf.DUMMYFUNCTION("""COMPUTED_VALUE"""),"आहार-विहार एवं उपवास")</f>
        <v>आहार-विहार एवं उपवास</v>
      </c>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f ca="1">IFERROR(__xludf.DUMMYFUNCTION("""COMPUTED_VALUE"""),29)</f>
        <v>29</v>
      </c>
      <c r="BX571" s="1">
        <f ca="1">IFERROR(__xludf.DUMMYFUNCTION("""COMPUTED_VALUE"""),30)</f>
        <v>30</v>
      </c>
      <c r="BY571" s="1">
        <f ca="1">IFERROR(__xludf.DUMMYFUNCTION("""COMPUTED_VALUE"""),3)</f>
        <v>3</v>
      </c>
      <c r="BZ571" s="1">
        <f ca="1">IFERROR(__xludf.DUMMYFUNCTION("""COMPUTED_VALUE"""),25)</f>
        <v>25</v>
      </c>
      <c r="CA571" s="1"/>
      <c r="CB571" s="1"/>
      <c r="CC571" s="1" t="str">
        <f ca="1">IFERROR(__xludf.DUMMYFUNCTION("""COMPUTED_VALUE"""),"दुग्धाहार सर्वोपम : Rare Book")</f>
        <v>दुग्धाहार सर्वोपम : Rare Book</v>
      </c>
      <c r="CD571" s="3" t="str">
        <f ca="1">IFERROR(__xludf.DUMMYFUNCTION("""COMPUTED_VALUE"""),"https://vicharkrantibooks.org/productdetail?book_name=HINP0258_DUGDHAHAR_SARVOPAM_xxyyyy&amp;product_id=823")</f>
        <v>https://vicharkrantibooks.org/productdetail?book_name=HINP0258_DUGDHAHAR_SARVOPAM_xxyyyy&amp;product_id=823</v>
      </c>
      <c r="CE571" s="1" t="str">
        <f ca="1">IFERROR(__xludf.DUMMYFUNCTION("""COMPUTED_VALUE"""),"Audiobook : दुग्धाहार सर्वोपम : Rare Book : nksaxena.yoga@gmail.com : Recorded")</f>
        <v>Audiobook : दुग्धाहार सर्वोपम : Rare Book : nksaxena.yoga@gmail.com : Recorded</v>
      </c>
      <c r="CF571" s="1" t="str">
        <f ca="1">IFERROR(__xludf.DUMMYFUNCTION("""COMPUTED_VALUE"""),"Audiobook : दुग्धाहार सर्वोपम : Rare Book : nksaxena.yoga@gmail.com : Recorded")</f>
        <v>Audiobook : दुग्धाहार सर्वोपम : Rare Book : nksaxena.yoga@gmail.com : Recorded</v>
      </c>
      <c r="CG571" s="1" t="str">
        <f ca="1">IFERROR(__xludf.DUMMYFUNCTION("""COMPUTED_VALUE"""),"Adarniya Narendra Kumar Saxena  ji दुग्धाहार सर्वोपम : Rare Book : Allocated on 18-Dec-23 Contact Number  +918826499188")</f>
        <v>Adarniya Narendra Kumar Saxena  ji दुग्धाहार सर्वोपम : Rare Book : Allocated on 18-Dec-23 Contact Number  +918826499188</v>
      </c>
      <c r="CH571" s="1" t="str">
        <f ca="1">IFERROR(__xludf.DUMMYFUNCTION("""COMPUTED_VALUE"""),"nksaxena.yoga@gmail.com : दुग्धाहार सर्वोपम : Rare Book")</f>
        <v>nksaxena.yoga@gmail.com : दुग्धाहार सर्वोपम : Rare Book</v>
      </c>
      <c r="CI571" s="5">
        <f ca="1">IFERROR(__xludf.DUMMYFUNCTION("""COMPUTED_VALUE"""),45278.2948200925)</f>
        <v>45278.294820092502</v>
      </c>
    </row>
    <row r="572" spans="1:87" x14ac:dyDescent="0.25">
      <c r="A572" s="5">
        <f ca="1">IFERROR(__xludf.DUMMYFUNCTION("""COMPUTED_VALUE"""),45277.9020212615)</f>
        <v>45277.9020212615</v>
      </c>
      <c r="B572" s="1" t="str">
        <f ca="1">IFERROR(__xludf.DUMMYFUNCTION("""COMPUTED_VALUE"""),"vandana15rastogi@gmail.com")</f>
        <v>vandana15rastogi@gmail.com</v>
      </c>
      <c r="C572" s="1" t="str">
        <f ca="1">IFERROR(__xludf.DUMMYFUNCTION("""COMPUTED_VALUE"""),"Vandana Rastogi")</f>
        <v>Vandana Rastogi</v>
      </c>
      <c r="D572" s="1">
        <f ca="1">IFERROR(__xludf.DUMMYFUNCTION("""COMPUTED_VALUE"""),9359528684)</f>
        <v>9359528684</v>
      </c>
      <c r="E572" s="1" t="str">
        <f ca="1">IFERROR(__xludf.DUMMYFUNCTION("""COMPUTED_VALUE"""),"Yes")</f>
        <v>Yes</v>
      </c>
      <c r="F572" s="1" t="str">
        <f ca="1">IFERROR(__xludf.DUMMYFUNCTION("""COMPUTED_VALUE"""),"हिन्दी")</f>
        <v>हिन्दी</v>
      </c>
      <c r="G572" s="1" t="str">
        <f ca="1">IFERROR(__xludf.DUMMYFUNCTION("""COMPUTED_VALUE"""),"युग द्रष्टा पं. श्रीराम शर्मा आचार्यजी")</f>
        <v>युग द्रष्टा पं. श्रीराम शर्मा आचार्यजी</v>
      </c>
      <c r="H572" s="1"/>
      <c r="I572" s="1"/>
      <c r="J572" s="1"/>
      <c r="K572" s="1"/>
      <c r="L572" s="1"/>
      <c r="M572" s="1"/>
      <c r="N572" s="1"/>
      <c r="O572" s="1"/>
      <c r="P572" s="1" t="str">
        <f ca="1">IFERROR(__xludf.DUMMYFUNCTION("""COMPUTED_VALUE"""),"युगॠषी की अमृतवाणी")</f>
        <v>युगॠषी की अमृतवाणी</v>
      </c>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f ca="1">IFERROR(__xludf.DUMMYFUNCTION("""COMPUTED_VALUE"""),33)</f>
        <v>33</v>
      </c>
      <c r="BX572" s="1">
        <f ca="1">IFERROR(__xludf.DUMMYFUNCTION("""COMPUTED_VALUE"""),19)</f>
        <v>19</v>
      </c>
      <c r="BY572" s="1">
        <f ca="1">IFERROR(__xludf.DUMMYFUNCTION("""COMPUTED_VALUE"""),17)</f>
        <v>17</v>
      </c>
      <c r="BZ572" s="1">
        <f ca="1">IFERROR(__xludf.DUMMYFUNCTION("""COMPUTED_VALUE"""),14)</f>
        <v>14</v>
      </c>
      <c r="CA572" s="1"/>
      <c r="CB572" s="1"/>
      <c r="CC572" s="1" t="str">
        <f ca="1">IFERROR(__xludf.DUMMYFUNCTION("""COMPUTED_VALUE"""),"प्रसन्नता की पारसमणि ना गँवाए : H_VN_69")</f>
        <v>प्रसन्नता की पारसमणि ना गँवाए : H_VN_69</v>
      </c>
      <c r="CD572" s="3" t="str">
        <f ca="1">IFERROR(__xludf.DUMMYFUNCTION("""COMPUTED_VALUE"""),"https://vicharkrantibooks.org/productdetail?book_name=HINP0673_PRASANNATA_KI_PARASAMANI_NA_GANVAE_xxyyyy&amp;product_id=1238")</f>
        <v>https://vicharkrantibooks.org/productdetail?book_name=HINP0673_PRASANNATA_KI_PARASAMANI_NA_GANVAE_xxyyyy&amp;product_id=1238</v>
      </c>
      <c r="CE572" s="1" t="str">
        <f ca="1">IFERROR(__xludf.DUMMYFUNCTION("""COMPUTED_VALUE"""),"Audiobook : प्रसन्नता की पारसमणि ना गँवाए : H_VN_69 : vandana15rastogi@gmail.com : Recorded")</f>
        <v>Audiobook : प्रसन्नता की पारसमणि ना गँवाए : H_VN_69 : vandana15rastogi@gmail.com : Recorded</v>
      </c>
      <c r="CF572" s="1" t="str">
        <f ca="1">IFERROR(__xludf.DUMMYFUNCTION("""COMPUTED_VALUE"""),"#N/A")</f>
        <v>#N/A</v>
      </c>
      <c r="CG572" s="1" t="str">
        <f ca="1">IFERROR(__xludf.DUMMYFUNCTION("""COMPUTED_VALUE"""),"Adarniya Vandana Rastogi ji प्रसन्नता की पारसमणि ना गँवाए : H_VN_69 : Allocated on 17-Dec-23 Contact Number  9359528684")</f>
        <v>Adarniya Vandana Rastogi ji प्रसन्नता की पारसमणि ना गँवाए : H_VN_69 : Allocated on 17-Dec-23 Contact Number  9359528684</v>
      </c>
      <c r="CH572" s="1" t="str">
        <f ca="1">IFERROR(__xludf.DUMMYFUNCTION("""COMPUTED_VALUE"""),"vandana15rastogi@gmail.com : प्रसन्नता की पारसमणि ना गँवाए : H_VN_69")</f>
        <v>vandana15rastogi@gmail.com : प्रसन्नता की पारसमणि ना गँवाए : H_VN_69</v>
      </c>
      <c r="CI572" s="5">
        <f ca="1">IFERROR(__xludf.DUMMYFUNCTION("""COMPUTED_VALUE"""),45277.9020212615)</f>
        <v>45277.9020212615</v>
      </c>
    </row>
    <row r="573" spans="1:87" x14ac:dyDescent="0.25">
      <c r="A573" s="5">
        <f ca="1">IFERROR(__xludf.DUMMYFUNCTION("""COMPUTED_VALUE"""),45277.8420272453)</f>
        <v>45277.8420272453</v>
      </c>
      <c r="B573" s="1" t="str">
        <f ca="1">IFERROR(__xludf.DUMMYFUNCTION("""COMPUTED_VALUE"""),"rekhabhagat2511@gmail.com")</f>
        <v>rekhabhagat2511@gmail.com</v>
      </c>
      <c r="C573" s="1" t="str">
        <f ca="1">IFERROR(__xludf.DUMMYFUNCTION("""COMPUTED_VALUE"""),"Rekha Bhagat ")</f>
        <v xml:space="preserve">Rekha Bhagat </v>
      </c>
      <c r="D573" s="1">
        <f ca="1">IFERROR(__xludf.DUMMYFUNCTION("""COMPUTED_VALUE"""),9424811235)</f>
        <v>9424811235</v>
      </c>
      <c r="E573" s="1" t="str">
        <f ca="1">IFERROR(__xludf.DUMMYFUNCTION("""COMPUTED_VALUE"""),"Yes")</f>
        <v>Yes</v>
      </c>
      <c r="F573" s="1" t="str">
        <f ca="1">IFERROR(__xludf.DUMMYFUNCTION("""COMPUTED_VALUE"""),"हिन्दी")</f>
        <v>हिन्दी</v>
      </c>
      <c r="G573" s="1" t="str">
        <f ca="1">IFERROR(__xludf.DUMMYFUNCTION("""COMPUTED_VALUE"""),"व्यक्ति निर्माण, युवा/विद्यार्थी एवं शिक्षक")</f>
        <v>व्यक्ति निर्माण, युवा/विद्यार्थी एवं शिक्षक</v>
      </c>
      <c r="H573" s="1"/>
      <c r="I573" s="1"/>
      <c r="J573" s="1"/>
      <c r="K573" s="1"/>
      <c r="L573" s="1"/>
      <c r="M573" s="1"/>
      <c r="N573" s="1"/>
      <c r="O573" s="1"/>
      <c r="P573" s="1"/>
      <c r="Q573" s="1"/>
      <c r="R573" s="1"/>
      <c r="S573" s="1"/>
      <c r="T573" s="1" t="str">
        <f ca="1">IFERROR(__xludf.DUMMYFUNCTION("""COMPUTED_VALUE"""),"व्यक्तित्व परिष्कार")</f>
        <v>व्यक्तित्व परिष्कार</v>
      </c>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f ca="1">IFERROR(__xludf.DUMMYFUNCTION("""COMPUTED_VALUE"""),19)</f>
        <v>19</v>
      </c>
      <c r="BX573" s="1">
        <f ca="1">IFERROR(__xludf.DUMMYFUNCTION("""COMPUTED_VALUE"""),11)</f>
        <v>11</v>
      </c>
      <c r="BY573" s="1">
        <f ca="1">IFERROR(__xludf.DUMMYFUNCTION("""COMPUTED_VALUE"""),8)</f>
        <v>8</v>
      </c>
      <c r="BZ573" s="1">
        <f ca="1">IFERROR(__xludf.DUMMYFUNCTION("""COMPUTED_VALUE"""),4)</f>
        <v>4</v>
      </c>
      <c r="CA573" s="1"/>
      <c r="CB573" s="1"/>
      <c r="CC573" s="1" t="str">
        <f ca="1">IFERROR(__xludf.DUMMYFUNCTION("""COMPUTED_VALUE"""),"प्रकृति के प्रवाह में बाधक ना बनें : H_PP_20")</f>
        <v>प्रकृति के प्रवाह में बाधक ना बनें : H_PP_20</v>
      </c>
      <c r="CD573" s="3" t="str">
        <f ca="1">IFERROR(__xludf.DUMMYFUNCTION("""COMPUTED_VALUE"""),"https://vicharkrantibooks.org/productdetail?book_name=HINP0659_PRAKRUTI_KE_PRAVAH_MEIN_BADHAK_NA_BANEN_xxyyyy&amp;product_id=1224")</f>
        <v>https://vicharkrantibooks.org/productdetail?book_name=HINP0659_PRAKRUTI_KE_PRAVAH_MEIN_BADHAK_NA_BANEN_xxyyyy&amp;product_id=1224</v>
      </c>
      <c r="CE573" s="1" t="str">
        <f ca="1">IFERROR(__xludf.DUMMYFUNCTION("""COMPUTED_VALUE"""),"Audiobook : प्रकृति के प्रवाह में बाधक ना बनें : H_PP_20 : rekhabhagat2511@gmail.com : Recorded")</f>
        <v>Audiobook : प्रकृति के प्रवाह में बाधक ना बनें : H_PP_20 : rekhabhagat2511@gmail.com : Recorded</v>
      </c>
      <c r="CF573" s="1" t="str">
        <f ca="1">IFERROR(__xludf.DUMMYFUNCTION("""COMPUTED_VALUE"""),"#N/A")</f>
        <v>#N/A</v>
      </c>
      <c r="CG573" s="1" t="str">
        <f ca="1">IFERROR(__xludf.DUMMYFUNCTION("""COMPUTED_VALUE"""),"Adarniya Rekha Bhagat  ji प्रकृति के प्रवाह में बाधक ना बनें : H_PP_20 : Allocated on 17-Dec-23 Contact Number  9424811235")</f>
        <v>Adarniya Rekha Bhagat  ji प्रकृति के प्रवाह में बाधक ना बनें : H_PP_20 : Allocated on 17-Dec-23 Contact Number  9424811235</v>
      </c>
      <c r="CH573" s="1" t="str">
        <f ca="1">IFERROR(__xludf.DUMMYFUNCTION("""COMPUTED_VALUE"""),"rekhabhagat2511@gmail.com : प्रकृति के प्रवाह में बाधक ना बनें : H_PP_20")</f>
        <v>rekhabhagat2511@gmail.com : प्रकृति के प्रवाह में बाधक ना बनें : H_PP_20</v>
      </c>
      <c r="CI573" s="5">
        <f ca="1">IFERROR(__xludf.DUMMYFUNCTION("""COMPUTED_VALUE"""),45277.8420272453)</f>
        <v>45277.8420272453</v>
      </c>
    </row>
    <row r="574" spans="1:87" x14ac:dyDescent="0.25">
      <c r="A574" s="5">
        <f ca="1">IFERROR(__xludf.DUMMYFUNCTION("""COMPUTED_VALUE"""),45277.6093312268)</f>
        <v>45277.609331226799</v>
      </c>
      <c r="B574" s="1" t="str">
        <f ca="1">IFERROR(__xludf.DUMMYFUNCTION("""COMPUTED_VALUE"""),"vartikasharma@hotmail.com")</f>
        <v>vartikasharma@hotmail.com</v>
      </c>
      <c r="C574" s="1" t="str">
        <f ca="1">IFERROR(__xludf.DUMMYFUNCTION("""COMPUTED_VALUE"""),"Vartika Sharma")</f>
        <v>Vartika Sharma</v>
      </c>
      <c r="D574" s="1">
        <f ca="1">IFERROR(__xludf.DUMMYFUNCTION("""COMPUTED_VALUE"""),2896894365)</f>
        <v>2896894365</v>
      </c>
      <c r="E574" s="1" t="str">
        <f ca="1">IFERROR(__xludf.DUMMYFUNCTION("""COMPUTED_VALUE"""),"Yes")</f>
        <v>Yes</v>
      </c>
      <c r="F574" s="1" t="str">
        <f ca="1">IFERROR(__xludf.DUMMYFUNCTION("""COMPUTED_VALUE"""),"English")</f>
        <v>English</v>
      </c>
      <c r="G574" s="1" t="str">
        <f ca="1">IFERROR(__xludf.DUMMYFUNCTION("""COMPUTED_VALUE"""),"English")</f>
        <v>English</v>
      </c>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f ca="1">IFERROR(__xludf.DUMMYFUNCTION("""COMPUTED_VALUE"""),3)</f>
        <v>3</v>
      </c>
      <c r="BX574" s="1">
        <f ca="1">IFERROR(__xludf.DUMMYFUNCTION("""COMPUTED_VALUE"""),1)</f>
        <v>1</v>
      </c>
      <c r="BY574" s="1">
        <f ca="1">IFERROR(__xludf.DUMMYFUNCTION("""COMPUTED_VALUE"""),2)</f>
        <v>2</v>
      </c>
      <c r="BZ574" s="1">
        <f ca="1">IFERROR(__xludf.DUMMYFUNCTION("""COMPUTED_VALUE"""),0)</f>
        <v>0</v>
      </c>
      <c r="CA574" s="1"/>
      <c r="CB574" s="1"/>
      <c r="CC574" s="1" t="str">
        <f ca="1">IFERROR(__xludf.DUMMYFUNCTION("""COMPUTED_VALUE"""),"Three Traits&amp;Four Steps To Progress : EP_125")</f>
        <v>Three Traits&amp;Four Steps To Progress : EP_125</v>
      </c>
      <c r="CD574" s="3" t="str">
        <f ca="1">IFERROR(__xludf.DUMMYFUNCTION("""COMPUTED_VALUE"""),"https://vicharkrantibooks.org/productdetail?book_name=HINP0921_THREE_TRAITS_AND_FOUR_STEPS_TO_PROGRESS_xxyyyy&amp;product_id=3510")</f>
        <v>https://vicharkrantibooks.org/productdetail?book_name=HINP0921_THREE_TRAITS_AND_FOUR_STEPS_TO_PROGRESS_xxyyyy&amp;product_id=3510</v>
      </c>
      <c r="CE574" s="1" t="str">
        <f ca="1">IFERROR(__xludf.DUMMYFUNCTION("""COMPUTED_VALUE"""),"Audiobook : Three Traits&amp;Four Steps To Progress : EP_125 : vartikasharma@hotmail.com : Recorded")</f>
        <v>Audiobook : Three Traits&amp;Four Steps To Progress : EP_125 : vartikasharma@hotmail.com : Recorded</v>
      </c>
      <c r="CF574" s="1" t="str">
        <f ca="1">IFERROR(__xludf.DUMMYFUNCTION("""COMPUTED_VALUE"""),"Audiobook : Three Traits&amp;Four Steps To Progress : EP_125 : vartikasharma@hotmail.com : Recorded")</f>
        <v>Audiobook : Three Traits&amp;Four Steps To Progress : EP_125 : vartikasharma@hotmail.com : Recorded</v>
      </c>
      <c r="CG574" s="1" t="str">
        <f ca="1">IFERROR(__xludf.DUMMYFUNCTION("""COMPUTED_VALUE"""),"Adarniya Vartika Sharma ji Three Traits&amp;Four Steps To Progress : EP_125 : Allocated on 17-Dec-23 Contact Number  2896894365")</f>
        <v>Adarniya Vartika Sharma ji Three Traits&amp;Four Steps To Progress : EP_125 : Allocated on 17-Dec-23 Contact Number  2896894365</v>
      </c>
      <c r="CH574" s="1" t="str">
        <f ca="1">IFERROR(__xludf.DUMMYFUNCTION("""COMPUTED_VALUE"""),"vartikasharma@hotmail.com : Three Traits&amp;Four Steps To Progress : EP_125")</f>
        <v>vartikasharma@hotmail.com : Three Traits&amp;Four Steps To Progress : EP_125</v>
      </c>
      <c r="CI574" s="5">
        <f ca="1">IFERROR(__xludf.DUMMYFUNCTION("""COMPUTED_VALUE"""),45277.6093312268)</f>
        <v>45277.609331226799</v>
      </c>
    </row>
    <row r="575" spans="1:87" x14ac:dyDescent="0.25">
      <c r="A575" s="5">
        <f ca="1">IFERROR(__xludf.DUMMYFUNCTION("""COMPUTED_VALUE"""),45277.3622761805)</f>
        <v>45277.362276180502</v>
      </c>
      <c r="B575" s="1" t="str">
        <f ca="1">IFERROR(__xludf.DUMMYFUNCTION("""COMPUTED_VALUE"""),"vjatul025@gmail.com")</f>
        <v>vjatul025@gmail.com</v>
      </c>
      <c r="C575" s="1" t="str">
        <f ca="1">IFERROR(__xludf.DUMMYFUNCTION("""COMPUTED_VALUE"""),"Vandana Joshi ")</f>
        <v xml:space="preserve">Vandana Joshi </v>
      </c>
      <c r="D575" s="1">
        <f ca="1">IFERROR(__xludf.DUMMYFUNCTION("""COMPUTED_VALUE"""),9174756367)</f>
        <v>9174756367</v>
      </c>
      <c r="E575" s="1" t="str">
        <f ca="1">IFERROR(__xludf.DUMMYFUNCTION("""COMPUTED_VALUE"""),"Yes")</f>
        <v>Yes</v>
      </c>
      <c r="F575" s="1" t="str">
        <f ca="1">IFERROR(__xludf.DUMMYFUNCTION("""COMPUTED_VALUE"""),"हिन्दी")</f>
        <v>हिन्दी</v>
      </c>
      <c r="G575" s="1" t="str">
        <f ca="1">IFERROR(__xludf.DUMMYFUNCTION("""COMPUTED_VALUE"""),"व्यक्ति निर्माण, युवा/विद्यार्थी एवं शिक्षक")</f>
        <v>व्यक्ति निर्माण, युवा/विद्यार्थी एवं शिक्षक</v>
      </c>
      <c r="H575" s="1"/>
      <c r="I575" s="1"/>
      <c r="J575" s="1"/>
      <c r="K575" s="1"/>
      <c r="L575" s="1"/>
      <c r="M575" s="1"/>
      <c r="N575" s="1"/>
      <c r="O575" s="1"/>
      <c r="P575" s="1"/>
      <c r="Q575" s="1"/>
      <c r="R575" s="1"/>
      <c r="S575" s="1"/>
      <c r="T575" s="1" t="str">
        <f ca="1">IFERROR(__xludf.DUMMYFUNCTION("""COMPUTED_VALUE"""),"विद्यार्थी एवं शिक्षक")</f>
        <v>विद्यार्थी एवं शिक्षक</v>
      </c>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f ca="1">IFERROR(__xludf.DUMMYFUNCTION("""COMPUTED_VALUE"""),8)</f>
        <v>8</v>
      </c>
      <c r="BX575" s="1">
        <f ca="1">IFERROR(__xludf.DUMMYFUNCTION("""COMPUTED_VALUE"""),6)</f>
        <v>6</v>
      </c>
      <c r="BY575" s="1">
        <f ca="1">IFERROR(__xludf.DUMMYFUNCTION("""COMPUTED_VALUE"""),2)</f>
        <v>2</v>
      </c>
      <c r="BZ575" s="1">
        <f ca="1">IFERROR(__xludf.DUMMYFUNCTION("""COMPUTED_VALUE"""),0)</f>
        <v>0</v>
      </c>
      <c r="CA575" s="1"/>
      <c r="CB575" s="1"/>
      <c r="CC575" s="1" t="str">
        <f ca="1">IFERROR(__xludf.DUMMYFUNCTION("""COMPUTED_VALUE"""),"अपना आपा कितना महान कितना समर्थ : Rare Book")</f>
        <v>अपना आपा कितना महान कितना समर्थ : Rare Book</v>
      </c>
      <c r="CD575" s="3" t="str">
        <f ca="1">IFERROR(__xludf.DUMMYFUNCTION("""COMPUTED_VALUE"""),"https://vicharkrantibooks.org/productdetail?book_name=HINP0055_APANA_APA_KITANA_MAHAN_KITANA_SAMARTH_xx1982&amp;product_id=620")</f>
        <v>https://vicharkrantibooks.org/productdetail?book_name=HINP0055_APANA_APA_KITANA_MAHAN_KITANA_SAMARTH_xx1982&amp;product_id=620</v>
      </c>
      <c r="CE575" s="1" t="str">
        <f ca="1">IFERROR(__xludf.DUMMYFUNCTION("""COMPUTED_VALUE"""),"Audiobook : अपना आपा कितना महान कितना समर्थ : Rare Book : vjatul025@gmail.com : Recorded")</f>
        <v>Audiobook : अपना आपा कितना महान कितना समर्थ : Rare Book : vjatul025@gmail.com : Recorded</v>
      </c>
      <c r="CF575" s="1" t="str">
        <f ca="1">IFERROR(__xludf.DUMMYFUNCTION("""COMPUTED_VALUE"""),"Audiobook : अपना आपा कितना महान कितना समर्थ : Rare Book : vjatul025@gmail.com : Recorded")</f>
        <v>Audiobook : अपना आपा कितना महान कितना समर्थ : Rare Book : vjatul025@gmail.com : Recorded</v>
      </c>
      <c r="CG575" s="1" t="str">
        <f ca="1">IFERROR(__xludf.DUMMYFUNCTION("""COMPUTED_VALUE"""),"Adarniya Vandana Joshi  ji अपना आपा कितना महान कितना समर्थ : Rare Book : Allocated on 17-Dec-23 Contact Number  9174756367")</f>
        <v>Adarniya Vandana Joshi  ji अपना आपा कितना महान कितना समर्थ : Rare Book : Allocated on 17-Dec-23 Contact Number  9174756367</v>
      </c>
      <c r="CH575" s="1" t="str">
        <f ca="1">IFERROR(__xludf.DUMMYFUNCTION("""COMPUTED_VALUE"""),"vjatul025@gmail.com : अपना आपा कितना महान कितना समर्थ : Rare Book")</f>
        <v>vjatul025@gmail.com : अपना आपा कितना महान कितना समर्थ : Rare Book</v>
      </c>
      <c r="CI575" s="5">
        <f ca="1">IFERROR(__xludf.DUMMYFUNCTION("""COMPUTED_VALUE"""),45277.3622761805)</f>
        <v>45277.362276180502</v>
      </c>
    </row>
    <row r="576" spans="1:87" x14ac:dyDescent="0.25">
      <c r="A576" s="5">
        <f ca="1">IFERROR(__xludf.DUMMYFUNCTION("""COMPUTED_VALUE"""),45277.3574826736)</f>
        <v>45277.3574826736</v>
      </c>
      <c r="B576" s="1" t="str">
        <f ca="1">IFERROR(__xludf.DUMMYFUNCTION("""COMPUTED_VALUE"""),"sunitaster@gmail.com")</f>
        <v>sunitaster@gmail.com</v>
      </c>
      <c r="C576" s="1" t="str">
        <f ca="1">IFERROR(__xludf.DUMMYFUNCTION("""COMPUTED_VALUE"""),"Sunita Gupta")</f>
        <v>Sunita Gupta</v>
      </c>
      <c r="D576" s="1">
        <f ca="1">IFERROR(__xludf.DUMMYFUNCTION("""COMPUTED_VALUE"""),6318822791)</f>
        <v>6318822791</v>
      </c>
      <c r="E576" s="1" t="str">
        <f ca="1">IFERROR(__xludf.DUMMYFUNCTION("""COMPUTED_VALUE"""),"Yes")</f>
        <v>Yes</v>
      </c>
      <c r="F576" s="1" t="str">
        <f ca="1">IFERROR(__xludf.DUMMYFUNCTION("""COMPUTED_VALUE"""),"हिन्दी")</f>
        <v>हिन्दी</v>
      </c>
      <c r="G576" s="1" t="str">
        <f ca="1">IFERROR(__xludf.DUMMYFUNCTION("""COMPUTED_VALUE"""),"जीवन प्रबंध")</f>
        <v>जीवन प्रबंध</v>
      </c>
      <c r="H576" s="1"/>
      <c r="I576" s="1"/>
      <c r="J576" s="1"/>
      <c r="K576" s="1"/>
      <c r="L576" s="1" t="str">
        <f ca="1">IFERROR(__xludf.DUMMYFUNCTION("""COMPUTED_VALUE"""),"जीवन साधना")</f>
        <v>जीवन साधना</v>
      </c>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f ca="1">IFERROR(__xludf.DUMMYFUNCTION("""COMPUTED_VALUE"""),5)</f>
        <v>5</v>
      </c>
      <c r="BX576" s="1">
        <f ca="1">IFERROR(__xludf.DUMMYFUNCTION("""COMPUTED_VALUE"""),1)</f>
        <v>1</v>
      </c>
      <c r="BY576" s="1">
        <f ca="1">IFERROR(__xludf.DUMMYFUNCTION("""COMPUTED_VALUE"""),4)</f>
        <v>4</v>
      </c>
      <c r="BZ576" s="1">
        <f ca="1">IFERROR(__xludf.DUMMYFUNCTION("""COMPUTED_VALUE"""),0)</f>
        <v>0</v>
      </c>
      <c r="CA576" s="1"/>
      <c r="CB576" s="1"/>
      <c r="CC576" s="1" t="str">
        <f ca="1">IFERROR(__xludf.DUMMYFUNCTION("""COMPUTED_VALUE"""),"निकृष्ट जीवन न जियें : Rare Book")</f>
        <v>निकृष्ट जीवन न जियें : Rare Book</v>
      </c>
      <c r="CD576" s="3" t="str">
        <f ca="1">IFERROR(__xludf.DUMMYFUNCTION("""COMPUTED_VALUE"""),"https://vicharkrantibooks.org/productdetail?book_name=HINP0599_NIKRUSHT_JIVAN_NA_JIYEN_xx1979&amp;product_id=1164")</f>
        <v>https://vicharkrantibooks.org/productdetail?book_name=HINP0599_NIKRUSHT_JIVAN_NA_JIYEN_xx1979&amp;product_id=1164</v>
      </c>
      <c r="CE576" s="1" t="str">
        <f ca="1">IFERROR(__xludf.DUMMYFUNCTION("""COMPUTED_VALUE"""),"Audiobook : निकृष्ट जीवन न जियें : Rare Book : sunitaster@gmail.com : Recorded")</f>
        <v>Audiobook : निकृष्ट जीवन न जियें : Rare Book : sunitaster@gmail.com : Recorded</v>
      </c>
      <c r="CF576" s="1" t="str">
        <f ca="1">IFERROR(__xludf.DUMMYFUNCTION("""COMPUTED_VALUE"""),"#N/A")</f>
        <v>#N/A</v>
      </c>
      <c r="CG576" s="1" t="str">
        <f ca="1">IFERROR(__xludf.DUMMYFUNCTION("""COMPUTED_VALUE"""),"Adarniya Sunita Gupta ji निकृष्ट जीवन न जियें : Rare Book : Allocated on 17-Dec-23 Contact Number  6318822791")</f>
        <v>Adarniya Sunita Gupta ji निकृष्ट जीवन न जियें : Rare Book : Allocated on 17-Dec-23 Contact Number  6318822791</v>
      </c>
      <c r="CH576" s="1" t="str">
        <f ca="1">IFERROR(__xludf.DUMMYFUNCTION("""COMPUTED_VALUE"""),"sunitaster@gmail.com : निकृष्ट जीवन न जियें : Rare Book")</f>
        <v>sunitaster@gmail.com : निकृष्ट जीवन न जियें : Rare Book</v>
      </c>
      <c r="CI576" s="5">
        <f ca="1">IFERROR(__xludf.DUMMYFUNCTION("""COMPUTED_VALUE"""),45277.3574826736)</f>
        <v>45277.3574826736</v>
      </c>
    </row>
    <row r="577" spans="1:87" x14ac:dyDescent="0.25">
      <c r="A577" s="5">
        <f ca="1">IFERROR(__xludf.DUMMYFUNCTION("""COMPUTED_VALUE"""),45277.3492360648)</f>
        <v>45277.349236064802</v>
      </c>
      <c r="B577" s="1" t="str">
        <f ca="1">IFERROR(__xludf.DUMMYFUNCTION("""COMPUTED_VALUE"""),"jamunashukla17@gmail.com")</f>
        <v>jamunashukla17@gmail.com</v>
      </c>
      <c r="C577" s="1" t="str">
        <f ca="1">IFERROR(__xludf.DUMMYFUNCTION("""COMPUTED_VALUE"""),"Smt J  S  Shukla")</f>
        <v>Smt J  S  Shukla</v>
      </c>
      <c r="D577" s="1">
        <f ca="1">IFERROR(__xludf.DUMMYFUNCTION("""COMPUTED_VALUE"""),8390353167)</f>
        <v>8390353167</v>
      </c>
      <c r="E577" s="1" t="str">
        <f ca="1">IFERROR(__xludf.DUMMYFUNCTION("""COMPUTED_VALUE"""),"Yes")</f>
        <v>Yes</v>
      </c>
      <c r="F577" s="1" t="str">
        <f ca="1">IFERROR(__xludf.DUMMYFUNCTION("""COMPUTED_VALUE"""),"हिन्दी")</f>
        <v>हिन्दी</v>
      </c>
      <c r="G577" s="1" t="str">
        <f ca="1">IFERROR(__xludf.DUMMYFUNCTION("""COMPUTED_VALUE"""),"जीवन प्रबंध")</f>
        <v>जीवन प्रबंध</v>
      </c>
      <c r="H577" s="1"/>
      <c r="I577" s="1"/>
      <c r="J577" s="1"/>
      <c r="K577" s="1"/>
      <c r="L577" s="1" t="str">
        <f ca="1">IFERROR(__xludf.DUMMYFUNCTION("""COMPUTED_VALUE"""),"मानव जीवन की गरिमा")</f>
        <v>मानव जीवन की गरिमा</v>
      </c>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f ca="1">IFERROR(__xludf.DUMMYFUNCTION("""COMPUTED_VALUE"""),53)</f>
        <v>53</v>
      </c>
      <c r="BX577" s="1">
        <f ca="1">IFERROR(__xludf.DUMMYFUNCTION("""COMPUTED_VALUE"""),53)</f>
        <v>53</v>
      </c>
      <c r="BY577" s="1">
        <f ca="1">IFERROR(__xludf.DUMMYFUNCTION("""COMPUTED_VALUE"""),9)</f>
        <v>9</v>
      </c>
      <c r="BZ577" s="1">
        <f ca="1">IFERROR(__xludf.DUMMYFUNCTION("""COMPUTED_VALUE"""),25)</f>
        <v>25</v>
      </c>
      <c r="CA577" s="1"/>
      <c r="CB577" s="1"/>
      <c r="CC577" s="1" t="str">
        <f ca="1">IFERROR(__xludf.DUMMYFUNCTION("""COMPUTED_VALUE"""),"भावी महाभारत (पॉकेट) : H_SC_42")</f>
        <v>भावी महाभारत (पॉकेट) : H_SC_42</v>
      </c>
      <c r="CD577" s="3" t="str">
        <f ca="1">IFERROR(__xludf.DUMMYFUNCTION("""COMPUTED_VALUE"""),"https://vicharkrantibooks.org/productdetail?book_name=HINP0160_BHAVI_MAHABHARAT_(POCKET)_xxyyyy&amp;product_id=725")</f>
        <v>https://vicharkrantibooks.org/productdetail?book_name=HINP0160_BHAVI_MAHABHARAT_(POCKET)_xxyyyy&amp;product_id=725</v>
      </c>
      <c r="CE577" s="1" t="str">
        <f ca="1">IFERROR(__xludf.DUMMYFUNCTION("""COMPUTED_VALUE"""),"Audiobook : भावी महाभारत (पॉकेट) : H_SC_42 : jamunashukla17@gmail.com : Recorded")</f>
        <v>Audiobook : भावी महाभारत (पॉकेट) : H_SC_42 : jamunashukla17@gmail.com : Recorded</v>
      </c>
      <c r="CF577" s="1" t="str">
        <f ca="1">IFERROR(__xludf.DUMMYFUNCTION("""COMPUTED_VALUE"""),"#N/A")</f>
        <v>#N/A</v>
      </c>
      <c r="CG577" s="1" t="str">
        <f ca="1">IFERROR(__xludf.DUMMYFUNCTION("""COMPUTED_VALUE"""),"Adarniya Smt J  S  Shukla ji भावी महाभारत (पॉकेट) : H_SC_42 : Allocated on 17-Dec-23 Contact Number  8390353167")</f>
        <v>Adarniya Smt J  S  Shukla ji भावी महाभारत (पॉकेट) : H_SC_42 : Allocated on 17-Dec-23 Contact Number  8390353167</v>
      </c>
      <c r="CH577" s="1" t="str">
        <f ca="1">IFERROR(__xludf.DUMMYFUNCTION("""COMPUTED_VALUE"""),"jamunashukla17@gmail.com : भावी महाभारत (पॉकेट) : H_SC_42")</f>
        <v>jamunashukla17@gmail.com : भावी महाभारत (पॉकेट) : H_SC_42</v>
      </c>
      <c r="CI577" s="5">
        <f ca="1">IFERROR(__xludf.DUMMYFUNCTION("""COMPUTED_VALUE"""),45277.3492360648)</f>
        <v>45277.349236064802</v>
      </c>
    </row>
    <row r="578" spans="1:87" x14ac:dyDescent="0.25">
      <c r="A578" s="5">
        <f ca="1">IFERROR(__xludf.DUMMYFUNCTION("""COMPUTED_VALUE"""),45277.3182888888)</f>
        <v>45277.318288888797</v>
      </c>
      <c r="B578" s="1" t="str">
        <f ca="1">IFERROR(__xludf.DUMMYFUNCTION("""COMPUTED_VALUE"""),"purnima.bharadwaj.24@gmail.com")</f>
        <v>purnima.bharadwaj.24@gmail.com</v>
      </c>
      <c r="C578" s="1" t="str">
        <f ca="1">IFERROR(__xludf.DUMMYFUNCTION("""COMPUTED_VALUE"""),"पूर्णिमा भारद्वाज ")</f>
        <v xml:space="preserve">पूर्णिमा भारद्वाज </v>
      </c>
      <c r="D578" s="1">
        <f ca="1">IFERROR(__xludf.DUMMYFUNCTION("""COMPUTED_VALUE"""),9415389032)</f>
        <v>9415389032</v>
      </c>
      <c r="E578" s="1" t="str">
        <f ca="1">IFERROR(__xludf.DUMMYFUNCTION("""COMPUTED_VALUE"""),"Yes")</f>
        <v>Yes</v>
      </c>
      <c r="F578" s="1" t="str">
        <f ca="1">IFERROR(__xludf.DUMMYFUNCTION("""COMPUTED_VALUE"""),"हिन्दी")</f>
        <v>हिन्दी</v>
      </c>
      <c r="G578" s="1" t="str">
        <f ca="1">IFERROR(__xludf.DUMMYFUNCTION("""COMPUTED_VALUE"""),"युग द्रष्टा पं. श्रीराम शर्मा आचार्यजी")</f>
        <v>युग द्रष्टा पं. श्रीराम शर्मा आचार्यजी</v>
      </c>
      <c r="H578" s="1"/>
      <c r="I578" s="1"/>
      <c r="J578" s="1"/>
      <c r="K578" s="1"/>
      <c r="L578" s="1"/>
      <c r="M578" s="1"/>
      <c r="N578" s="1"/>
      <c r="O578" s="1"/>
      <c r="P578" s="1" t="str">
        <f ca="1">IFERROR(__xludf.DUMMYFUNCTION("""COMPUTED_VALUE"""),"युगॠषी की अमृतवाणी")</f>
        <v>युगॠषी की अमृतवाणी</v>
      </c>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f ca="1">IFERROR(__xludf.DUMMYFUNCTION("""COMPUTED_VALUE"""),43)</f>
        <v>43</v>
      </c>
      <c r="BX578" s="1">
        <f ca="1">IFERROR(__xludf.DUMMYFUNCTION("""COMPUTED_VALUE"""),36)</f>
        <v>36</v>
      </c>
      <c r="BY578" s="1">
        <f ca="1">IFERROR(__xludf.DUMMYFUNCTION("""COMPUTED_VALUE"""),9)</f>
        <v>9</v>
      </c>
      <c r="BZ578" s="1">
        <f ca="1">IFERROR(__xludf.DUMMYFUNCTION("""COMPUTED_VALUE"""),30)</f>
        <v>30</v>
      </c>
      <c r="CA578" s="1"/>
      <c r="CB578" s="1"/>
      <c r="CC578" s="1" t="str">
        <f ca="1">IFERROR(__xludf.DUMMYFUNCTION("""COMPUTED_VALUE"""),"मनुष्य एक भटका हुआ देवता : H_JS_62")</f>
        <v>मनुष्य एक भटका हुआ देवता : H_JS_62</v>
      </c>
      <c r="CD578" s="3" t="str">
        <f ca="1">IFERROR(__xludf.DUMMYFUNCTION("""COMPUTED_VALUE"""),"https://vicharkrantibooks.org/productdetail?book_name=HINP0525_MANUSHY_EK_BHATAKA_HUA_DEVATA_xx2011&amp;product_id=1090")</f>
        <v>https://vicharkrantibooks.org/productdetail?book_name=HINP0525_MANUSHY_EK_BHATAKA_HUA_DEVATA_xx2011&amp;product_id=1090</v>
      </c>
      <c r="CE578" s="1" t="str">
        <f ca="1">IFERROR(__xludf.DUMMYFUNCTION("""COMPUTED_VALUE"""),"Audiobook : मनुष्य एक भटका हुआ देवता : H_JS_62 : purnima.bharadwaj.24@gmail.com : Recorded")</f>
        <v>Audiobook : मनुष्य एक भटका हुआ देवता : H_JS_62 : purnima.bharadwaj.24@gmail.com : Recorded</v>
      </c>
      <c r="CF578" s="1" t="str">
        <f ca="1">IFERROR(__xludf.DUMMYFUNCTION("""COMPUTED_VALUE"""),"Audiobook : मनुष्य एक भटका हुआ देवता : H_JS_62 : purnima.bharadwaj.24@gmail.com : Recorded")</f>
        <v>Audiobook : मनुष्य एक भटका हुआ देवता : H_JS_62 : purnima.bharadwaj.24@gmail.com : Recorded</v>
      </c>
      <c r="CG578" s="1" t="str">
        <f ca="1">IFERROR(__xludf.DUMMYFUNCTION("""COMPUTED_VALUE"""),"Adarniya पूर्णिमा भारद्वाज  ji मनुष्य एक भटका हुआ देवता : H_JS_62 : Allocated on 17-Dec-23 Contact Number  9415389032")</f>
        <v>Adarniya पूर्णिमा भारद्वाज  ji मनुष्य एक भटका हुआ देवता : H_JS_62 : Allocated on 17-Dec-23 Contact Number  9415389032</v>
      </c>
      <c r="CH578" s="1" t="str">
        <f ca="1">IFERROR(__xludf.DUMMYFUNCTION("""COMPUTED_VALUE"""),"purnima.bharadwaj.24@gmail.com : मनुष्य एक भटका हुआ देवता : H_JS_62")</f>
        <v>purnima.bharadwaj.24@gmail.com : मनुष्य एक भटका हुआ देवता : H_JS_62</v>
      </c>
      <c r="CI578" s="5">
        <f ca="1">IFERROR(__xludf.DUMMYFUNCTION("""COMPUTED_VALUE"""),45277.3182888888)</f>
        <v>45277.318288888797</v>
      </c>
    </row>
    <row r="579" spans="1:87" x14ac:dyDescent="0.25">
      <c r="A579" s="5">
        <f ca="1">IFERROR(__xludf.DUMMYFUNCTION("""COMPUTED_VALUE"""),45276.0774369097)</f>
        <v>45276.077436909698</v>
      </c>
      <c r="B579" s="1" t="str">
        <f ca="1">IFERROR(__xludf.DUMMYFUNCTION("""COMPUTED_VALUE"""),"anu161965@gmail.com")</f>
        <v>anu161965@gmail.com</v>
      </c>
      <c r="C579" s="1" t="str">
        <f ca="1">IFERROR(__xludf.DUMMYFUNCTION("""COMPUTED_VALUE"""),"Anureeta awadh")</f>
        <v>Anureeta awadh</v>
      </c>
      <c r="D579" s="1">
        <f ca="1">IFERROR(__xludf.DUMMYFUNCTION("""COMPUTED_VALUE"""),8860314422)</f>
        <v>8860314422</v>
      </c>
      <c r="E579" s="1" t="str">
        <f ca="1">IFERROR(__xludf.DUMMYFUNCTION("""COMPUTED_VALUE"""),"Yes")</f>
        <v>Yes</v>
      </c>
      <c r="F579" s="1" t="str">
        <f ca="1">IFERROR(__xludf.DUMMYFUNCTION("""COMPUTED_VALUE"""),"हिन्दी")</f>
        <v>हिन्दी</v>
      </c>
      <c r="G579" s="1" t="str">
        <f ca="1">IFERROR(__xludf.DUMMYFUNCTION("""COMPUTED_VALUE"""),"वैज्ञानिक अध्यात्मवाद का प्रतिपादन")</f>
        <v>वैज्ञानिक अध्यात्मवाद का प्रतिपादन</v>
      </c>
      <c r="H579" s="1"/>
      <c r="I579" s="1"/>
      <c r="J579" s="1"/>
      <c r="K579" s="1"/>
      <c r="L579" s="1"/>
      <c r="M579" s="1"/>
      <c r="N579" s="1"/>
      <c r="O579" s="1"/>
      <c r="P579" s="1"/>
      <c r="Q579" s="1"/>
      <c r="R579" s="1"/>
      <c r="S579" s="1" t="str">
        <f ca="1">IFERROR(__xludf.DUMMYFUNCTION("""COMPUTED_VALUE"""),"वैज्ञानिक अध्यात्मवाद का प्रतिपादन")</f>
        <v>वैज्ञानिक अध्यात्मवाद का प्रतिपादन</v>
      </c>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f ca="1">IFERROR(__xludf.DUMMYFUNCTION("""COMPUTED_VALUE"""),24)</f>
        <v>24</v>
      </c>
      <c r="BX579" s="1">
        <f ca="1">IFERROR(__xludf.DUMMYFUNCTION("""COMPUTED_VALUE"""),18)</f>
        <v>18</v>
      </c>
      <c r="BY579" s="1">
        <f ca="1">IFERROR(__xludf.DUMMYFUNCTION("""COMPUTED_VALUE"""),7)</f>
        <v>7</v>
      </c>
      <c r="BZ579" s="1">
        <f ca="1">IFERROR(__xludf.DUMMYFUNCTION("""COMPUTED_VALUE"""),5)</f>
        <v>5</v>
      </c>
      <c r="CA579" s="1"/>
      <c r="CB579" s="1"/>
      <c r="CC579" s="1" t="str">
        <f ca="1">IFERROR(__xludf.DUMMYFUNCTION("""COMPUTED_VALUE"""),"आध्यात्मिक विज्ञान की भी प्रगति हो : Rare Book")</f>
        <v>आध्यात्मिक विज्ञान की भी प्रगति हो : Rare Book</v>
      </c>
      <c r="CD579" s="3" t="str">
        <f ca="1">IFERROR(__xludf.DUMMYFUNCTION("""COMPUTED_VALUE"""),"https://vicharkrantibooks.org/productdetail?book_name=HINF0016_ADHYATMIK_VIGYAN_KI_BHI_PRAGATI_HO_xxyyyy&amp;product_id=236")</f>
        <v>https://vicharkrantibooks.org/productdetail?book_name=HINF0016_ADHYATMIK_VIGYAN_KI_BHI_PRAGATI_HO_xxyyyy&amp;product_id=236</v>
      </c>
      <c r="CE579" s="1" t="str">
        <f ca="1">IFERROR(__xludf.DUMMYFUNCTION("""COMPUTED_VALUE"""),"Audiobook : आध्यात्मिक विज्ञान की भी प्रगति हो : Rare Book : anu161965@gmail.com : Recorded")</f>
        <v>Audiobook : आध्यात्मिक विज्ञान की भी प्रगति हो : Rare Book : anu161965@gmail.com : Recorded</v>
      </c>
      <c r="CF579" s="1" t="str">
        <f ca="1">IFERROR(__xludf.DUMMYFUNCTION("""COMPUTED_VALUE"""),"#N/A")</f>
        <v>#N/A</v>
      </c>
      <c r="CG579" s="1" t="str">
        <f ca="1">IFERROR(__xludf.DUMMYFUNCTION("""COMPUTED_VALUE"""),"Adarniya Anureeta awadh ji आध्यात्मिक विज्ञान की भी प्रगति हो : Rare Book : Allocated on 16-Dec-23 Contact Number  8860314422")</f>
        <v>Adarniya Anureeta awadh ji आध्यात्मिक विज्ञान की भी प्रगति हो : Rare Book : Allocated on 16-Dec-23 Contact Number  8860314422</v>
      </c>
      <c r="CH579" s="1" t="str">
        <f ca="1">IFERROR(__xludf.DUMMYFUNCTION("""COMPUTED_VALUE"""),"anu161965@gmail.com : आध्यात्मिक विज्ञान की भी प्रगति हो : Rare Book")</f>
        <v>anu161965@gmail.com : आध्यात्मिक विज्ञान की भी प्रगति हो : Rare Book</v>
      </c>
      <c r="CI579" s="5">
        <f ca="1">IFERROR(__xludf.DUMMYFUNCTION("""COMPUTED_VALUE"""),45276.0774369097)</f>
        <v>45276.077436909698</v>
      </c>
    </row>
    <row r="580" spans="1:87" x14ac:dyDescent="0.25">
      <c r="A580" s="5">
        <f ca="1">IFERROR(__xludf.DUMMYFUNCTION("""COMPUTED_VALUE"""),45273.8324327199)</f>
        <v>45273.832432719901</v>
      </c>
      <c r="B580" s="1" t="str">
        <f ca="1">IFERROR(__xludf.DUMMYFUNCTION("""COMPUTED_VALUE"""),"ojhakrishna2310@gmail.com")</f>
        <v>ojhakrishna2310@gmail.com</v>
      </c>
      <c r="C580" s="1" t="str">
        <f ca="1">IFERROR(__xludf.DUMMYFUNCTION("""COMPUTED_VALUE"""),"Krishna Ojha")</f>
        <v>Krishna Ojha</v>
      </c>
      <c r="D580" s="1">
        <f ca="1">IFERROR(__xludf.DUMMYFUNCTION("""COMPUTED_VALUE"""),9637907058)</f>
        <v>9637907058</v>
      </c>
      <c r="E580" s="1" t="str">
        <f ca="1">IFERROR(__xludf.DUMMYFUNCTION("""COMPUTED_VALUE"""),"Yes")</f>
        <v>Yes</v>
      </c>
      <c r="F580" s="1" t="str">
        <f ca="1">IFERROR(__xludf.DUMMYFUNCTION("""COMPUTED_VALUE"""),"हिन्दी")</f>
        <v>हिन्दी</v>
      </c>
      <c r="G580" s="1" t="str">
        <f ca="1">IFERROR(__xludf.DUMMYFUNCTION("""COMPUTED_VALUE"""),"जीवन प्रबंध")</f>
        <v>जीवन प्रबंध</v>
      </c>
      <c r="H580" s="1"/>
      <c r="I580" s="1"/>
      <c r="J580" s="1"/>
      <c r="K580" s="1"/>
      <c r="L580" s="1" t="str">
        <f ca="1">IFERROR(__xludf.DUMMYFUNCTION("""COMPUTED_VALUE"""),"मन की शक्ति एवं मनोविज्ञान")</f>
        <v>मन की शक्ति एवं मनोविज्ञान</v>
      </c>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f ca="1">IFERROR(__xludf.DUMMYFUNCTION("""COMPUTED_VALUE"""),13)</f>
        <v>13</v>
      </c>
      <c r="BX580" s="1">
        <f ca="1">IFERROR(__xludf.DUMMYFUNCTION("""COMPUTED_VALUE"""),6)</f>
        <v>6</v>
      </c>
      <c r="BY580" s="1">
        <f ca="1">IFERROR(__xludf.DUMMYFUNCTION("""COMPUTED_VALUE"""),8)</f>
        <v>8</v>
      </c>
      <c r="BZ580" s="1">
        <f ca="1">IFERROR(__xludf.DUMMYFUNCTION("""COMPUTED_VALUE"""),0)</f>
        <v>0</v>
      </c>
      <c r="CA580" s="1"/>
      <c r="CB580" s="1"/>
      <c r="CC580" s="1" t="str">
        <f ca="1">IFERROR(__xludf.DUMMYFUNCTION("""COMPUTED_VALUE"""),"प्रगति शांति और प्रसन्नता : Rare Book")</f>
        <v>प्रगति शांति और प्रसन्नता : Rare Book</v>
      </c>
      <c r="CD580" s="3" t="str">
        <f ca="1">IFERROR(__xludf.DUMMYFUNCTION("""COMPUTED_VALUE"""),"https://vicharkrantibooks.org/productdetail?book_name=HINP0653_PRAGATI_SHANTI_AUR_PRASANNATA_xx1981&amp;product_id=1218")</f>
        <v>https://vicharkrantibooks.org/productdetail?book_name=HINP0653_PRAGATI_SHANTI_AUR_PRASANNATA_xx1981&amp;product_id=1218</v>
      </c>
      <c r="CE580" s="1" t="str">
        <f ca="1">IFERROR(__xludf.DUMMYFUNCTION("""COMPUTED_VALUE"""),"Audiobook : प्रगति शांति और प्रसन्नता : Rare Book : ojhakrishna2310@gmail.com : Recorded")</f>
        <v>Audiobook : प्रगति शांति और प्रसन्नता : Rare Book : ojhakrishna2310@gmail.com : Recorded</v>
      </c>
      <c r="CF580" s="1" t="str">
        <f ca="1">IFERROR(__xludf.DUMMYFUNCTION("""COMPUTED_VALUE"""),"#N/A")</f>
        <v>#N/A</v>
      </c>
      <c r="CG580" s="1" t="str">
        <f ca="1">IFERROR(__xludf.DUMMYFUNCTION("""COMPUTED_VALUE"""),"Adarniya Krishna Ojha ji प्रगति शांति और प्रसन्नता : Rare Book : Allocated on 13-Dec-23 Contact Number  9637907058")</f>
        <v>Adarniya Krishna Ojha ji प्रगति शांति और प्रसन्नता : Rare Book : Allocated on 13-Dec-23 Contact Number  9637907058</v>
      </c>
      <c r="CH580" s="1" t="str">
        <f ca="1">IFERROR(__xludf.DUMMYFUNCTION("""COMPUTED_VALUE"""),"ojhakrishna2310@gmail.com : प्रगति शांति और प्रसन्नता : Rare Book")</f>
        <v>ojhakrishna2310@gmail.com : प्रगति शांति और प्रसन्नता : Rare Book</v>
      </c>
      <c r="CI580" s="5">
        <f ca="1">IFERROR(__xludf.DUMMYFUNCTION("""COMPUTED_VALUE"""),45273.8324327199)</f>
        <v>45273.832432719901</v>
      </c>
    </row>
    <row r="581" spans="1:87" x14ac:dyDescent="0.25">
      <c r="A581" s="5">
        <f ca="1">IFERROR(__xludf.DUMMYFUNCTION("""COMPUTED_VALUE"""),45273.7547709143)</f>
        <v>45273.754770914296</v>
      </c>
      <c r="B581" s="1" t="str">
        <f ca="1">IFERROR(__xludf.DUMMYFUNCTION("""COMPUTED_VALUE"""),"druma4107@gmail.com")</f>
        <v>druma4107@gmail.com</v>
      </c>
      <c r="C581" s="1" t="str">
        <f ca="1">IFERROR(__xludf.DUMMYFUNCTION("""COMPUTED_VALUE"""),"Dr Uma Agrawal ")</f>
        <v xml:space="preserve">Dr Uma Agrawal </v>
      </c>
      <c r="D581" s="1">
        <f ca="1">IFERROR(__xludf.DUMMYFUNCTION("""COMPUTED_VALUE"""),9410861182)</f>
        <v>9410861182</v>
      </c>
      <c r="E581" s="1" t="str">
        <f ca="1">IFERROR(__xludf.DUMMYFUNCTION("""COMPUTED_VALUE"""),"Yes")</f>
        <v>Yes</v>
      </c>
      <c r="F581" s="1" t="str">
        <f ca="1">IFERROR(__xludf.DUMMYFUNCTION("""COMPUTED_VALUE"""),"हिन्दी")</f>
        <v>हिन्दी</v>
      </c>
      <c r="G581" s="1" t="str">
        <f ca="1">IFERROR(__xludf.DUMMYFUNCTION("""COMPUTED_VALUE"""),"समग्र स्वास्थ्य")</f>
        <v>समग्र स्वास्थ्य</v>
      </c>
      <c r="H581" s="1"/>
      <c r="I581" s="1"/>
      <c r="J581" s="1"/>
      <c r="K581" s="1"/>
      <c r="L581" s="1"/>
      <c r="M581" s="1"/>
      <c r="N581" s="1"/>
      <c r="O581" s="1"/>
      <c r="P581" s="1"/>
      <c r="Q581" s="1"/>
      <c r="R581" s="1"/>
      <c r="S581" s="1"/>
      <c r="T581" s="1"/>
      <c r="U581" s="1" t="str">
        <f ca="1">IFERROR(__xludf.DUMMYFUNCTION("""COMPUTED_VALUE"""),"मानसिक स्वास्थ्य")</f>
        <v>मानसिक स्वास्थ्य</v>
      </c>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f ca="1">IFERROR(__xludf.DUMMYFUNCTION("""COMPUTED_VALUE"""),104)</f>
        <v>104</v>
      </c>
      <c r="BX581" s="1">
        <f ca="1">IFERROR(__xludf.DUMMYFUNCTION("""COMPUTED_VALUE"""),106)</f>
        <v>106</v>
      </c>
      <c r="BY581" s="1">
        <f ca="1">IFERROR(__xludf.DUMMYFUNCTION("""COMPUTED_VALUE"""),9)</f>
        <v>9</v>
      </c>
      <c r="BZ581" s="1">
        <f ca="1">IFERROR(__xludf.DUMMYFUNCTION("""COMPUTED_VALUE"""),43)</f>
        <v>43</v>
      </c>
      <c r="CA581" s="1"/>
      <c r="CB581" s="1"/>
      <c r="CC581" s="1" t="str">
        <f ca="1">IFERROR(__xludf.DUMMYFUNCTION("""COMPUTED_VALUE"""),"दवाएँ खाते जाए रोग बढाते जाएँ यह कहाँ तक उचित है : Rare Book")</f>
        <v>दवाएँ खाते जाए रोग बढाते जाएँ यह कहाँ तक उचित है : Rare Book</v>
      </c>
      <c r="CD581" s="3" t="str">
        <f ca="1">IFERROR(__xludf.DUMMYFUNCTION("""COMPUTED_VALUE"""),"https://vicharkrantibooks.org/productdetail?book_name=HINP0205_DAVAEN_KHATE_JAEN_ROG_BADHATE_JAEN_YAH_KAHAN_TAK_%E2%80%8B%E2%80%8BUCHIT_HAI_xx1982&amp;product_id=770")</f>
        <v>https://vicharkrantibooks.org/productdetail?book_name=HINP0205_DAVAEN_KHATE_JAEN_ROG_BADHATE_JAEN_YAH_KAHAN_TAK_%E2%80%8B%E2%80%8BUCHIT_HAI_xx1982&amp;product_id=770</v>
      </c>
      <c r="CE581" s="1" t="str">
        <f ca="1">IFERROR(__xludf.DUMMYFUNCTION("""COMPUTED_VALUE"""),"Audiobook : दवाएँ खाते जाए रोग बढाते जाएँ यह कहाँ तक उचित है : Rare Book : druma4107@gmail.com : Recorded")</f>
        <v>Audiobook : दवाएँ खाते जाए रोग बढाते जाएँ यह कहाँ तक उचित है : Rare Book : druma4107@gmail.com : Recorded</v>
      </c>
      <c r="CF581" s="1" t="str">
        <f ca="1">IFERROR(__xludf.DUMMYFUNCTION("""COMPUTED_VALUE"""),"Audiobook : दवाएँ खाते जाए रोग बढाते जाएँ यह कहाँ तक उचित है : Rare Book : druma4107@gmail.com : Recorded")</f>
        <v>Audiobook : दवाएँ खाते जाए रोग बढाते जाएँ यह कहाँ तक उचित है : Rare Book : druma4107@gmail.com : Recorded</v>
      </c>
      <c r="CG581" s="1" t="str">
        <f ca="1">IFERROR(__xludf.DUMMYFUNCTION("""COMPUTED_VALUE"""),"Adarniya Dr Uma Agrawal  ji दवाएँ खाते जाए रोग बढाते जाएँ यह कहाँ तक उचित है : Rare Book : Allocated on 13-Dec-23 Contact Number  9410861182")</f>
        <v>Adarniya Dr Uma Agrawal  ji दवाएँ खाते जाए रोग बढाते जाएँ यह कहाँ तक उचित है : Rare Book : Allocated on 13-Dec-23 Contact Number  9410861182</v>
      </c>
      <c r="CH581" s="1" t="str">
        <f ca="1">IFERROR(__xludf.DUMMYFUNCTION("""COMPUTED_VALUE"""),"druma4107@gmail.com : दवाएँ खाते जाए रोग बढाते जाएँ यह कहाँ तक उचित है : Rare Book")</f>
        <v>druma4107@gmail.com : दवाएँ खाते जाए रोग बढाते जाएँ यह कहाँ तक उचित है : Rare Book</v>
      </c>
      <c r="CI581" s="5">
        <f ca="1">IFERROR(__xludf.DUMMYFUNCTION("""COMPUTED_VALUE"""),45273.7547709143)</f>
        <v>45273.754770914296</v>
      </c>
    </row>
    <row r="582" spans="1:87" x14ac:dyDescent="0.25">
      <c r="A582" s="5">
        <f ca="1">IFERROR(__xludf.DUMMYFUNCTION("""COMPUTED_VALUE"""),45270.8411268171)</f>
        <v>45270.841126817097</v>
      </c>
      <c r="B582" s="1" t="str">
        <f ca="1">IFERROR(__xludf.DUMMYFUNCTION("""COMPUTED_VALUE"""),"rbbansalriya@gmail.com")</f>
        <v>rbbansalriya@gmail.com</v>
      </c>
      <c r="C582" s="1" t="str">
        <f ca="1">IFERROR(__xludf.DUMMYFUNCTION("""COMPUTED_VALUE"""),"Riya bansal ")</f>
        <v xml:space="preserve">Riya bansal </v>
      </c>
      <c r="D582" s="1">
        <f ca="1">IFERROR(__xludf.DUMMYFUNCTION("""COMPUTED_VALUE"""),9176361023)</f>
        <v>9176361023</v>
      </c>
      <c r="E582" s="1" t="str">
        <f ca="1">IFERROR(__xludf.DUMMYFUNCTION("""COMPUTED_VALUE"""),"Yes")</f>
        <v>Yes</v>
      </c>
      <c r="F582" s="1" t="str">
        <f ca="1">IFERROR(__xludf.DUMMYFUNCTION("""COMPUTED_VALUE"""),"हिन्दी")</f>
        <v>हिन्दी</v>
      </c>
      <c r="G582" s="1" t="str">
        <f ca="1">IFERROR(__xludf.DUMMYFUNCTION("""COMPUTED_VALUE"""),"राष्ट्र निर्माण")</f>
        <v>राष्ट्र निर्माण</v>
      </c>
      <c r="H582" s="1"/>
      <c r="I582" s="1"/>
      <c r="J582" s="1"/>
      <c r="K582" s="1"/>
      <c r="L582" s="1"/>
      <c r="M582" s="1"/>
      <c r="N582" s="1"/>
      <c r="O582" s="1"/>
      <c r="P582" s="1"/>
      <c r="Q582" s="1"/>
      <c r="R582" s="1" t="str">
        <f ca="1">IFERROR(__xludf.DUMMYFUNCTION("""COMPUTED_VALUE"""),"गोपालन और ग्रामोत्थान")</f>
        <v>गोपालन और ग्रामोत्थान</v>
      </c>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f ca="1">IFERROR(__xludf.DUMMYFUNCTION("""COMPUTED_VALUE"""),54)</f>
        <v>54</v>
      </c>
      <c r="BX582" s="1">
        <f ca="1">IFERROR(__xludf.DUMMYFUNCTION("""COMPUTED_VALUE"""),55)</f>
        <v>55</v>
      </c>
      <c r="BY582" s="1">
        <f ca="1">IFERROR(__xludf.DUMMYFUNCTION("""COMPUTED_VALUE"""),9)</f>
        <v>9</v>
      </c>
      <c r="BZ582" s="1">
        <f ca="1">IFERROR(__xludf.DUMMYFUNCTION("""COMPUTED_VALUE"""),43)</f>
        <v>43</v>
      </c>
      <c r="CA582" s="1"/>
      <c r="CB582" s="1"/>
      <c r="CC582" s="1" t="str">
        <f ca="1">IFERROR(__xludf.DUMMYFUNCTION("""COMPUTED_VALUE"""),"सर्वनाशी मद्यपान  : H_VM_15")</f>
        <v>सर्वनाशी मद्यपान  : H_VM_15</v>
      </c>
      <c r="CD582" s="3" t="str">
        <f ca="1">IFERROR(__xludf.DUMMYFUNCTION("""COMPUTED_VALUE"""),"https://vicharkrantibooks.org/productdetail?book_name=HINP0814_SARVANASHI_MADYAPAN_xxyyyy&amp;product_id=1379")</f>
        <v>https://vicharkrantibooks.org/productdetail?book_name=HINP0814_SARVANASHI_MADYAPAN_xxyyyy&amp;product_id=1379</v>
      </c>
      <c r="CE582" s="1" t="str">
        <f ca="1">IFERROR(__xludf.DUMMYFUNCTION("""COMPUTED_VALUE"""),"Audiobook : सर्वनाशी मद्यपान  : H_VM_15 : rbbansalriya@gmail.com : Recorded")</f>
        <v>Audiobook : सर्वनाशी मद्यपान  : H_VM_15 : rbbansalriya@gmail.com : Recorded</v>
      </c>
      <c r="CF582" s="1" t="str">
        <f ca="1">IFERROR(__xludf.DUMMYFUNCTION("""COMPUTED_VALUE"""),"#N/A")</f>
        <v>#N/A</v>
      </c>
      <c r="CG582" s="1" t="str">
        <f ca="1">IFERROR(__xludf.DUMMYFUNCTION("""COMPUTED_VALUE"""),"Adarniya Riya bansal  ji सर्वनाशी मद्यपान  : H_VM_15 : Allocated on 10-Dec-23 Contact Number  9176361023")</f>
        <v>Adarniya Riya bansal  ji सर्वनाशी मद्यपान  : H_VM_15 : Allocated on 10-Dec-23 Contact Number  9176361023</v>
      </c>
      <c r="CH582" s="1" t="str">
        <f ca="1">IFERROR(__xludf.DUMMYFUNCTION("""COMPUTED_VALUE"""),"rbbansalriya@gmail.com : सर्वनाशी मद्यपान  : H_VM_15")</f>
        <v>rbbansalriya@gmail.com : सर्वनाशी मद्यपान  : H_VM_15</v>
      </c>
      <c r="CI582" s="5">
        <f ca="1">IFERROR(__xludf.DUMMYFUNCTION("""COMPUTED_VALUE"""),45270.8411268171)</f>
        <v>45270.841126817097</v>
      </c>
    </row>
    <row r="583" spans="1:87" x14ac:dyDescent="0.25">
      <c r="A583" s="5">
        <f ca="1">IFERROR(__xludf.DUMMYFUNCTION("""COMPUTED_VALUE"""),45270.5995255439)</f>
        <v>45270.599525543897</v>
      </c>
      <c r="B583" s="1" t="str">
        <f ca="1">IFERROR(__xludf.DUMMYFUNCTION("""COMPUTED_VALUE"""),"suryakriti18@gmail.com")</f>
        <v>suryakriti18@gmail.com</v>
      </c>
      <c r="C583" s="1" t="str">
        <f ca="1">IFERROR(__xludf.DUMMYFUNCTION("""COMPUTED_VALUE"""),"Sanjeev kumar ")</f>
        <v xml:space="preserve">Sanjeev kumar </v>
      </c>
      <c r="D583" s="1">
        <f ca="1">IFERROR(__xludf.DUMMYFUNCTION("""COMPUTED_VALUE"""),9873714108)</f>
        <v>9873714108</v>
      </c>
      <c r="E583" s="1" t="str">
        <f ca="1">IFERROR(__xludf.DUMMYFUNCTION("""COMPUTED_VALUE"""),"Yes")</f>
        <v>Yes</v>
      </c>
      <c r="F583" s="1" t="str">
        <f ca="1">IFERROR(__xludf.DUMMYFUNCTION("""COMPUTED_VALUE"""),"हिन्दी")</f>
        <v>हिन्दी</v>
      </c>
      <c r="G583" s="1" t="str">
        <f ca="1">IFERROR(__xludf.DUMMYFUNCTION("""COMPUTED_VALUE"""),"युग द्रष्टा पं. श्रीराम शर्मा आचार्यजी")</f>
        <v>युग द्रष्टा पं. श्रीराम शर्मा आचार्यजी</v>
      </c>
      <c r="H583" s="1"/>
      <c r="I583" s="1"/>
      <c r="J583" s="1"/>
      <c r="K583" s="1"/>
      <c r="L583" s="1"/>
      <c r="M583" s="1"/>
      <c r="N583" s="1"/>
      <c r="O583" s="1"/>
      <c r="P583" s="1" t="str">
        <f ca="1">IFERROR(__xludf.DUMMYFUNCTION("""COMPUTED_VALUE"""),"युगॠषी का जीवनदर्शन")</f>
        <v>युगॠषी का जीवनदर्शन</v>
      </c>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f ca="1">IFERROR(__xludf.DUMMYFUNCTION("""COMPUTED_VALUE"""),4)</f>
        <v>4</v>
      </c>
      <c r="BX583" s="1">
        <f ca="1">IFERROR(__xludf.DUMMYFUNCTION("""COMPUTED_VALUE"""),1)</f>
        <v>1</v>
      </c>
      <c r="BY583" s="1">
        <f ca="1">IFERROR(__xludf.DUMMYFUNCTION("""COMPUTED_VALUE"""),3)</f>
        <v>3</v>
      </c>
      <c r="BZ583" s="1">
        <f ca="1">IFERROR(__xludf.DUMMYFUNCTION("""COMPUTED_VALUE"""),0)</f>
        <v>0</v>
      </c>
      <c r="CA583" s="1"/>
      <c r="CB583" s="1"/>
      <c r="CC583" s="1" t="str">
        <f ca="1">IFERROR(__xludf.DUMMYFUNCTION("""COMPUTED_VALUE"""),"महाकाल का संदेश जाग्रत्‌ आत्माओं के नाम : H_SC_05")</f>
        <v>महाकाल का संदेश जाग्रत्‌ आत्माओं के नाम : H_SC_05</v>
      </c>
      <c r="CD583" s="3" t="str">
        <f ca="1">IFERROR(__xludf.DUMMYFUNCTION("""COMPUTED_VALUE"""),"https://vicharkrantibooks.org/productdetail?book_name=HINP0466_MAHAKAL_KA_SANDESH_JAAGRUT_ATMAON_KE_NAM_xxyyyy&amp;product_id=1031")</f>
        <v>https://vicharkrantibooks.org/productdetail?book_name=HINP0466_MAHAKAL_KA_SANDESH_JAAGRUT_ATMAON_KE_NAM_xxyyyy&amp;product_id=1031</v>
      </c>
      <c r="CE583" s="1" t="str">
        <f ca="1">IFERROR(__xludf.DUMMYFUNCTION("""COMPUTED_VALUE"""),"Audiobook : महाकाल का संदेश जाग्रत्‌ आत्माओं के नाम : H_SC_05 : suryakriti18@gmail.com : Recorded")</f>
        <v>Audiobook : महाकाल का संदेश जाग्रत्‌ आत्माओं के नाम : H_SC_05 : suryakriti18@gmail.com : Recorded</v>
      </c>
      <c r="CF583" s="1" t="str">
        <f ca="1">IFERROR(__xludf.DUMMYFUNCTION("""COMPUTED_VALUE"""),"#N/A")</f>
        <v>#N/A</v>
      </c>
      <c r="CG583" s="1" t="str">
        <f ca="1">IFERROR(__xludf.DUMMYFUNCTION("""COMPUTED_VALUE"""),"Adarniya Sanjeev kumar  ji महाकाल का संदेश जाग्रत्‌ आत्माओं के नाम : H_SC_05 : Allocated on 10-Dec-23 Contact Number  9873714108")</f>
        <v>Adarniya Sanjeev kumar  ji महाकाल का संदेश जाग्रत्‌ आत्माओं के नाम : H_SC_05 : Allocated on 10-Dec-23 Contact Number  9873714108</v>
      </c>
      <c r="CH583" s="1" t="str">
        <f ca="1">IFERROR(__xludf.DUMMYFUNCTION("""COMPUTED_VALUE"""),"suryakriti18@gmail.com : महाकाल का संदेश जाग्रत्‌ आत्माओं के नाम : H_SC_05")</f>
        <v>suryakriti18@gmail.com : महाकाल का संदेश जाग्रत्‌ आत्माओं के नाम : H_SC_05</v>
      </c>
      <c r="CI583" s="5">
        <f ca="1">IFERROR(__xludf.DUMMYFUNCTION("""COMPUTED_VALUE"""),45270.5995255439)</f>
        <v>45270.599525543897</v>
      </c>
    </row>
    <row r="584" spans="1:87" x14ac:dyDescent="0.25">
      <c r="A584" s="5">
        <f ca="1">IFERROR(__xludf.DUMMYFUNCTION("""COMPUTED_VALUE"""),45269.784695324)</f>
        <v>45269.784695324</v>
      </c>
      <c r="B584" s="1" t="str">
        <f ca="1">IFERROR(__xludf.DUMMYFUNCTION("""COMPUTED_VALUE"""),"guptarakhi072@gmail.com")</f>
        <v>guptarakhi072@gmail.com</v>
      </c>
      <c r="C584" s="1" t="str">
        <f ca="1">IFERROR(__xludf.DUMMYFUNCTION("""COMPUTED_VALUE"""),"Rakhi Gupta ")</f>
        <v xml:space="preserve">Rakhi Gupta </v>
      </c>
      <c r="D584" s="1">
        <f ca="1">IFERROR(__xludf.DUMMYFUNCTION("""COMPUTED_VALUE"""),8128540757)</f>
        <v>8128540757</v>
      </c>
      <c r="E584" s="1" t="str">
        <f ca="1">IFERROR(__xludf.DUMMYFUNCTION("""COMPUTED_VALUE"""),"Yes")</f>
        <v>Yes</v>
      </c>
      <c r="F584" s="1" t="str">
        <f ca="1">IFERROR(__xludf.DUMMYFUNCTION("""COMPUTED_VALUE"""),"हिन्दी")</f>
        <v>हिन्दी</v>
      </c>
      <c r="G584" s="1" t="str">
        <f ca="1">IFERROR(__xludf.DUMMYFUNCTION("""COMPUTED_VALUE"""),"युग द्रष्टा पं. श्रीराम शर्मा आचार्यजी")</f>
        <v>युग द्रष्टा पं. श्रीराम शर्मा आचार्यजी</v>
      </c>
      <c r="H584" s="1"/>
      <c r="I584" s="1"/>
      <c r="J584" s="1"/>
      <c r="K584" s="1"/>
      <c r="L584" s="1"/>
      <c r="M584" s="1"/>
      <c r="N584" s="1"/>
      <c r="O584" s="1"/>
      <c r="P584" s="1" t="str">
        <f ca="1">IFERROR(__xludf.DUMMYFUNCTION("""COMPUTED_VALUE"""),"युगॠषी की अमृतवाणी")</f>
        <v>युगॠषी की अमृतवाणी</v>
      </c>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f ca="1">IFERROR(__xludf.DUMMYFUNCTION("""COMPUTED_VALUE"""),21)</f>
        <v>21</v>
      </c>
      <c r="BX584" s="1">
        <f ca="1">IFERROR(__xludf.DUMMYFUNCTION("""COMPUTED_VALUE"""),20)</f>
        <v>20</v>
      </c>
      <c r="BY584" s="1">
        <f ca="1">IFERROR(__xludf.DUMMYFUNCTION("""COMPUTED_VALUE"""),2)</f>
        <v>2</v>
      </c>
      <c r="BZ584" s="1">
        <f ca="1">IFERROR(__xludf.DUMMYFUNCTION("""COMPUTED_VALUE"""),14)</f>
        <v>14</v>
      </c>
      <c r="CA584" s="1"/>
      <c r="CB584" s="1"/>
      <c r="CC584" s="1" t="str">
        <f ca="1">IFERROR(__xludf.DUMMYFUNCTION("""COMPUTED_VALUE"""),"यज्ञ का ज्ञान और विज्ञान : H_JS_52")</f>
        <v>यज्ञ का ज्ञान और विज्ञान : H_JS_52</v>
      </c>
      <c r="CD584" s="3" t="str">
        <f ca="1">IFERROR(__xludf.DUMMYFUNCTION("""COMPUTED_VALUE"""),"https://vicharkrantibooks.org/productdetail?book_name=HINP1019_YAGY_KA_GYAN_AUR_VIGYAN_xx2011&amp;product_id=1584")</f>
        <v>https://vicharkrantibooks.org/productdetail?book_name=HINP1019_YAGY_KA_GYAN_AUR_VIGYAN_xx2011&amp;product_id=1584</v>
      </c>
      <c r="CE584" s="1" t="str">
        <f ca="1">IFERROR(__xludf.DUMMYFUNCTION("""COMPUTED_VALUE"""),"Audiobook : यज्ञ का ज्ञान और विज्ञान : H_JS_52 : guptarakhi072@gmail.com : Recorded")</f>
        <v>Audiobook : यज्ञ का ज्ञान और विज्ञान : H_JS_52 : guptarakhi072@gmail.com : Recorded</v>
      </c>
      <c r="CF584" s="1" t="str">
        <f ca="1">IFERROR(__xludf.DUMMYFUNCTION("""COMPUTED_VALUE"""),"#N/A")</f>
        <v>#N/A</v>
      </c>
      <c r="CG584" s="1" t="str">
        <f ca="1">IFERROR(__xludf.DUMMYFUNCTION("""COMPUTED_VALUE"""),"Adarniya Rakhi Gupta  ji यज्ञ का ज्ञान और विज्ञान : H_JS_52 : Allocated on 09-Dec-23 Contact Number  8128540757")</f>
        <v>Adarniya Rakhi Gupta  ji यज्ञ का ज्ञान और विज्ञान : H_JS_52 : Allocated on 09-Dec-23 Contact Number  8128540757</v>
      </c>
      <c r="CH584" s="1" t="str">
        <f ca="1">IFERROR(__xludf.DUMMYFUNCTION("""COMPUTED_VALUE"""),"guptarakhi072@gmail.com : यज्ञ का ज्ञान और विज्ञान : H_JS_52")</f>
        <v>guptarakhi072@gmail.com : यज्ञ का ज्ञान और विज्ञान : H_JS_52</v>
      </c>
      <c r="CI584" s="5">
        <f ca="1">IFERROR(__xludf.DUMMYFUNCTION("""COMPUTED_VALUE"""),45269.784695324)</f>
        <v>45269.784695324</v>
      </c>
    </row>
    <row r="585" spans="1:87" x14ac:dyDescent="0.25">
      <c r="A585" s="5">
        <f ca="1">IFERROR(__xludf.DUMMYFUNCTION("""COMPUTED_VALUE"""),45269.6143723379)</f>
        <v>45269.614372337899</v>
      </c>
      <c r="B585" s="1" t="str">
        <f ca="1">IFERROR(__xludf.DUMMYFUNCTION("""COMPUTED_VALUE"""),"anu161965@gmail.com")</f>
        <v>anu161965@gmail.com</v>
      </c>
      <c r="C585" s="1" t="str">
        <f ca="1">IFERROR(__xludf.DUMMYFUNCTION("""COMPUTED_VALUE"""),"Anureeta awadh")</f>
        <v>Anureeta awadh</v>
      </c>
      <c r="D585" s="1">
        <f ca="1">IFERROR(__xludf.DUMMYFUNCTION("""COMPUTED_VALUE"""),8860314422)</f>
        <v>8860314422</v>
      </c>
      <c r="E585" s="1" t="str">
        <f ca="1">IFERROR(__xludf.DUMMYFUNCTION("""COMPUTED_VALUE"""),"Yes")</f>
        <v>Yes</v>
      </c>
      <c r="F585" s="1" t="str">
        <f ca="1">IFERROR(__xludf.DUMMYFUNCTION("""COMPUTED_VALUE"""),"हिन्दी")</f>
        <v>हिन्दी</v>
      </c>
      <c r="G585" s="1" t="str">
        <f ca="1">IFERROR(__xludf.DUMMYFUNCTION("""COMPUTED_VALUE"""),"वैज्ञानिक अध्यात्मवाद का प्रतिपादन")</f>
        <v>वैज्ञानिक अध्यात्मवाद का प्रतिपादन</v>
      </c>
      <c r="H585" s="1"/>
      <c r="I585" s="1"/>
      <c r="J585" s="1"/>
      <c r="K585" s="1"/>
      <c r="L585" s="1"/>
      <c r="M585" s="1"/>
      <c r="N585" s="1"/>
      <c r="O585" s="1"/>
      <c r="P585" s="1"/>
      <c r="Q585" s="1"/>
      <c r="R585" s="1"/>
      <c r="S585" s="1" t="str">
        <f ca="1">IFERROR(__xludf.DUMMYFUNCTION("""COMPUTED_VALUE"""),"वैज्ञानिक अध्यात्मवाद का प्रतिपादन")</f>
        <v>वैज्ञानिक अध्यात्मवाद का प्रतिपादन</v>
      </c>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f ca="1">IFERROR(__xludf.DUMMYFUNCTION("""COMPUTED_VALUE"""),24)</f>
        <v>24</v>
      </c>
      <c r="BX585" s="1">
        <f ca="1">IFERROR(__xludf.DUMMYFUNCTION("""COMPUTED_VALUE"""),18)</f>
        <v>18</v>
      </c>
      <c r="BY585" s="1">
        <f ca="1">IFERROR(__xludf.DUMMYFUNCTION("""COMPUTED_VALUE"""),7)</f>
        <v>7</v>
      </c>
      <c r="BZ585" s="1">
        <f ca="1">IFERROR(__xludf.DUMMYFUNCTION("""COMPUTED_VALUE"""),5)</f>
        <v>5</v>
      </c>
      <c r="CA585" s="1"/>
      <c r="CB585" s="1"/>
      <c r="CC585" s="1" t="str">
        <f ca="1">IFERROR(__xludf.DUMMYFUNCTION("""COMPUTED_VALUE"""),"अध्यात्म ही अनगढ विज्ञान को सुगढ बना सकता है : Rare Book")</f>
        <v>अध्यात्म ही अनगढ विज्ञान को सुगढ बना सकता है : Rare Book</v>
      </c>
      <c r="CD585" s="3" t="str">
        <f ca="1">IFERROR(__xludf.DUMMYFUNCTION("""COMPUTED_VALUE"""),"https://vicharkrantibooks.org/productdetail?book_name=HINF0008_ADHYATM_HI_ANAGADH_VIGYAN_KO_SUGADH_BANA_SAKATA_HAI_xxyyyy&amp;product_id=228")</f>
        <v>https://vicharkrantibooks.org/productdetail?book_name=HINF0008_ADHYATM_HI_ANAGADH_VIGYAN_KO_SUGADH_BANA_SAKATA_HAI_xxyyyy&amp;product_id=228</v>
      </c>
      <c r="CE585" s="1" t="str">
        <f ca="1">IFERROR(__xludf.DUMMYFUNCTION("""COMPUTED_VALUE"""),"Audiobook : अध्यात्म ही अनगढ विज्ञान को सुगढ बना सकता है : Rare Book : anu161965@gmail.com : Recorded")</f>
        <v>Audiobook : अध्यात्म ही अनगढ विज्ञान को सुगढ बना सकता है : Rare Book : anu161965@gmail.com : Recorded</v>
      </c>
      <c r="CF585" s="1" t="str">
        <f ca="1">IFERROR(__xludf.DUMMYFUNCTION("""COMPUTED_VALUE"""),"#N/A")</f>
        <v>#N/A</v>
      </c>
      <c r="CG585" s="1" t="str">
        <f ca="1">IFERROR(__xludf.DUMMYFUNCTION("""COMPUTED_VALUE"""),"Adarniya Anureeta awadh ji अध्यात्म ही अनगढ विज्ञान को सुगढ बना सकता है : Rare Book : Allocated on 09-Dec-23 Contact Number  8860314422")</f>
        <v>Adarniya Anureeta awadh ji अध्यात्म ही अनगढ विज्ञान को सुगढ बना सकता है : Rare Book : Allocated on 09-Dec-23 Contact Number  8860314422</v>
      </c>
      <c r="CH585" s="1" t="str">
        <f ca="1">IFERROR(__xludf.DUMMYFUNCTION("""COMPUTED_VALUE"""),"anu161965@gmail.com : अध्यात्म ही अनगढ विज्ञान को सुगढ बना सकता है : Rare Book")</f>
        <v>anu161965@gmail.com : अध्यात्म ही अनगढ विज्ञान को सुगढ बना सकता है : Rare Book</v>
      </c>
      <c r="CI585" s="5">
        <f ca="1">IFERROR(__xludf.DUMMYFUNCTION("""COMPUTED_VALUE"""),45269.6143723379)</f>
        <v>45269.614372337899</v>
      </c>
    </row>
    <row r="586" spans="1:87" x14ac:dyDescent="0.25">
      <c r="A586" s="5">
        <f ca="1">IFERROR(__xludf.DUMMYFUNCTION("""COMPUTED_VALUE"""),45267.9364462963)</f>
        <v>45267.936446296299</v>
      </c>
      <c r="B586" s="1" t="str">
        <f ca="1">IFERROR(__xludf.DUMMYFUNCTION("""COMPUTED_VALUE"""),"vandana15rastogi@gmail.com")</f>
        <v>vandana15rastogi@gmail.com</v>
      </c>
      <c r="C586" s="1" t="str">
        <f ca="1">IFERROR(__xludf.DUMMYFUNCTION("""COMPUTED_VALUE"""),"Vandana Rastogi")</f>
        <v>Vandana Rastogi</v>
      </c>
      <c r="D586" s="1">
        <f ca="1">IFERROR(__xludf.DUMMYFUNCTION("""COMPUTED_VALUE"""),9359528684)</f>
        <v>9359528684</v>
      </c>
      <c r="E586" s="1" t="str">
        <f ca="1">IFERROR(__xludf.DUMMYFUNCTION("""COMPUTED_VALUE"""),"Yes")</f>
        <v>Yes</v>
      </c>
      <c r="F586" s="1" t="str">
        <f ca="1">IFERROR(__xludf.DUMMYFUNCTION("""COMPUTED_VALUE"""),"हिन्दी")</f>
        <v>हिन्दी</v>
      </c>
      <c r="G586" s="1" t="str">
        <f ca="1">IFERROR(__xludf.DUMMYFUNCTION("""COMPUTED_VALUE"""),"अध्यात्म, धर्म एवं दर्शन")</f>
        <v>अध्यात्म, धर्म एवं दर्शन</v>
      </c>
      <c r="H586" s="1" t="str">
        <f ca="1">IFERROR(__xludf.DUMMYFUNCTION("""COMPUTED_VALUE"""),"आत्मज्ञान एवं आत्मनिर्माण")</f>
        <v>आत्मज्ञान एवं आत्मनिर्माण</v>
      </c>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f ca="1">IFERROR(__xludf.DUMMYFUNCTION("""COMPUTED_VALUE"""),33)</f>
        <v>33</v>
      </c>
      <c r="BX586" s="1">
        <f ca="1">IFERROR(__xludf.DUMMYFUNCTION("""COMPUTED_VALUE"""),19)</f>
        <v>19</v>
      </c>
      <c r="BY586" s="1">
        <f ca="1">IFERROR(__xludf.DUMMYFUNCTION("""COMPUTED_VALUE"""),17)</f>
        <v>17</v>
      </c>
      <c r="BZ586" s="1">
        <f ca="1">IFERROR(__xludf.DUMMYFUNCTION("""COMPUTED_VALUE"""),14)</f>
        <v>14</v>
      </c>
      <c r="CA586" s="1"/>
      <c r="CB586" s="1"/>
      <c r="CC586" s="1" t="str">
        <f ca="1">IFERROR(__xludf.DUMMYFUNCTION("""COMPUTED_VALUE"""),"ज्ञान योग की साधना : Rare Book")</f>
        <v>ज्ञान योग की साधना : Rare Book</v>
      </c>
      <c r="CD586" s="3" t="str">
        <f ca="1">IFERROR(__xludf.DUMMYFUNCTION("""COMPUTED_VALUE"""),"https://vicharkrantibooks.org/productdetail?book_name=HINP0323_GYAN_YOG_KI_SADHANA_xxyyyy&amp;product_id=888")</f>
        <v>https://vicharkrantibooks.org/productdetail?book_name=HINP0323_GYAN_YOG_KI_SADHANA_xxyyyy&amp;product_id=888</v>
      </c>
      <c r="CE586" s="1" t="str">
        <f ca="1">IFERROR(__xludf.DUMMYFUNCTION("""COMPUTED_VALUE"""),"Audiobook : ज्ञान योग की साधना : Rare Book : vandana15rastogi@gmail.com : Recorded")</f>
        <v>Audiobook : ज्ञान योग की साधना : Rare Book : vandana15rastogi@gmail.com : Recorded</v>
      </c>
      <c r="CF586" s="1" t="str">
        <f ca="1">IFERROR(__xludf.DUMMYFUNCTION("""COMPUTED_VALUE"""),"#N/A")</f>
        <v>#N/A</v>
      </c>
      <c r="CG586" s="1" t="str">
        <f ca="1">IFERROR(__xludf.DUMMYFUNCTION("""COMPUTED_VALUE"""),"Adarniya Vandana Rastogi ji ज्ञान योग की साधना : Rare Book : Allocated on 07-Dec-23 Contact Number  9359528684")</f>
        <v>Adarniya Vandana Rastogi ji ज्ञान योग की साधना : Rare Book : Allocated on 07-Dec-23 Contact Number  9359528684</v>
      </c>
      <c r="CH586" s="1" t="str">
        <f ca="1">IFERROR(__xludf.DUMMYFUNCTION("""COMPUTED_VALUE"""),"vandana15rastogi@gmail.com : ज्ञान योग की साधना : Rare Book")</f>
        <v>vandana15rastogi@gmail.com : ज्ञान योग की साधना : Rare Book</v>
      </c>
      <c r="CI586" s="5">
        <f ca="1">IFERROR(__xludf.DUMMYFUNCTION("""COMPUTED_VALUE"""),45267.9364462963)</f>
        <v>45267.936446296299</v>
      </c>
    </row>
    <row r="587" spans="1:87" x14ac:dyDescent="0.25">
      <c r="A587" s="5">
        <f ca="1">IFERROR(__xludf.DUMMYFUNCTION("""COMPUTED_VALUE"""),45267.8553421412)</f>
        <v>45267.8553421412</v>
      </c>
      <c r="B587" s="1" t="str">
        <f ca="1">IFERROR(__xludf.DUMMYFUNCTION("""COMPUTED_VALUE"""),"purnima.bharadwaj.24@gmail.com")</f>
        <v>purnima.bharadwaj.24@gmail.com</v>
      </c>
      <c r="C587" s="1" t="str">
        <f ca="1">IFERROR(__xludf.DUMMYFUNCTION("""COMPUTED_VALUE"""),"पूर्णिमा भारद्वाज ")</f>
        <v xml:space="preserve">पूर्णिमा भारद्वाज </v>
      </c>
      <c r="D587" s="1">
        <f ca="1">IFERROR(__xludf.DUMMYFUNCTION("""COMPUTED_VALUE"""),9415389032)</f>
        <v>9415389032</v>
      </c>
      <c r="E587" s="1" t="str">
        <f ca="1">IFERROR(__xludf.DUMMYFUNCTION("""COMPUTED_VALUE"""),"Yes")</f>
        <v>Yes</v>
      </c>
      <c r="F587" s="1" t="str">
        <f ca="1">IFERROR(__xludf.DUMMYFUNCTION("""COMPUTED_VALUE"""),"हिन्दी")</f>
        <v>हिन्दी</v>
      </c>
      <c r="G587" s="1" t="str">
        <f ca="1">IFERROR(__xludf.DUMMYFUNCTION("""COMPUTED_VALUE"""),"युग द्रष्टा पं. श्रीराम शर्मा आचार्यजी")</f>
        <v>युग द्रष्टा पं. श्रीराम शर्मा आचार्यजी</v>
      </c>
      <c r="H587" s="1"/>
      <c r="I587" s="1"/>
      <c r="J587" s="1"/>
      <c r="K587" s="1"/>
      <c r="L587" s="1"/>
      <c r="M587" s="1"/>
      <c r="N587" s="1"/>
      <c r="O587" s="1"/>
      <c r="P587" s="1" t="str">
        <f ca="1">IFERROR(__xludf.DUMMYFUNCTION("""COMPUTED_VALUE"""),"युगॠषी की अमृतवाणी")</f>
        <v>युगॠषी की अमृतवाणी</v>
      </c>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f ca="1">IFERROR(__xludf.DUMMYFUNCTION("""COMPUTED_VALUE"""),43)</f>
        <v>43</v>
      </c>
      <c r="BX587" s="1">
        <f ca="1">IFERROR(__xludf.DUMMYFUNCTION("""COMPUTED_VALUE"""),36)</f>
        <v>36</v>
      </c>
      <c r="BY587" s="1">
        <f ca="1">IFERROR(__xludf.DUMMYFUNCTION("""COMPUTED_VALUE"""),9)</f>
        <v>9</v>
      </c>
      <c r="BZ587" s="1">
        <f ca="1">IFERROR(__xludf.DUMMYFUNCTION("""COMPUTED_VALUE"""),30)</f>
        <v>30</v>
      </c>
      <c r="CA587" s="1"/>
      <c r="CB587" s="1"/>
      <c r="CC587" s="1" t="str">
        <f ca="1">IFERROR(__xludf.DUMMYFUNCTION("""COMPUTED_VALUE"""),"विज्ञान और अध्यात्म परस्पर पूरक बनें : Rare Book")</f>
        <v>विज्ञान और अध्यात्म परस्पर पूरक बनें : Rare Book</v>
      </c>
      <c r="CD587" s="3" t="str">
        <f ca="1">IFERROR(__xludf.DUMMYFUNCTION("""COMPUTED_VALUE"""),"https://vicharkrantibooks.org/productdetail?book_name=HINP0970_VIGYAN_AUR_ADHYATM_PARASPAR_PURAK_BANE_xx1982&amp;product_id=1535")</f>
        <v>https://vicharkrantibooks.org/productdetail?book_name=HINP0970_VIGYAN_AUR_ADHYATM_PARASPAR_PURAK_BANE_xx1982&amp;product_id=1535</v>
      </c>
      <c r="CE587" s="1" t="str">
        <f ca="1">IFERROR(__xludf.DUMMYFUNCTION("""COMPUTED_VALUE"""),"Audiobook : विज्ञान और अध्यात्म परस्पर पूरक बनें : Rare Book : purnima.bharadwaj.24@gmail.com : Recorded")</f>
        <v>Audiobook : विज्ञान और अध्यात्म परस्पर पूरक बनें : Rare Book : purnima.bharadwaj.24@gmail.com : Recorded</v>
      </c>
      <c r="CF587" s="1" t="str">
        <f ca="1">IFERROR(__xludf.DUMMYFUNCTION("""COMPUTED_VALUE"""),"#N/A")</f>
        <v>#N/A</v>
      </c>
      <c r="CG587" s="1" t="str">
        <f ca="1">IFERROR(__xludf.DUMMYFUNCTION("""COMPUTED_VALUE"""),"Adarniya पूर्णिमा भारद्वाज  ji विज्ञान और अध्यात्म परस्पर पूरक बनें : Rare Book : Allocated on 07-Dec-23 Contact Number  9415389032")</f>
        <v>Adarniya पूर्णिमा भारद्वाज  ji विज्ञान और अध्यात्म परस्पर पूरक बनें : Rare Book : Allocated on 07-Dec-23 Contact Number  9415389032</v>
      </c>
      <c r="CH587" s="1" t="str">
        <f ca="1">IFERROR(__xludf.DUMMYFUNCTION("""COMPUTED_VALUE"""),"purnima.bharadwaj.24@gmail.com : विज्ञान और अध्यात्म परस्पर पूरक बनें : Rare Book")</f>
        <v>purnima.bharadwaj.24@gmail.com : विज्ञान और अध्यात्म परस्पर पूरक बनें : Rare Book</v>
      </c>
      <c r="CI587" s="5">
        <f ca="1">IFERROR(__xludf.DUMMYFUNCTION("""COMPUTED_VALUE"""),45267.8553421412)</f>
        <v>45267.8553421412</v>
      </c>
    </row>
    <row r="588" spans="1:87" x14ac:dyDescent="0.25">
      <c r="A588" s="5">
        <f ca="1">IFERROR(__xludf.DUMMYFUNCTION("""COMPUTED_VALUE"""),45266.9565647685)</f>
        <v>45266.956564768501</v>
      </c>
      <c r="B588" s="1" t="str">
        <f ca="1">IFERROR(__xludf.DUMMYFUNCTION("""COMPUTED_VALUE"""),"rajnivarma24.vns@gmail.com")</f>
        <v>rajnivarma24.vns@gmail.com</v>
      </c>
      <c r="C588" s="1" t="str">
        <f ca="1">IFERROR(__xludf.DUMMYFUNCTION("""COMPUTED_VALUE"""),"Rajni varma")</f>
        <v>Rajni varma</v>
      </c>
      <c r="D588" s="1">
        <f ca="1">IFERROR(__xludf.DUMMYFUNCTION("""COMPUTED_VALUE"""),9335661433)</f>
        <v>9335661433</v>
      </c>
      <c r="E588" s="1" t="str">
        <f ca="1">IFERROR(__xludf.DUMMYFUNCTION("""COMPUTED_VALUE"""),"No")</f>
        <v>No</v>
      </c>
      <c r="F588" s="1" t="str">
        <f ca="1">IFERROR(__xludf.DUMMYFUNCTION("""COMPUTED_VALUE"""),"हिन्दी")</f>
        <v>हिन्दी</v>
      </c>
      <c r="G588" s="1" t="str">
        <f ca="1">IFERROR(__xludf.DUMMYFUNCTION("""COMPUTED_VALUE"""),"युग द्रष्टा पं. श्रीराम शर्मा आचार्यजी")</f>
        <v>युग द्रष्टा पं. श्रीराम शर्मा आचार्यजी</v>
      </c>
      <c r="H588" s="1"/>
      <c r="I588" s="1"/>
      <c r="J588" s="1"/>
      <c r="K588" s="1"/>
      <c r="L588" s="1"/>
      <c r="M588" s="1"/>
      <c r="N588" s="1"/>
      <c r="O588" s="1"/>
      <c r="P588" s="1" t="str">
        <f ca="1">IFERROR(__xludf.DUMMYFUNCTION("""COMPUTED_VALUE"""),"युगॠषी का जीवनदर्शन")</f>
        <v>युगॠषी का जीवनदर्शन</v>
      </c>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f ca="1">IFERROR(__xludf.DUMMYFUNCTION("""COMPUTED_VALUE"""),30)</f>
        <v>30</v>
      </c>
      <c r="BX588" s="1">
        <f ca="1">IFERROR(__xludf.DUMMYFUNCTION("""COMPUTED_VALUE"""),25)</f>
        <v>25</v>
      </c>
      <c r="BY588" s="1">
        <f ca="1">IFERROR(__xludf.DUMMYFUNCTION("""COMPUTED_VALUE"""),7)</f>
        <v>7</v>
      </c>
      <c r="BZ588" s="1">
        <f ca="1">IFERROR(__xludf.DUMMYFUNCTION("""COMPUTED_VALUE"""),7)</f>
        <v>7</v>
      </c>
      <c r="CA588" s="1"/>
      <c r="CB588" s="1"/>
      <c r="CC588" s="1" t="str">
        <f ca="1">IFERROR(__xludf.DUMMYFUNCTION("""COMPUTED_VALUE"""),"राम का चरित्र हमारा प्रेरणा स्त्रोत : H_JS_72")</f>
        <v>राम का चरित्र हमारा प्रेरणा स्त्रोत : H_JS_72</v>
      </c>
      <c r="CD588" s="3" t="str">
        <f ca="1">IFERROR(__xludf.DUMMYFUNCTION("""COMPUTED_VALUE"""),"https://vicharkrantibooks.org/productdetail?book_name=HINP0697_RAM_KA_CHARITR_HAMARA_PRERANA_STROT_xx2011&amp;product_id=1262")</f>
        <v>https://vicharkrantibooks.org/productdetail?book_name=HINP0697_RAM_KA_CHARITR_HAMARA_PRERANA_STROT_xx2011&amp;product_id=1262</v>
      </c>
      <c r="CE588" s="1" t="str">
        <f ca="1">IFERROR(__xludf.DUMMYFUNCTION("""COMPUTED_VALUE"""),"Audiobook : राम का चरित्र हमारा प्रेरणा स्त्रोत : H_JS_72 : rajnivarma24.vns@gmail.com : Recorded")</f>
        <v>Audiobook : राम का चरित्र हमारा प्रेरणा स्त्रोत : H_JS_72 : rajnivarma24.vns@gmail.com : Recorded</v>
      </c>
      <c r="CF588" s="1" t="str">
        <f ca="1">IFERROR(__xludf.DUMMYFUNCTION("""COMPUTED_VALUE"""),"Audiobook : राम का चरित्र हमारा प्रेरणा स्त्रोत : H_JS_72 : rajnivarma24.vns@gmail.com : Recorded")</f>
        <v>Audiobook : राम का चरित्र हमारा प्रेरणा स्त्रोत : H_JS_72 : rajnivarma24.vns@gmail.com : Recorded</v>
      </c>
      <c r="CG588" s="1" t="str">
        <f ca="1">IFERROR(__xludf.DUMMYFUNCTION("""COMPUTED_VALUE"""),"Adarniya Rajni varma ji राम का चरित्र हमारा प्रेरणा स्त्रोत : H_JS_72 : Allocated on 06-Dec-23 Contact Number  9335661433")</f>
        <v>Adarniya Rajni varma ji राम का चरित्र हमारा प्रेरणा स्त्रोत : H_JS_72 : Allocated on 06-Dec-23 Contact Number  9335661433</v>
      </c>
      <c r="CH588" s="1" t="str">
        <f ca="1">IFERROR(__xludf.DUMMYFUNCTION("""COMPUTED_VALUE"""),"rajnivarma24.vns@gmail.com : राम का चरित्र हमारा प्रेरणा स्त्रोत : H_JS_72")</f>
        <v>rajnivarma24.vns@gmail.com : राम का चरित्र हमारा प्रेरणा स्त्रोत : H_JS_72</v>
      </c>
      <c r="CI588" s="5">
        <f ca="1">IFERROR(__xludf.DUMMYFUNCTION("""COMPUTED_VALUE"""),45266.9565647685)</f>
        <v>45266.956564768501</v>
      </c>
    </row>
    <row r="589" spans="1:87" x14ac:dyDescent="0.25">
      <c r="A589" s="5">
        <f ca="1">IFERROR(__xludf.DUMMYFUNCTION("""COMPUTED_VALUE"""),45266.8072199421)</f>
        <v>45266.8072199421</v>
      </c>
      <c r="B589" s="1" t="str">
        <f ca="1">IFERROR(__xludf.DUMMYFUNCTION("""COMPUTED_VALUE"""),"purnima.bharadwaj.24@gmail.com")</f>
        <v>purnima.bharadwaj.24@gmail.com</v>
      </c>
      <c r="C589" s="1" t="str">
        <f ca="1">IFERROR(__xludf.DUMMYFUNCTION("""COMPUTED_VALUE"""),"पूर्णिमा भारद्वाज ")</f>
        <v xml:space="preserve">पूर्णिमा भारद्वाज </v>
      </c>
      <c r="D589" s="1">
        <f ca="1">IFERROR(__xludf.DUMMYFUNCTION("""COMPUTED_VALUE"""),9415389032)</f>
        <v>9415389032</v>
      </c>
      <c r="E589" s="1" t="str">
        <f ca="1">IFERROR(__xludf.DUMMYFUNCTION("""COMPUTED_VALUE"""),"Yes")</f>
        <v>Yes</v>
      </c>
      <c r="F589" s="1" t="str">
        <f ca="1">IFERROR(__xludf.DUMMYFUNCTION("""COMPUTED_VALUE"""),"हिन्दी")</f>
        <v>हिन्दी</v>
      </c>
      <c r="G589" s="1" t="str">
        <f ca="1">IFERROR(__xludf.DUMMYFUNCTION("""COMPUTED_VALUE"""),"युग द्रष्टा पं. श्रीराम शर्मा आचार्यजी")</f>
        <v>युग द्रष्टा पं. श्रीराम शर्मा आचार्यजी</v>
      </c>
      <c r="H589" s="1"/>
      <c r="I589" s="1"/>
      <c r="J589" s="1"/>
      <c r="K589" s="1"/>
      <c r="L589" s="1"/>
      <c r="M589" s="1"/>
      <c r="N589" s="1"/>
      <c r="O589" s="1"/>
      <c r="P589" s="1" t="str">
        <f ca="1">IFERROR(__xludf.DUMMYFUNCTION("""COMPUTED_VALUE"""),"युगॠषी की अमृतवाणी")</f>
        <v>युगॠषी की अमृतवाणी</v>
      </c>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f ca="1">IFERROR(__xludf.DUMMYFUNCTION("""COMPUTED_VALUE"""),43)</f>
        <v>43</v>
      </c>
      <c r="BX589" s="1">
        <f ca="1">IFERROR(__xludf.DUMMYFUNCTION("""COMPUTED_VALUE"""),36)</f>
        <v>36</v>
      </c>
      <c r="BY589" s="1">
        <f ca="1">IFERROR(__xludf.DUMMYFUNCTION("""COMPUTED_VALUE"""),9)</f>
        <v>9</v>
      </c>
      <c r="BZ589" s="1">
        <f ca="1">IFERROR(__xludf.DUMMYFUNCTION("""COMPUTED_VALUE"""),30)</f>
        <v>30</v>
      </c>
      <c r="CA589" s="1"/>
      <c r="CB589" s="1"/>
      <c r="CC589" s="1" t="str">
        <f ca="1">IFERROR(__xludf.DUMMYFUNCTION("""COMPUTED_VALUE"""),"बोया काटा का अकात्य सिद्धान्त : H_JS_16")</f>
        <v>बोया काटा का अकात्य सिद्धान्त : H_JS_16</v>
      </c>
      <c r="CD589" s="3" t="str">
        <f ca="1">IFERROR(__xludf.DUMMYFUNCTION("""COMPUTED_VALUE"""),"https://vicharkrantibooks.org/productdetail?book_name=HINP0177_BOYA_KATA_KA_AKATY_SIDDHANT_xx2011&amp;product_id=742")</f>
        <v>https://vicharkrantibooks.org/productdetail?book_name=HINP0177_BOYA_KATA_KA_AKATY_SIDDHANT_xx2011&amp;product_id=742</v>
      </c>
      <c r="CE589" s="1" t="str">
        <f ca="1">IFERROR(__xludf.DUMMYFUNCTION("""COMPUTED_VALUE"""),"Audiobook : बोया काटा का अकात्य सिद्धान्त : H_JS_16 : purnima.bharadwaj.24@gmail.com : Recorded")</f>
        <v>Audiobook : बोया काटा का अकात्य सिद्धान्त : H_JS_16 : purnima.bharadwaj.24@gmail.com : Recorded</v>
      </c>
      <c r="CF589" s="1" t="str">
        <f ca="1">IFERROR(__xludf.DUMMYFUNCTION("""COMPUTED_VALUE"""),"Audiobook : बोया काटा का अकात्य सिद्धान्त : H_JS_16 : purnima.bharadwaj.24@gmail.com : Recorded")</f>
        <v>Audiobook : बोया काटा का अकात्य सिद्धान्त : H_JS_16 : purnima.bharadwaj.24@gmail.com : Recorded</v>
      </c>
      <c r="CG589" s="1" t="str">
        <f ca="1">IFERROR(__xludf.DUMMYFUNCTION("""COMPUTED_VALUE"""),"Adarniya पूर्णिमा भारद्वाज  ji बोया काटा का अकात्य सिद्धान्त : H_JS_16 : Allocated on 06-Dec-23 Contact Number  9415389032")</f>
        <v>Adarniya पूर्णिमा भारद्वाज  ji बोया काटा का अकात्य सिद्धान्त : H_JS_16 : Allocated on 06-Dec-23 Contact Number  9415389032</v>
      </c>
      <c r="CH589" s="1" t="str">
        <f ca="1">IFERROR(__xludf.DUMMYFUNCTION("""COMPUTED_VALUE"""),"purnima.bharadwaj.24@gmail.com : बोया काटा का अकात्य सिद्धान्त : H_JS_16")</f>
        <v>purnima.bharadwaj.24@gmail.com : बोया काटा का अकात्य सिद्धान्त : H_JS_16</v>
      </c>
      <c r="CI589" s="5">
        <f ca="1">IFERROR(__xludf.DUMMYFUNCTION("""COMPUTED_VALUE"""),45266.8072199421)</f>
        <v>45266.8072199421</v>
      </c>
    </row>
    <row r="590" spans="1:87" x14ac:dyDescent="0.25">
      <c r="A590" s="5">
        <f ca="1">IFERROR(__xludf.DUMMYFUNCTION("""COMPUTED_VALUE"""),45265.8365720949)</f>
        <v>45265.8365720949</v>
      </c>
      <c r="B590" s="1" t="str">
        <f ca="1">IFERROR(__xludf.DUMMYFUNCTION("""COMPUTED_VALUE"""),"jamunashukla17@gmail.com")</f>
        <v>jamunashukla17@gmail.com</v>
      </c>
      <c r="C590" s="1" t="str">
        <f ca="1">IFERROR(__xludf.DUMMYFUNCTION("""COMPUTED_VALUE"""),"Smt J S Shukla ")</f>
        <v xml:space="preserve">Smt J S Shukla </v>
      </c>
      <c r="D590" s="1">
        <f ca="1">IFERROR(__xludf.DUMMYFUNCTION("""COMPUTED_VALUE"""),8390353167)</f>
        <v>8390353167</v>
      </c>
      <c r="E590" s="1" t="str">
        <f ca="1">IFERROR(__xludf.DUMMYFUNCTION("""COMPUTED_VALUE"""),"Yes")</f>
        <v>Yes</v>
      </c>
      <c r="F590" s="1" t="str">
        <f ca="1">IFERROR(__xludf.DUMMYFUNCTION("""COMPUTED_VALUE"""),"हिन्दी")</f>
        <v>हिन्दी</v>
      </c>
      <c r="G590" s="1" t="str">
        <f ca="1">IFERROR(__xludf.DUMMYFUNCTION("""COMPUTED_VALUE"""),"अध्यात्म, धर्म एवं दर्शन")</f>
        <v>अध्यात्म, धर्म एवं दर्शन</v>
      </c>
      <c r="H590" s="1" t="str">
        <f ca="1">IFERROR(__xludf.DUMMYFUNCTION("""COMPUTED_VALUE"""),"अध्यात्म, धर्म एवं आस्तिकता")</f>
        <v>अध्यात्म, धर्म एवं आस्तिकता</v>
      </c>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f ca="1">IFERROR(__xludf.DUMMYFUNCTION("""COMPUTED_VALUE"""),53)</f>
        <v>53</v>
      </c>
      <c r="BX590" s="1">
        <f ca="1">IFERROR(__xludf.DUMMYFUNCTION("""COMPUTED_VALUE"""),53)</f>
        <v>53</v>
      </c>
      <c r="BY590" s="1">
        <f ca="1">IFERROR(__xludf.DUMMYFUNCTION("""COMPUTED_VALUE"""),9)</f>
        <v>9</v>
      </c>
      <c r="BZ590" s="1">
        <f ca="1">IFERROR(__xludf.DUMMYFUNCTION("""COMPUTED_VALUE"""),25)</f>
        <v>25</v>
      </c>
      <c r="CA590" s="1"/>
      <c r="CB590" s="1"/>
      <c r="CC590" s="1" t="str">
        <f ca="1">IFERROR(__xludf.DUMMYFUNCTION("""COMPUTED_VALUE"""),"युग के देवता की अपील अनसुनी न केरें : H_JS_14")</f>
        <v>युग के देवता की अपील अनसुनी न केरें : H_JS_14</v>
      </c>
      <c r="CD590" s="3" t="str">
        <f ca="1">IFERROR(__xludf.DUMMYFUNCTION("""COMPUTED_VALUE"""),"https://vicharkrantibooks.org/productdetail?book_name=HINP1034_YUG_KE_DEVATA_KI_APIL_ANASUNI_NA_KEREN_xx2011&amp;product_id=1599")</f>
        <v>https://vicharkrantibooks.org/productdetail?book_name=HINP1034_YUG_KE_DEVATA_KI_APIL_ANASUNI_NA_KEREN_xx2011&amp;product_id=1599</v>
      </c>
      <c r="CE590" s="1" t="str">
        <f ca="1">IFERROR(__xludf.DUMMYFUNCTION("""COMPUTED_VALUE"""),"Audiobook : युग के देवता की अपील अनसुनी न केरें : H_JS_14 : jamunashukla17@gmail.com : Recorded")</f>
        <v>Audiobook : युग के देवता की अपील अनसुनी न केरें : H_JS_14 : jamunashukla17@gmail.com : Recorded</v>
      </c>
      <c r="CF590" s="1" t="str">
        <f ca="1">IFERROR(__xludf.DUMMYFUNCTION("""COMPUTED_VALUE"""),"#N/A")</f>
        <v>#N/A</v>
      </c>
      <c r="CG590" s="1" t="str">
        <f ca="1">IFERROR(__xludf.DUMMYFUNCTION("""COMPUTED_VALUE"""),"Adarniya Smt J S Shukla  ji युग के देवता की अपील अनसुनी न केरें : H_JS_14 : Allocated on 05-Dec-23 Contact Number  8390353167")</f>
        <v>Adarniya Smt J S Shukla  ji युग के देवता की अपील अनसुनी न केरें : H_JS_14 : Allocated on 05-Dec-23 Contact Number  8390353167</v>
      </c>
      <c r="CH590" s="1" t="str">
        <f ca="1">IFERROR(__xludf.DUMMYFUNCTION("""COMPUTED_VALUE"""),"jamunashukla17@gmail.com : युग के देवता की अपील अनसुनी न केरें : H_JS_14")</f>
        <v>jamunashukla17@gmail.com : युग के देवता की अपील अनसुनी न केरें : H_JS_14</v>
      </c>
      <c r="CI590" s="5">
        <f ca="1">IFERROR(__xludf.DUMMYFUNCTION("""COMPUTED_VALUE"""),45265.8365720949)</f>
        <v>45265.8365720949</v>
      </c>
    </row>
    <row r="591" spans="1:87" x14ac:dyDescent="0.25">
      <c r="A591" s="5">
        <f ca="1">IFERROR(__xludf.DUMMYFUNCTION("""COMPUTED_VALUE"""),45265.8330878009)</f>
        <v>45265.8330878009</v>
      </c>
      <c r="B591" s="1" t="str">
        <f ca="1">IFERROR(__xludf.DUMMYFUNCTION("""COMPUTED_VALUE"""),"sharmabhavna33@gmail.com")</f>
        <v>sharmabhavna33@gmail.com</v>
      </c>
      <c r="C591" s="1" t="str">
        <f ca="1">IFERROR(__xludf.DUMMYFUNCTION("""COMPUTED_VALUE"""),"Bhawana Parashar")</f>
        <v>Bhawana Parashar</v>
      </c>
      <c r="D591" s="1">
        <f ca="1">IFERROR(__xludf.DUMMYFUNCTION("""COMPUTED_VALUE"""),9826248427)</f>
        <v>9826248427</v>
      </c>
      <c r="E591" s="1" t="str">
        <f ca="1">IFERROR(__xludf.DUMMYFUNCTION("""COMPUTED_VALUE"""),"Yes")</f>
        <v>Yes</v>
      </c>
      <c r="F591" s="1" t="str">
        <f ca="1">IFERROR(__xludf.DUMMYFUNCTION("""COMPUTED_VALUE"""),"हिन्दी")</f>
        <v>हिन्दी</v>
      </c>
      <c r="G591" s="1" t="str">
        <f ca="1">IFERROR(__xludf.DUMMYFUNCTION("""COMPUTED_VALUE"""),"जीवन प्रबंध")</f>
        <v>जीवन प्रबंध</v>
      </c>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f ca="1">IFERROR(__xludf.DUMMYFUNCTION("""COMPUTED_VALUE"""),9)</f>
        <v>9</v>
      </c>
      <c r="BX591" s="1">
        <f ca="1">IFERROR(__xludf.DUMMYFUNCTION("""COMPUTED_VALUE"""),3)</f>
        <v>3</v>
      </c>
      <c r="BY591" s="1">
        <f ca="1">IFERROR(__xludf.DUMMYFUNCTION("""COMPUTED_VALUE"""),6)</f>
        <v>6</v>
      </c>
      <c r="BZ591" s="1">
        <f ca="1">IFERROR(__xludf.DUMMYFUNCTION("""COMPUTED_VALUE"""),1)</f>
        <v>1</v>
      </c>
      <c r="CA591" s="1"/>
      <c r="CB591" s="1"/>
      <c r="CC591" s="1" t="str">
        <f ca="1">IFERROR(__xludf.DUMMYFUNCTION("""COMPUTED_VALUE"""),"प्रतिक उपासना एवं देवाधिदेव आत्मदेव की साधना : H_SA_35")</f>
        <v>प्रतिक उपासना एवं देवाधिदेव आत्मदेव की साधना : H_SA_35</v>
      </c>
      <c r="CD591" s="3" t="str">
        <f ca="1">IFERROR(__xludf.DUMMYFUNCTION("""COMPUTED_VALUE"""),"https://vicharkrantibooks.org/productdetail?book_name=HINP0681_PRATIK_UPASANA_EVAM_DEVADHIDEV_ATMADEV_KI_SADHANA_xxyyyy&amp;product_id=1246")</f>
        <v>https://vicharkrantibooks.org/productdetail?book_name=HINP0681_PRATIK_UPASANA_EVAM_DEVADHIDEV_ATMADEV_KI_SADHANA_xxyyyy&amp;product_id=1246</v>
      </c>
      <c r="CE591" s="1" t="str">
        <f ca="1">IFERROR(__xludf.DUMMYFUNCTION("""COMPUTED_VALUE"""),"Audiobook : प्रतिक उपासना एवं देवाधिदेव आत्मदेव की साधना : H_SA_35 : sharmabhavna33@gmail.com : Recorded")</f>
        <v>Audiobook : प्रतिक उपासना एवं देवाधिदेव आत्मदेव की साधना : H_SA_35 : sharmabhavna33@gmail.com : Recorded</v>
      </c>
      <c r="CF591" s="1" t="str">
        <f ca="1">IFERROR(__xludf.DUMMYFUNCTION("""COMPUTED_VALUE"""),"#N/A")</f>
        <v>#N/A</v>
      </c>
      <c r="CG591" s="1" t="str">
        <f ca="1">IFERROR(__xludf.DUMMYFUNCTION("""COMPUTED_VALUE"""),"Adarniya Bhawana Parashar ji प्रतिक उपासना एवं देवाधिदेव आत्मदेव की साधना : H_SA_35 : Allocated on 05-Dec-23 Contact Number  9826248427")</f>
        <v>Adarniya Bhawana Parashar ji प्रतिक उपासना एवं देवाधिदेव आत्मदेव की साधना : H_SA_35 : Allocated on 05-Dec-23 Contact Number  9826248427</v>
      </c>
      <c r="CH591" s="1" t="str">
        <f ca="1">IFERROR(__xludf.DUMMYFUNCTION("""COMPUTED_VALUE"""),"sharmabhavna33@gmail.com : प्रतिक उपासना एवं देवाधिदेव आत्मदेव की साधना : H_SA_35")</f>
        <v>sharmabhavna33@gmail.com : प्रतिक उपासना एवं देवाधिदेव आत्मदेव की साधना : H_SA_35</v>
      </c>
      <c r="CI591" s="5">
        <f ca="1">IFERROR(__xludf.DUMMYFUNCTION("""COMPUTED_VALUE"""),45265.8330878009)</f>
        <v>45265.8330878009</v>
      </c>
    </row>
    <row r="592" spans="1:87" x14ac:dyDescent="0.25">
      <c r="A592" s="5">
        <f ca="1">IFERROR(__xludf.DUMMYFUNCTION("""COMPUTED_VALUE"""),45264.8813691088)</f>
        <v>45264.8813691088</v>
      </c>
      <c r="B592" s="1" t="str">
        <f ca="1">IFERROR(__xludf.DUMMYFUNCTION("""COMPUTED_VALUE"""),"shweta.r.gupta79@gmail.com")</f>
        <v>shweta.r.gupta79@gmail.com</v>
      </c>
      <c r="C592" s="1" t="str">
        <f ca="1">IFERROR(__xludf.DUMMYFUNCTION("""COMPUTED_VALUE"""),"Shweta Gupta ")</f>
        <v xml:space="preserve">Shweta Gupta </v>
      </c>
      <c r="D592" s="1">
        <f ca="1">IFERROR(__xludf.DUMMYFUNCTION("""COMPUTED_VALUE"""),8369516724)</f>
        <v>8369516724</v>
      </c>
      <c r="E592" s="1" t="str">
        <f ca="1">IFERROR(__xludf.DUMMYFUNCTION("""COMPUTED_VALUE"""),"Yes")</f>
        <v>Yes</v>
      </c>
      <c r="F592" s="1" t="str">
        <f ca="1">IFERROR(__xludf.DUMMYFUNCTION("""COMPUTED_VALUE"""),"हिन्दी")</f>
        <v>हिन्दी</v>
      </c>
      <c r="G592" s="1" t="str">
        <f ca="1">IFERROR(__xludf.DUMMYFUNCTION("""COMPUTED_VALUE"""),"समाज निर्माण")</f>
        <v>समाज निर्माण</v>
      </c>
      <c r="H592" s="1"/>
      <c r="I592" s="1"/>
      <c r="J592" s="1"/>
      <c r="K592" s="1"/>
      <c r="L592" s="1"/>
      <c r="M592" s="1"/>
      <c r="N592" s="1"/>
      <c r="O592" s="1"/>
      <c r="P592" s="1"/>
      <c r="Q592" s="1"/>
      <c r="R592" s="1"/>
      <c r="S592" s="1"/>
      <c r="T592" s="1"/>
      <c r="U592" s="1"/>
      <c r="V592" s="1" t="str">
        <f ca="1">IFERROR(__xludf.DUMMYFUNCTION("""COMPUTED_VALUE"""),"समाज निर्माण")</f>
        <v>समाज निर्माण</v>
      </c>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f ca="1">IFERROR(__xludf.DUMMYFUNCTION("""COMPUTED_VALUE"""),31)</f>
        <v>31</v>
      </c>
      <c r="BX592" s="1">
        <f ca="1">IFERROR(__xludf.DUMMYFUNCTION("""COMPUTED_VALUE"""),45)</f>
        <v>45</v>
      </c>
      <c r="BY592" s="1">
        <f ca="1">IFERROR(__xludf.DUMMYFUNCTION("""COMPUTED_VALUE"""),3)</f>
        <v>3</v>
      </c>
      <c r="BZ592" s="1">
        <f ca="1">IFERROR(__xludf.DUMMYFUNCTION("""COMPUTED_VALUE"""),40)</f>
        <v>40</v>
      </c>
      <c r="CA592" s="1"/>
      <c r="CB592" s="1"/>
      <c r="CC592" s="1" t="str">
        <f ca="1">IFERROR(__xludf.DUMMYFUNCTION("""COMPUTED_VALUE"""),"अब तो सँभलें : H_PP_23")</f>
        <v>अब तो सँभलें : H_PP_23</v>
      </c>
      <c r="CD592" s="3" t="str">
        <f ca="1">IFERROR(__xludf.DUMMYFUNCTION("""COMPUTED_VALUE"""),"https://vicharkrantibooks.org/productdetail?book_name=HINP0003_AB_TO_SAMBHALE_xxyyyy&amp;product_id=568")</f>
        <v>https://vicharkrantibooks.org/productdetail?book_name=HINP0003_AB_TO_SAMBHALE_xxyyyy&amp;product_id=568</v>
      </c>
      <c r="CE592" s="1" t="str">
        <f ca="1">IFERROR(__xludf.DUMMYFUNCTION("""COMPUTED_VALUE"""),"Audiobook : अब तो सँभलें : H_PP_23 : shweta.r.gupta79@gmail.com : Recorded")</f>
        <v>Audiobook : अब तो सँभलें : H_PP_23 : shweta.r.gupta79@gmail.com : Recorded</v>
      </c>
      <c r="CF592" s="1" t="str">
        <f ca="1">IFERROR(__xludf.DUMMYFUNCTION("""COMPUTED_VALUE"""),"Audiobook : अब तो सँभलें : H_PP_23 : shweta.r.gupta79@gmail.com : Recorded")</f>
        <v>Audiobook : अब तो सँभलें : H_PP_23 : shweta.r.gupta79@gmail.com : Recorded</v>
      </c>
      <c r="CG592" s="1" t="str">
        <f ca="1">IFERROR(__xludf.DUMMYFUNCTION("""COMPUTED_VALUE"""),"Adarniya Shweta Gupta  ji अब तो सँभलें : H_PP_23 : Allocated on 04-Dec-23 Contact Number  8369516724")</f>
        <v>Adarniya Shweta Gupta  ji अब तो सँभलें : H_PP_23 : Allocated on 04-Dec-23 Contact Number  8369516724</v>
      </c>
      <c r="CH592" s="1" t="str">
        <f ca="1">IFERROR(__xludf.DUMMYFUNCTION("""COMPUTED_VALUE"""),"shweta.r.gupta79@gmail.com : अब तो सँभलें : H_PP_23")</f>
        <v>shweta.r.gupta79@gmail.com : अब तो सँभलें : H_PP_23</v>
      </c>
      <c r="CI592" s="5">
        <f ca="1">IFERROR(__xludf.DUMMYFUNCTION("""COMPUTED_VALUE"""),45264.8813691088)</f>
        <v>45264.8813691088</v>
      </c>
    </row>
    <row r="593" spans="1:87" x14ac:dyDescent="0.25">
      <c r="A593" s="5">
        <f ca="1">IFERROR(__xludf.DUMMYFUNCTION("""COMPUTED_VALUE"""),45264.8269598148)</f>
        <v>45264.826959814804</v>
      </c>
      <c r="B593" s="1" t="str">
        <f ca="1">IFERROR(__xludf.DUMMYFUNCTION("""COMPUTED_VALUE"""),"druma4107@gmail.com")</f>
        <v>druma4107@gmail.com</v>
      </c>
      <c r="C593" s="1" t="str">
        <f ca="1">IFERROR(__xludf.DUMMYFUNCTION("""COMPUTED_VALUE"""),"Dr Uma Agrawal ")</f>
        <v xml:space="preserve">Dr Uma Agrawal </v>
      </c>
      <c r="D593" s="1">
        <f ca="1">IFERROR(__xludf.DUMMYFUNCTION("""COMPUTED_VALUE"""),9410861182)</f>
        <v>9410861182</v>
      </c>
      <c r="E593" s="1" t="str">
        <f ca="1">IFERROR(__xludf.DUMMYFUNCTION("""COMPUTED_VALUE"""),"Yes")</f>
        <v>Yes</v>
      </c>
      <c r="F593" s="1" t="str">
        <f ca="1">IFERROR(__xludf.DUMMYFUNCTION("""COMPUTED_VALUE"""),"हिन्दी")</f>
        <v>हिन्दी</v>
      </c>
      <c r="G593" s="1" t="str">
        <f ca="1">IFERROR(__xludf.DUMMYFUNCTION("""COMPUTED_VALUE"""),"समग्र स्वास्थ्य")</f>
        <v>समग्र स्वास्थ्य</v>
      </c>
      <c r="H593" s="1"/>
      <c r="I593" s="1"/>
      <c r="J593" s="1"/>
      <c r="K593" s="1"/>
      <c r="L593" s="1"/>
      <c r="M593" s="1"/>
      <c r="N593" s="1"/>
      <c r="O593" s="1"/>
      <c r="P593" s="1"/>
      <c r="Q593" s="1"/>
      <c r="R593" s="1"/>
      <c r="S593" s="1"/>
      <c r="T593" s="1"/>
      <c r="U593" s="1" t="str">
        <f ca="1">IFERROR(__xludf.DUMMYFUNCTION("""COMPUTED_VALUE"""),"मानसिक स्वास्थ्य")</f>
        <v>मानसिक स्वास्थ्य</v>
      </c>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f ca="1">IFERROR(__xludf.DUMMYFUNCTION("""COMPUTED_VALUE"""),104)</f>
        <v>104</v>
      </c>
      <c r="BX593" s="1">
        <f ca="1">IFERROR(__xludf.DUMMYFUNCTION("""COMPUTED_VALUE"""),106)</f>
        <v>106</v>
      </c>
      <c r="BY593" s="1">
        <f ca="1">IFERROR(__xludf.DUMMYFUNCTION("""COMPUTED_VALUE"""),9)</f>
        <v>9</v>
      </c>
      <c r="BZ593" s="1">
        <f ca="1">IFERROR(__xludf.DUMMYFUNCTION("""COMPUTED_VALUE"""),43)</f>
        <v>43</v>
      </c>
      <c r="CA593" s="1"/>
      <c r="CB593" s="1"/>
      <c r="CC593" s="1" t="str">
        <f ca="1">IFERROR(__xludf.DUMMYFUNCTION("""COMPUTED_VALUE"""),"कायाकल्प : Rare Book")</f>
        <v>कायाकल्प : Rare Book</v>
      </c>
      <c r="CD593" s="3" t="str">
        <f ca="1">IFERROR(__xludf.DUMMYFUNCTION("""COMPUTED_VALUE"""),"https://vicharkrantibooks.org/productdetail?book_name=HINP0433_KAYAKALP_xxyyyy&amp;product_id=998")</f>
        <v>https://vicharkrantibooks.org/productdetail?book_name=HINP0433_KAYAKALP_xxyyyy&amp;product_id=998</v>
      </c>
      <c r="CE593" s="1" t="str">
        <f ca="1">IFERROR(__xludf.DUMMYFUNCTION("""COMPUTED_VALUE"""),"Audiobook : कायाकल्प : Rare Book : druma4107@gmail.com : Recorded")</f>
        <v>Audiobook : कायाकल्प : Rare Book : druma4107@gmail.com : Recorded</v>
      </c>
      <c r="CF593" s="1" t="str">
        <f ca="1">IFERROR(__xludf.DUMMYFUNCTION("""COMPUTED_VALUE"""),"Audiobook : कायाकल्प : Rare Book : druma4107@gmail.com : Recorded")</f>
        <v>Audiobook : कायाकल्प : Rare Book : druma4107@gmail.com : Recorded</v>
      </c>
      <c r="CG593" s="1" t="str">
        <f ca="1">IFERROR(__xludf.DUMMYFUNCTION("""COMPUTED_VALUE"""),"Adarniya Dr Uma Agrawal  ji कायाकल्प : Rare Book : Allocated on 04-Dec-23 Contact Number  9410861182")</f>
        <v>Adarniya Dr Uma Agrawal  ji कायाकल्प : Rare Book : Allocated on 04-Dec-23 Contact Number  9410861182</v>
      </c>
      <c r="CH593" s="1" t="str">
        <f ca="1">IFERROR(__xludf.DUMMYFUNCTION("""COMPUTED_VALUE"""),"druma4107@gmail.com : कायाकल्प : Rare Book")</f>
        <v>druma4107@gmail.com : कायाकल्प : Rare Book</v>
      </c>
      <c r="CI593" s="5">
        <f ca="1">IFERROR(__xludf.DUMMYFUNCTION("""COMPUTED_VALUE"""),45264.8269598148)</f>
        <v>45264.826959814804</v>
      </c>
    </row>
    <row r="594" spans="1:87" x14ac:dyDescent="0.25">
      <c r="A594" s="5">
        <f ca="1">IFERROR(__xludf.DUMMYFUNCTION("""COMPUTED_VALUE"""),45264.7931632986)</f>
        <v>45264.7931632986</v>
      </c>
      <c r="B594" s="1" t="str">
        <f ca="1">IFERROR(__xludf.DUMMYFUNCTION("""COMPUTED_VALUE"""),"jamunashukla17@gmail.com")</f>
        <v>jamunashukla17@gmail.com</v>
      </c>
      <c r="C594" s="1" t="str">
        <f ca="1">IFERROR(__xludf.DUMMYFUNCTION("""COMPUTED_VALUE"""),"Smt J S Shukla ")</f>
        <v xml:space="preserve">Smt J S Shukla </v>
      </c>
      <c r="D594" s="1">
        <f ca="1">IFERROR(__xludf.DUMMYFUNCTION("""COMPUTED_VALUE"""),8390353167)</f>
        <v>8390353167</v>
      </c>
      <c r="E594" s="1" t="str">
        <f ca="1">IFERROR(__xludf.DUMMYFUNCTION("""COMPUTED_VALUE"""),"Yes")</f>
        <v>Yes</v>
      </c>
      <c r="F594" s="1" t="str">
        <f ca="1">IFERROR(__xludf.DUMMYFUNCTION("""COMPUTED_VALUE"""),"हिन्दी")</f>
        <v>हिन्दी</v>
      </c>
      <c r="G594" s="1" t="str">
        <f ca="1">IFERROR(__xludf.DUMMYFUNCTION("""COMPUTED_VALUE"""),"अध्यात्म, धर्म एवं दर्शन")</f>
        <v>अध्यात्म, धर्म एवं दर्शन</v>
      </c>
      <c r="H594" s="1" t="str">
        <f ca="1">IFERROR(__xludf.DUMMYFUNCTION("""COMPUTED_VALUE"""),"अध्यात्म, धर्म एवं आस्तिकता")</f>
        <v>अध्यात्म, धर्म एवं आस्तिकता</v>
      </c>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f ca="1">IFERROR(__xludf.DUMMYFUNCTION("""COMPUTED_VALUE"""),53)</f>
        <v>53</v>
      </c>
      <c r="BX594" s="1">
        <f ca="1">IFERROR(__xludf.DUMMYFUNCTION("""COMPUTED_VALUE"""),53)</f>
        <v>53</v>
      </c>
      <c r="BY594" s="1">
        <f ca="1">IFERROR(__xludf.DUMMYFUNCTION("""COMPUTED_VALUE"""),9)</f>
        <v>9</v>
      </c>
      <c r="BZ594" s="1">
        <f ca="1">IFERROR(__xludf.DUMMYFUNCTION("""COMPUTED_VALUE"""),25)</f>
        <v>25</v>
      </c>
      <c r="CA594" s="1"/>
      <c r="CB594" s="1"/>
      <c r="CC594" s="1" t="str">
        <f ca="1">IFERROR(__xludf.DUMMYFUNCTION("""COMPUTED_VALUE"""),"कर्मफल का भोग अनिवार्य : Rare Book")</f>
        <v>कर्मफल का भोग अनिवार्य : Rare Book</v>
      </c>
      <c r="CD594" s="3" t="str">
        <f ca="1">IFERROR(__xludf.DUMMYFUNCTION("""COMPUTED_VALUE"""),"https://vicharkrantibooks.org/productdetail?book_name=HINP0426_KARMAPHAL_KA_BHOG_ANIVARY_xxyyyy&amp;product_id=991")</f>
        <v>https://vicharkrantibooks.org/productdetail?book_name=HINP0426_KARMAPHAL_KA_BHOG_ANIVARY_xxyyyy&amp;product_id=991</v>
      </c>
      <c r="CE594" s="1" t="str">
        <f ca="1">IFERROR(__xludf.DUMMYFUNCTION("""COMPUTED_VALUE"""),"Audiobook : कर्मफल का भोग अनिवार्य : Rare Book : jamunashukla17@gmail.com : Recorded")</f>
        <v>Audiobook : कर्मफल का भोग अनिवार्य : Rare Book : jamunashukla17@gmail.com : Recorded</v>
      </c>
      <c r="CF594" s="1" t="str">
        <f ca="1">IFERROR(__xludf.DUMMYFUNCTION("""COMPUTED_VALUE"""),"#N/A")</f>
        <v>#N/A</v>
      </c>
      <c r="CG594" s="1" t="str">
        <f ca="1">IFERROR(__xludf.DUMMYFUNCTION("""COMPUTED_VALUE"""),"Adarniya Smt J S Shukla  ji कर्मफल का भोग अनिवार्य : Rare Book : Allocated on 04-Dec-23 Contact Number  8390353167")</f>
        <v>Adarniya Smt J S Shukla  ji कर्मफल का भोग अनिवार्य : Rare Book : Allocated on 04-Dec-23 Contact Number  8390353167</v>
      </c>
      <c r="CH594" s="1" t="str">
        <f ca="1">IFERROR(__xludf.DUMMYFUNCTION("""COMPUTED_VALUE"""),"jamunashukla17@gmail.com : कर्मफल का भोग अनिवार्य : Rare Book")</f>
        <v>jamunashukla17@gmail.com : कर्मफल का भोग अनिवार्य : Rare Book</v>
      </c>
      <c r="CI594" s="5">
        <f ca="1">IFERROR(__xludf.DUMMYFUNCTION("""COMPUTED_VALUE"""),45264.7931632986)</f>
        <v>45264.7931632986</v>
      </c>
    </row>
    <row r="595" spans="1:87" x14ac:dyDescent="0.25">
      <c r="A595" s="5">
        <f ca="1">IFERROR(__xludf.DUMMYFUNCTION("""COMPUTED_VALUE"""),45264.5654168981)</f>
        <v>45264.565416898098</v>
      </c>
      <c r="B595" s="1" t="str">
        <f ca="1">IFERROR(__xludf.DUMMYFUNCTION("""COMPUTED_VALUE"""),"csprasad108@gmail.com")</f>
        <v>csprasad108@gmail.com</v>
      </c>
      <c r="C595" s="1" t="str">
        <f ca="1">IFERROR(__xludf.DUMMYFUNCTION("""COMPUTED_VALUE"""),"Kumkum prasad")</f>
        <v>Kumkum prasad</v>
      </c>
      <c r="D595" s="1">
        <f ca="1">IFERROR(__xludf.DUMMYFUNCTION("""COMPUTED_VALUE"""),7978055621)</f>
        <v>7978055621</v>
      </c>
      <c r="E595" s="1"/>
      <c r="F595" s="1" t="str">
        <f ca="1">IFERROR(__xludf.DUMMYFUNCTION("""COMPUTED_VALUE"""),"हिन्दी")</f>
        <v>हिन्दी</v>
      </c>
      <c r="G595" s="1" t="str">
        <f ca="1">IFERROR(__xludf.DUMMYFUNCTION("""COMPUTED_VALUE"""),"गायत्री परिवार")</f>
        <v>गायत्री परिवार</v>
      </c>
      <c r="H595" s="1"/>
      <c r="I595" s="1"/>
      <c r="J595" s="1" t="str">
        <f ca="1">IFERROR(__xludf.DUMMYFUNCTION("""COMPUTED_VALUE"""),"सृजन शिल्पियों की योजनाबद्ध कार्य पद्धति")</f>
        <v>सृजन शिल्पियों की योजनाबद्ध कार्य पद्धति</v>
      </c>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f ca="1">IFERROR(__xludf.DUMMYFUNCTION("""COMPUTED_VALUE"""),52)</f>
        <v>52</v>
      </c>
      <c r="BX595" s="1">
        <f ca="1">IFERROR(__xludf.DUMMYFUNCTION("""COMPUTED_VALUE"""),54)</f>
        <v>54</v>
      </c>
      <c r="BY595" s="1">
        <f ca="1">IFERROR(__xludf.DUMMYFUNCTION("""COMPUTED_VALUE"""),3)</f>
        <v>3</v>
      </c>
      <c r="BZ595" s="1">
        <f ca="1">IFERROR(__xludf.DUMMYFUNCTION("""COMPUTED_VALUE"""),24)</f>
        <v>24</v>
      </c>
      <c r="CA595" s="1"/>
      <c r="CB595" s="1"/>
      <c r="CC595" s="1" t="str">
        <f ca="1">IFERROR(__xludf.DUMMYFUNCTION("""COMPUTED_VALUE"""),"ओजस तेजस और वर्चस के जागरण की साधना  : Rare Book")</f>
        <v>ओजस तेजस और वर्चस के जागरण की साधना  : Rare Book</v>
      </c>
      <c r="CD595" s="3" t="str">
        <f ca="1">IFERROR(__xludf.DUMMYFUNCTION("""COMPUTED_VALUE"""),"https://vicharkrantibooks.org/productdetail?book_name=HINP0608_OJAS_TEJAS_AUR_VARCHAS_KE_JAGARAN_KI_SADHANA_xx1981&amp;product_id=1173")</f>
        <v>https://vicharkrantibooks.org/productdetail?book_name=HINP0608_OJAS_TEJAS_AUR_VARCHAS_KE_JAGARAN_KI_SADHANA_xx1981&amp;product_id=1173</v>
      </c>
      <c r="CE595" s="1" t="str">
        <f ca="1">IFERROR(__xludf.DUMMYFUNCTION("""COMPUTED_VALUE"""),"Audiobook : ओजस तेजस और वर्चस के जागरण की साधना  : Rare Book : csprasad108@gmail.com : Recorded")</f>
        <v>Audiobook : ओजस तेजस और वर्चस के जागरण की साधना  : Rare Book : csprasad108@gmail.com : Recorded</v>
      </c>
      <c r="CF595" s="1" t="str">
        <f ca="1">IFERROR(__xludf.DUMMYFUNCTION("""COMPUTED_VALUE"""),"#N/A")</f>
        <v>#N/A</v>
      </c>
      <c r="CG595" s="1" t="str">
        <f ca="1">IFERROR(__xludf.DUMMYFUNCTION("""COMPUTED_VALUE"""),"Adarniya Kumkum prasad ji ओजस तेजस और वर्चस के जागरण की साधना  : Rare Book : Allocated on 04-Dec-23 Contact Number  7978055621")</f>
        <v>Adarniya Kumkum prasad ji ओजस तेजस और वर्चस के जागरण की साधना  : Rare Book : Allocated on 04-Dec-23 Contact Number  7978055621</v>
      </c>
      <c r="CH595" s="1" t="str">
        <f ca="1">IFERROR(__xludf.DUMMYFUNCTION("""COMPUTED_VALUE"""),"csprasad108@gmail.com : ओजस तेजस और वर्चस के जागरण की साधना  : Rare Book")</f>
        <v>csprasad108@gmail.com : ओजस तेजस और वर्चस के जागरण की साधना  : Rare Book</v>
      </c>
      <c r="CI595" s="5">
        <f ca="1">IFERROR(__xludf.DUMMYFUNCTION("""COMPUTED_VALUE"""),45264.5654168981)</f>
        <v>45264.565416898098</v>
      </c>
    </row>
    <row r="596" spans="1:87" x14ac:dyDescent="0.25">
      <c r="A596" s="5">
        <f ca="1">IFERROR(__xludf.DUMMYFUNCTION("""COMPUTED_VALUE"""),45263.932410405)</f>
        <v>45263.932410405003</v>
      </c>
      <c r="B596" s="1" t="str">
        <f ca="1">IFERROR(__xludf.DUMMYFUNCTION("""COMPUTED_VALUE"""),"vandana15rastogi@gmail.com")</f>
        <v>vandana15rastogi@gmail.com</v>
      </c>
      <c r="C596" s="1" t="str">
        <f ca="1">IFERROR(__xludf.DUMMYFUNCTION("""COMPUTED_VALUE"""),"Vandana Rastogi")</f>
        <v>Vandana Rastogi</v>
      </c>
      <c r="D596" s="1">
        <f ca="1">IFERROR(__xludf.DUMMYFUNCTION("""COMPUTED_VALUE"""),9359528684)</f>
        <v>9359528684</v>
      </c>
      <c r="E596" s="1" t="str">
        <f ca="1">IFERROR(__xludf.DUMMYFUNCTION("""COMPUTED_VALUE"""),"Yes")</f>
        <v>Yes</v>
      </c>
      <c r="F596" s="1" t="str">
        <f ca="1">IFERROR(__xludf.DUMMYFUNCTION("""COMPUTED_VALUE"""),"हिन्दी")</f>
        <v>हिन्दी</v>
      </c>
      <c r="G596" s="1" t="str">
        <f ca="1">IFERROR(__xludf.DUMMYFUNCTION("""COMPUTED_VALUE"""),"जीवन प्रबंध")</f>
        <v>जीवन प्रबंध</v>
      </c>
      <c r="H596" s="1"/>
      <c r="I596" s="1"/>
      <c r="J596" s="1"/>
      <c r="K596" s="1"/>
      <c r="L596" s="1" t="str">
        <f ca="1">IFERROR(__xludf.DUMMYFUNCTION("""COMPUTED_VALUE"""),"सफल, संतुष्ट एवं सुखी जीवन")</f>
        <v>सफल, संतुष्ट एवं सुखी जीवन</v>
      </c>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f ca="1">IFERROR(__xludf.DUMMYFUNCTION("""COMPUTED_VALUE"""),33)</f>
        <v>33</v>
      </c>
      <c r="BX596" s="1">
        <f ca="1">IFERROR(__xludf.DUMMYFUNCTION("""COMPUTED_VALUE"""),19)</f>
        <v>19</v>
      </c>
      <c r="BY596" s="1">
        <f ca="1">IFERROR(__xludf.DUMMYFUNCTION("""COMPUTED_VALUE"""),17)</f>
        <v>17</v>
      </c>
      <c r="BZ596" s="1">
        <f ca="1">IFERROR(__xludf.DUMMYFUNCTION("""COMPUTED_VALUE"""),14)</f>
        <v>14</v>
      </c>
      <c r="CA596" s="1"/>
      <c r="CB596" s="1"/>
      <c r="CC596" s="1" t="str">
        <f ca="1">IFERROR(__xludf.DUMMYFUNCTION("""COMPUTED_VALUE"""),"जीवन साधना करें देवता बनें : H_JS_55")</f>
        <v>जीवन साधना करें देवता बनें : H_JS_55</v>
      </c>
      <c r="CD596" s="3" t="str">
        <f ca="1">IFERROR(__xludf.DUMMYFUNCTION("""COMPUTED_VALUE"""),"https://vicharkrantibooks.org/productdetail?book_name=HINP0393_JIVAN_SADHANA_KAREN_DEVATA_BANEN_xx2011&amp;product_id=958")</f>
        <v>https://vicharkrantibooks.org/productdetail?book_name=HINP0393_JIVAN_SADHANA_KAREN_DEVATA_BANEN_xx2011&amp;product_id=958</v>
      </c>
      <c r="CE596" s="1" t="str">
        <f ca="1">IFERROR(__xludf.DUMMYFUNCTION("""COMPUTED_VALUE"""),"Audiobook : जीवन साधना करें देवता बनें : H_JS_55 : vandana15rastogi@gmail.com : Recorded")</f>
        <v>Audiobook : जीवन साधना करें देवता बनें : H_JS_55 : vandana15rastogi@gmail.com : Recorded</v>
      </c>
      <c r="CF596" s="1" t="str">
        <f ca="1">IFERROR(__xludf.DUMMYFUNCTION("""COMPUTED_VALUE"""),"#N/A")</f>
        <v>#N/A</v>
      </c>
      <c r="CG596" s="1" t="str">
        <f ca="1">IFERROR(__xludf.DUMMYFUNCTION("""COMPUTED_VALUE"""),"Adarniya Vandana Rastogi ji जीवन साधना करें देवता बनें : H_JS_55 : Allocated on 03-Dec-23 Contact Number  9359528684")</f>
        <v>Adarniya Vandana Rastogi ji जीवन साधना करें देवता बनें : H_JS_55 : Allocated on 03-Dec-23 Contact Number  9359528684</v>
      </c>
      <c r="CH596" s="1" t="str">
        <f ca="1">IFERROR(__xludf.DUMMYFUNCTION("""COMPUTED_VALUE"""),"vandana15rastogi@gmail.com : जीवन साधना करें देवता बनें : H_JS_55")</f>
        <v>vandana15rastogi@gmail.com : जीवन साधना करें देवता बनें : H_JS_55</v>
      </c>
      <c r="CI596" s="5">
        <f ca="1">IFERROR(__xludf.DUMMYFUNCTION("""COMPUTED_VALUE"""),45263.932410405)</f>
        <v>45263.932410405003</v>
      </c>
    </row>
    <row r="597" spans="1:87" x14ac:dyDescent="0.25">
      <c r="A597" s="5">
        <f ca="1">IFERROR(__xludf.DUMMYFUNCTION("""COMPUTED_VALUE"""),45263.8444682523)</f>
        <v>45263.844468252297</v>
      </c>
      <c r="B597" s="1" t="str">
        <f ca="1">IFERROR(__xludf.DUMMYFUNCTION("""COMPUTED_VALUE"""),"spmittalmumbai@gmail.com")</f>
        <v>spmittalmumbai@gmail.com</v>
      </c>
      <c r="C597" s="1" t="str">
        <f ca="1">IFERROR(__xludf.DUMMYFUNCTION("""COMPUTED_VALUE"""),"Dr.SPMittal")</f>
        <v>Dr.SPMittal</v>
      </c>
      <c r="D597" s="1"/>
      <c r="E597" s="1" t="str">
        <f ca="1">IFERROR(__xludf.DUMMYFUNCTION("""COMPUTED_VALUE"""),"Yes")</f>
        <v>Yes</v>
      </c>
      <c r="F597" s="1" t="str">
        <f ca="1">IFERROR(__xludf.DUMMYFUNCTION("""COMPUTED_VALUE"""),"हिन्दी")</f>
        <v>हिन्दी</v>
      </c>
      <c r="G597" s="1" t="str">
        <f ca="1">IFERROR(__xludf.DUMMYFUNCTION("""COMPUTED_VALUE"""),"जीवन प्रबंध")</f>
        <v>जीवन प्रबंध</v>
      </c>
      <c r="H597" s="1"/>
      <c r="I597" s="1"/>
      <c r="J597" s="1"/>
      <c r="K597" s="1"/>
      <c r="L597" s="1" t="str">
        <f ca="1">IFERROR(__xludf.DUMMYFUNCTION("""COMPUTED_VALUE"""),"मन की शक्ति एवं मनोविज्ञान")</f>
        <v>मन की शक्ति एवं मनोविज्ञान</v>
      </c>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f ca="1">IFERROR(__xludf.DUMMYFUNCTION("""COMPUTED_VALUE"""),39)</f>
        <v>39</v>
      </c>
      <c r="BX597" s="1">
        <f ca="1">IFERROR(__xludf.DUMMYFUNCTION("""COMPUTED_VALUE"""),32)</f>
        <v>32</v>
      </c>
      <c r="BY597" s="1">
        <f ca="1">IFERROR(__xludf.DUMMYFUNCTION("""COMPUTED_VALUE"""),11)</f>
        <v>11</v>
      </c>
      <c r="BZ597" s="1">
        <f ca="1">IFERROR(__xludf.DUMMYFUNCTION("""COMPUTED_VALUE"""),23)</f>
        <v>23</v>
      </c>
      <c r="CA597" s="1"/>
      <c r="CB597" s="1"/>
      <c r="CC597" s="1" t="str">
        <f ca="1">IFERROR(__xludf.DUMMYFUNCTION("""COMPUTED_VALUE"""),"जीवन साधना की उर्जा रश्मियाँ : H_SC_04")</f>
        <v>जीवन साधना की उर्जा रश्मियाँ : H_SC_04</v>
      </c>
      <c r="CD597" s="3" t="str">
        <f ca="1">IFERROR(__xludf.DUMMYFUNCTION("""COMPUTED_VALUE"""),"https://vicharkrantibooks.org/productdetail?book_name=HINP0395_JIVAN_SADHANA_KI_URJA_RASHAMIYAN_xxyyyy&amp;product_id=960")</f>
        <v>https://vicharkrantibooks.org/productdetail?book_name=HINP0395_JIVAN_SADHANA_KI_URJA_RASHAMIYAN_xxyyyy&amp;product_id=960</v>
      </c>
      <c r="CE597" s="1" t="str">
        <f ca="1">IFERROR(__xludf.DUMMYFUNCTION("""COMPUTED_VALUE"""),"Audiobook : जीवन साधना की उर्जा रश्मियाँ : H_SC_04 : spmittalmumbai@gmail.com : Recorded")</f>
        <v>Audiobook : जीवन साधना की उर्जा रश्मियाँ : H_SC_04 : spmittalmumbai@gmail.com : Recorded</v>
      </c>
      <c r="CF597" s="1" t="str">
        <f ca="1">IFERROR(__xludf.DUMMYFUNCTION("""COMPUTED_VALUE"""),"#N/A")</f>
        <v>#N/A</v>
      </c>
      <c r="CG597" s="1" t="str">
        <f ca="1">IFERROR(__xludf.DUMMYFUNCTION("""COMPUTED_VALUE"""),"Adarniya Dr.SPMittal ji जीवन साधना की उर्जा रश्मियाँ : H_SC_04 : Allocated on 03-Dec-23 Contact Number  ")</f>
        <v xml:space="preserve">Adarniya Dr.SPMittal ji जीवन साधना की उर्जा रश्मियाँ : H_SC_04 : Allocated on 03-Dec-23 Contact Number  </v>
      </c>
      <c r="CH597" s="1" t="str">
        <f ca="1">IFERROR(__xludf.DUMMYFUNCTION("""COMPUTED_VALUE"""),"spmittalmumbai@gmail.com : जीवन साधना की उर्जा रश्मियाँ : H_SC_04")</f>
        <v>spmittalmumbai@gmail.com : जीवन साधना की उर्जा रश्मियाँ : H_SC_04</v>
      </c>
      <c r="CI597" s="5">
        <f ca="1">IFERROR(__xludf.DUMMYFUNCTION("""COMPUTED_VALUE"""),45263.8444682523)</f>
        <v>45263.844468252297</v>
      </c>
    </row>
    <row r="598" spans="1:87" x14ac:dyDescent="0.25">
      <c r="A598" s="5">
        <f ca="1">IFERROR(__xludf.DUMMYFUNCTION("""COMPUTED_VALUE"""),45263.3297347569)</f>
        <v>45263.329734756902</v>
      </c>
      <c r="B598" s="1" t="str">
        <f ca="1">IFERROR(__xludf.DUMMYFUNCTION("""COMPUTED_VALUE"""),"purnima.bharadwaj.24@gmail.com")</f>
        <v>purnima.bharadwaj.24@gmail.com</v>
      </c>
      <c r="C598" s="1" t="str">
        <f ca="1">IFERROR(__xludf.DUMMYFUNCTION("""COMPUTED_VALUE"""),"पूर्णिमा भारद्वाज ")</f>
        <v xml:space="preserve">पूर्णिमा भारद्वाज </v>
      </c>
      <c r="D598" s="1">
        <f ca="1">IFERROR(__xludf.DUMMYFUNCTION("""COMPUTED_VALUE"""),9415389032)</f>
        <v>9415389032</v>
      </c>
      <c r="E598" s="1" t="str">
        <f ca="1">IFERROR(__xludf.DUMMYFUNCTION("""COMPUTED_VALUE"""),"Yes")</f>
        <v>Yes</v>
      </c>
      <c r="F598" s="1" t="str">
        <f ca="1">IFERROR(__xludf.DUMMYFUNCTION("""COMPUTED_VALUE"""),"हिन्दी")</f>
        <v>हिन्दी</v>
      </c>
      <c r="G598" s="1" t="str">
        <f ca="1">IFERROR(__xludf.DUMMYFUNCTION("""COMPUTED_VALUE"""),"युग द्रष्टा पं. श्रीराम शर्मा आचार्यजी")</f>
        <v>युग द्रष्टा पं. श्रीराम शर्मा आचार्यजी</v>
      </c>
      <c r="H598" s="1"/>
      <c r="I598" s="1"/>
      <c r="J598" s="1"/>
      <c r="K598" s="1"/>
      <c r="L598" s="1"/>
      <c r="M598" s="1"/>
      <c r="N598" s="1"/>
      <c r="O598" s="1"/>
      <c r="P598" s="1" t="str">
        <f ca="1">IFERROR(__xludf.DUMMYFUNCTION("""COMPUTED_VALUE"""),"युगॠषी की अमृतवाणी")</f>
        <v>युगॠषी की अमृतवाणी</v>
      </c>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f ca="1">IFERROR(__xludf.DUMMYFUNCTION("""COMPUTED_VALUE"""),43)</f>
        <v>43</v>
      </c>
      <c r="BX598" s="1">
        <f ca="1">IFERROR(__xludf.DUMMYFUNCTION("""COMPUTED_VALUE"""),36)</f>
        <v>36</v>
      </c>
      <c r="BY598" s="1">
        <f ca="1">IFERROR(__xludf.DUMMYFUNCTION("""COMPUTED_VALUE"""),9)</f>
        <v>9</v>
      </c>
      <c r="BZ598" s="1">
        <f ca="1">IFERROR(__xludf.DUMMYFUNCTION("""COMPUTED_VALUE"""),30)</f>
        <v>30</v>
      </c>
      <c r="CA598" s="1"/>
      <c r="CB598" s="1"/>
      <c r="CC598" s="1" t="str">
        <f ca="1">IFERROR(__xludf.DUMMYFUNCTION("""COMPUTED_VALUE"""),"मनुज देवता बने : H_JS_89")</f>
        <v>मनुज देवता बने : H_JS_89</v>
      </c>
      <c r="CD598" s="3" t="str">
        <f ca="1">IFERROR(__xludf.DUMMYFUNCTION("""COMPUTED_VALUE"""),"https://vicharkrantibooks.org/productdetail?book_name=HINP0523_MANUJ_DEVATA_BANE_xx2011&amp;product_id=1088")</f>
        <v>https://vicharkrantibooks.org/productdetail?book_name=HINP0523_MANUJ_DEVATA_BANE_xx2011&amp;product_id=1088</v>
      </c>
      <c r="CE598" s="1" t="str">
        <f ca="1">IFERROR(__xludf.DUMMYFUNCTION("""COMPUTED_VALUE"""),"Audiobook : मनुज देवता बने : H_JS_89 : purnima.bharadwaj.24@gmail.com : Recorded")</f>
        <v>Audiobook : मनुज देवता बने : H_JS_89 : purnima.bharadwaj.24@gmail.com : Recorded</v>
      </c>
      <c r="CF598" s="1" t="str">
        <f ca="1">IFERROR(__xludf.DUMMYFUNCTION("""COMPUTED_VALUE"""),"Audiobook : मनुज देवता बने : H_JS_89 : purnima.bharadwaj.24@gmail.com : Recorded")</f>
        <v>Audiobook : मनुज देवता बने : H_JS_89 : purnima.bharadwaj.24@gmail.com : Recorded</v>
      </c>
      <c r="CG598" s="1" t="str">
        <f ca="1">IFERROR(__xludf.DUMMYFUNCTION("""COMPUTED_VALUE"""),"Adarniya पूर्णिमा भारद्वाज  ji मनुज देवता बने : H_JS_89 : Allocated on 03-Dec-23 Contact Number  9415389032")</f>
        <v>Adarniya पूर्णिमा भारद्वाज  ji मनुज देवता बने : H_JS_89 : Allocated on 03-Dec-23 Contact Number  9415389032</v>
      </c>
      <c r="CH598" s="1" t="str">
        <f ca="1">IFERROR(__xludf.DUMMYFUNCTION("""COMPUTED_VALUE"""),"purnima.bharadwaj.24@gmail.com : मनुज देवता बने : H_JS_89")</f>
        <v>purnima.bharadwaj.24@gmail.com : मनुज देवता बने : H_JS_89</v>
      </c>
      <c r="CI598" s="5">
        <f ca="1">IFERROR(__xludf.DUMMYFUNCTION("""COMPUTED_VALUE"""),45263.3297347569)</f>
        <v>45263.329734756902</v>
      </c>
    </row>
    <row r="599" spans="1:87" x14ac:dyDescent="0.25">
      <c r="A599" s="5">
        <f ca="1">IFERROR(__xludf.DUMMYFUNCTION("""COMPUTED_VALUE"""),45261.9510258217)</f>
        <v>45261.951025821698</v>
      </c>
      <c r="B599" s="1" t="str">
        <f ca="1">IFERROR(__xludf.DUMMYFUNCTION("""COMPUTED_VALUE"""),"saratkar.awgp@gmail.com")</f>
        <v>saratkar.awgp@gmail.com</v>
      </c>
      <c r="C599" s="1" t="str">
        <f ca="1">IFERROR(__xludf.DUMMYFUNCTION("""COMPUTED_VALUE"""),"Beniram Saratkar ")</f>
        <v xml:space="preserve">Beniram Saratkar </v>
      </c>
      <c r="D599" s="1" t="str">
        <f ca="1">IFERROR(__xludf.DUMMYFUNCTION("""COMPUTED_VALUE"""),"+917218896169")</f>
        <v>+917218896169</v>
      </c>
      <c r="E599" s="1" t="str">
        <f ca="1">IFERROR(__xludf.DUMMYFUNCTION("""COMPUTED_VALUE"""),"Yes")</f>
        <v>Yes</v>
      </c>
      <c r="F599" s="1" t="str">
        <f ca="1">IFERROR(__xludf.DUMMYFUNCTION("""COMPUTED_VALUE"""),"हिन्दी")</f>
        <v>हिन्दी</v>
      </c>
      <c r="G599" s="1" t="str">
        <f ca="1">IFERROR(__xludf.DUMMYFUNCTION("""COMPUTED_VALUE"""),"परिवार निर्माण")</f>
        <v>परिवार निर्माण</v>
      </c>
      <c r="H599" s="1"/>
      <c r="I599" s="1"/>
      <c r="J599" s="1"/>
      <c r="K599" s="1"/>
      <c r="L599" s="1"/>
      <c r="M599" s="1" t="str">
        <f ca="1">IFERROR(__xludf.DUMMYFUNCTION("""COMPUTED_VALUE"""),"बाल मनोविज्ञान")</f>
        <v>बाल मनोविज्ञान</v>
      </c>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f ca="1">IFERROR(__xludf.DUMMYFUNCTION("""COMPUTED_VALUE"""),5)</f>
        <v>5</v>
      </c>
      <c r="BX599" s="1">
        <f ca="1">IFERROR(__xludf.DUMMYFUNCTION("""COMPUTED_VALUE"""),2)</f>
        <v>2</v>
      </c>
      <c r="BY599" s="1">
        <f ca="1">IFERROR(__xludf.DUMMYFUNCTION("""COMPUTED_VALUE"""),3)</f>
        <v>3</v>
      </c>
      <c r="BZ599" s="1">
        <f ca="1">IFERROR(__xludf.DUMMYFUNCTION("""COMPUTED_VALUE"""),2)</f>
        <v>2</v>
      </c>
      <c r="CA599" s="1"/>
      <c r="CB599" s="1"/>
      <c r="CC599" s="1" t="str">
        <f ca="1">IFERROR(__xludf.DUMMYFUNCTION("""COMPUTED_VALUE"""),"प्रतिभाओं का नियोजन नवनिर्माण में : H_PP_16")</f>
        <v>प्रतिभाओं का नियोजन नवनिर्माण में : H_PP_16</v>
      </c>
      <c r="CD599" s="3" t="str">
        <f ca="1">IFERROR(__xludf.DUMMYFUNCTION("""COMPUTED_VALUE"""),"https://vicharkrantibooks.org/productdetail?book_name=HINP0678_PRATIBHAON_KA_NIYOJAN_NAVANIRMAN_MEIN_xxyyyy&amp;product_id=1243")</f>
        <v>https://vicharkrantibooks.org/productdetail?book_name=HINP0678_PRATIBHAON_KA_NIYOJAN_NAVANIRMAN_MEIN_xxyyyy&amp;product_id=1243</v>
      </c>
      <c r="CE599" s="1" t="str">
        <f ca="1">IFERROR(__xludf.DUMMYFUNCTION("""COMPUTED_VALUE"""),"Audiobook : प्रतिभाओं का नियोजन नवनिर्माण में : H_PP_16 : saratkar.awgp@gmail.com : Recorded")</f>
        <v>Audiobook : प्रतिभाओं का नियोजन नवनिर्माण में : H_PP_16 : saratkar.awgp@gmail.com : Recorded</v>
      </c>
      <c r="CF599" s="1" t="str">
        <f ca="1">IFERROR(__xludf.DUMMYFUNCTION("""COMPUTED_VALUE"""),"#N/A")</f>
        <v>#N/A</v>
      </c>
      <c r="CG599" s="1" t="str">
        <f ca="1">IFERROR(__xludf.DUMMYFUNCTION("""COMPUTED_VALUE"""),"Adarniya Beniram Saratkar  ji प्रतिभाओं का नियोजन नवनिर्माण में : H_PP_16 : Allocated on 01-Dec-23 Contact Number  +917218896169")</f>
        <v>Adarniya Beniram Saratkar  ji प्रतिभाओं का नियोजन नवनिर्माण में : H_PP_16 : Allocated on 01-Dec-23 Contact Number  +917218896169</v>
      </c>
      <c r="CH599" s="1" t="str">
        <f ca="1">IFERROR(__xludf.DUMMYFUNCTION("""COMPUTED_VALUE"""),"saratkar.awgp@gmail.com : प्रतिभाओं का नियोजन नवनिर्माण में : H_PP_16")</f>
        <v>saratkar.awgp@gmail.com : प्रतिभाओं का नियोजन नवनिर्माण में : H_PP_16</v>
      </c>
      <c r="CI599" s="5">
        <f ca="1">IFERROR(__xludf.DUMMYFUNCTION("""COMPUTED_VALUE"""),45261.9510258217)</f>
        <v>45261.951025821698</v>
      </c>
    </row>
    <row r="600" spans="1:87" x14ac:dyDescent="0.25">
      <c r="A600" s="5">
        <f ca="1">IFERROR(__xludf.DUMMYFUNCTION("""COMPUTED_VALUE"""),45261.4675313657)</f>
        <v>45261.467531365699</v>
      </c>
      <c r="B600" s="1" t="str">
        <f ca="1">IFERROR(__xludf.DUMMYFUNCTION("""COMPUTED_VALUE"""),"richasharma310575@gmail.com")</f>
        <v>richasharma310575@gmail.com</v>
      </c>
      <c r="C600" s="1" t="str">
        <f ca="1">IFERROR(__xludf.DUMMYFUNCTION("""COMPUTED_VALUE"""),"Richa Sharma")</f>
        <v>Richa Sharma</v>
      </c>
      <c r="D600" s="1">
        <f ca="1">IFERROR(__xludf.DUMMYFUNCTION("""COMPUTED_VALUE"""),9479664049)</f>
        <v>9479664049</v>
      </c>
      <c r="E600" s="1" t="str">
        <f ca="1">IFERROR(__xludf.DUMMYFUNCTION("""COMPUTED_VALUE"""),"Yes")</f>
        <v>Yes</v>
      </c>
      <c r="F600" s="1" t="str">
        <f ca="1">IFERROR(__xludf.DUMMYFUNCTION("""COMPUTED_VALUE"""),"हिन्दी")</f>
        <v>हिन्दी</v>
      </c>
      <c r="G600" s="1" t="str">
        <f ca="1">IFERROR(__xludf.DUMMYFUNCTION("""COMPUTED_VALUE"""),"संस्कार, कर्मकाण्ड, पाठ, पूजा, गीत-संगीत")</f>
        <v>संस्कार, कर्मकाण्ड, पाठ, पूजा, गीत-संगीत</v>
      </c>
      <c r="H600" s="1"/>
      <c r="I600" s="1"/>
      <c r="J600" s="1"/>
      <c r="K600" s="1"/>
      <c r="L600" s="1"/>
      <c r="M600" s="1"/>
      <c r="N600" s="1"/>
      <c r="O600" s="1"/>
      <c r="P600" s="1"/>
      <c r="Q600" s="1"/>
      <c r="R600" s="1"/>
      <c r="S600" s="1"/>
      <c r="T600" s="1"/>
      <c r="U600" s="1"/>
      <c r="V600" s="1"/>
      <c r="W600" s="1" t="str">
        <f ca="1">IFERROR(__xludf.DUMMYFUNCTION("""COMPUTED_VALUE"""),"स्वाध्याय, सत्संग, चिंतन, मनन")</f>
        <v>स्वाध्याय, सत्संग, चिंतन, मनन</v>
      </c>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t="str">
        <f ca="1">IFERROR(__xludf.DUMMYFUNCTION("""COMPUTED_VALUE"""),"उत्कृष्ट विचारों का सतत सानिध्य")</f>
        <v>उत्कृष्ट विचारों का सतत सानिध्य</v>
      </c>
      <c r="BK600" s="1"/>
      <c r="BL600" s="1"/>
      <c r="BM600" s="1"/>
      <c r="BN600" s="1"/>
      <c r="BO600" s="1"/>
      <c r="BP600" s="1"/>
      <c r="BQ600" s="1"/>
      <c r="BR600" s="1"/>
      <c r="BS600" s="1"/>
      <c r="BT600" s="1"/>
      <c r="BU600" s="1"/>
      <c r="BV600" s="1"/>
      <c r="BW600" s="1">
        <f ca="1">IFERROR(__xludf.DUMMYFUNCTION("""COMPUTED_VALUE"""),23)</f>
        <v>23</v>
      </c>
      <c r="BX600" s="1">
        <f ca="1">IFERROR(__xludf.DUMMYFUNCTION("""COMPUTED_VALUE"""),28)</f>
        <v>28</v>
      </c>
      <c r="BY600" s="1">
        <f ca="1">IFERROR(__xludf.DUMMYFUNCTION("""COMPUTED_VALUE"""),2)</f>
        <v>2</v>
      </c>
      <c r="BZ600" s="1">
        <f ca="1">IFERROR(__xludf.DUMMYFUNCTION("""COMPUTED_VALUE"""),24)</f>
        <v>24</v>
      </c>
      <c r="CA600" s="1"/>
      <c r="CB600" s="1"/>
      <c r="CC600" s="1" t="str">
        <f ca="1">IFERROR(__xludf.DUMMYFUNCTION("""COMPUTED_VALUE"""),"घर एक तपोवन परिवार एक प्रयोगशाला : H_JS_64")</f>
        <v>घर एक तपोवन परिवार एक प्रयोगशाला : H_JS_64</v>
      </c>
      <c r="CD600" s="3" t="str">
        <f ca="1">IFERROR(__xludf.DUMMYFUNCTION("""COMPUTED_VALUE"""),"https://vicharkrantibooks.org/productdetail?book_name=HINP0305_GHAR_EK_TAPOVAN_PARIWAR_EK_PRAYOGASHALA_xx2011&amp;product_id=870")</f>
        <v>https://vicharkrantibooks.org/productdetail?book_name=HINP0305_GHAR_EK_TAPOVAN_PARIWAR_EK_PRAYOGASHALA_xx2011&amp;product_id=870</v>
      </c>
      <c r="CE600" s="1" t="str">
        <f ca="1">IFERROR(__xludf.DUMMYFUNCTION("""COMPUTED_VALUE"""),"Audiobook : घर एक तपोवन परिवार एक प्रयोगशाला : H_JS_64 : richasharma310575@gmail.com : Recorded")</f>
        <v>Audiobook : घर एक तपोवन परिवार एक प्रयोगशाला : H_JS_64 : richasharma310575@gmail.com : Recorded</v>
      </c>
      <c r="CF600" s="1" t="str">
        <f ca="1">IFERROR(__xludf.DUMMYFUNCTION("""COMPUTED_VALUE"""),"Audiobook : घर एक तपोवन परिवार एक प्रयोगशाला : H_JS_64 : richasharma310575@gmail.com : Recorded")</f>
        <v>Audiobook : घर एक तपोवन परिवार एक प्रयोगशाला : H_JS_64 : richasharma310575@gmail.com : Recorded</v>
      </c>
      <c r="CG600" s="1" t="str">
        <f ca="1">IFERROR(__xludf.DUMMYFUNCTION("""COMPUTED_VALUE"""),"Adarniya Richa Sharma ji घर एक तपोवन परिवार एक प्रयोगशाला : H_JS_64 : Allocated on 01-Dec-23 Contact Number  9479664049")</f>
        <v>Adarniya Richa Sharma ji घर एक तपोवन परिवार एक प्रयोगशाला : H_JS_64 : Allocated on 01-Dec-23 Contact Number  9479664049</v>
      </c>
      <c r="CH600" s="1" t="str">
        <f ca="1">IFERROR(__xludf.DUMMYFUNCTION("""COMPUTED_VALUE"""),"richasharma310575@gmail.com : घर एक तपोवन परिवार एक प्रयोगशाला : H_JS_64")</f>
        <v>richasharma310575@gmail.com : घर एक तपोवन परिवार एक प्रयोगशाला : H_JS_64</v>
      </c>
      <c r="CI600" s="5">
        <f ca="1">IFERROR(__xludf.DUMMYFUNCTION("""COMPUTED_VALUE"""),45261.4675313657)</f>
        <v>45261.467531365699</v>
      </c>
    </row>
    <row r="601" spans="1:87" x14ac:dyDescent="0.25">
      <c r="A601" s="5">
        <f ca="1">IFERROR(__xludf.DUMMYFUNCTION("""COMPUTED_VALUE"""),45261.2686728356)</f>
        <v>45261.268672835598</v>
      </c>
      <c r="B601" s="1" t="str">
        <f ca="1">IFERROR(__xludf.DUMMYFUNCTION("""COMPUTED_VALUE"""),"purnima.bharadwaj.24@gmail.com")</f>
        <v>purnima.bharadwaj.24@gmail.com</v>
      </c>
      <c r="C601" s="1" t="str">
        <f ca="1">IFERROR(__xludf.DUMMYFUNCTION("""COMPUTED_VALUE"""),"पूर्णिमा भारद्वाज ")</f>
        <v xml:space="preserve">पूर्णिमा भारद्वाज </v>
      </c>
      <c r="D601" s="1">
        <f ca="1">IFERROR(__xludf.DUMMYFUNCTION("""COMPUTED_VALUE"""),9415389032)</f>
        <v>9415389032</v>
      </c>
      <c r="E601" s="1" t="str">
        <f ca="1">IFERROR(__xludf.DUMMYFUNCTION("""COMPUTED_VALUE"""),"Yes")</f>
        <v>Yes</v>
      </c>
      <c r="F601" s="1" t="str">
        <f ca="1">IFERROR(__xludf.DUMMYFUNCTION("""COMPUTED_VALUE"""),"हिन्दी")</f>
        <v>हिन्दी</v>
      </c>
      <c r="G601" s="1" t="str">
        <f ca="1">IFERROR(__xludf.DUMMYFUNCTION("""COMPUTED_VALUE"""),"युग द्रष्टा पं. श्रीराम शर्मा आचार्यजी")</f>
        <v>युग द्रष्टा पं. श्रीराम शर्मा आचार्यजी</v>
      </c>
      <c r="H601" s="1"/>
      <c r="I601" s="1"/>
      <c r="J601" s="1"/>
      <c r="K601" s="1"/>
      <c r="L601" s="1"/>
      <c r="M601" s="1"/>
      <c r="N601" s="1"/>
      <c r="O601" s="1"/>
      <c r="P601" s="1" t="str">
        <f ca="1">IFERROR(__xludf.DUMMYFUNCTION("""COMPUTED_VALUE"""),"युगॠषी की अमृतवाणी")</f>
        <v>युगॠषी की अमृतवाणी</v>
      </c>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f ca="1">IFERROR(__xludf.DUMMYFUNCTION("""COMPUTED_VALUE"""),43)</f>
        <v>43</v>
      </c>
      <c r="BX601" s="1">
        <f ca="1">IFERROR(__xludf.DUMMYFUNCTION("""COMPUTED_VALUE"""),36)</f>
        <v>36</v>
      </c>
      <c r="BY601" s="1">
        <f ca="1">IFERROR(__xludf.DUMMYFUNCTION("""COMPUTED_VALUE"""),9)</f>
        <v>9</v>
      </c>
      <c r="BZ601" s="1">
        <f ca="1">IFERROR(__xludf.DUMMYFUNCTION("""COMPUTED_VALUE"""),30)</f>
        <v>30</v>
      </c>
      <c r="CA601" s="1"/>
      <c r="CB601" s="1"/>
      <c r="CC601" s="1" t="str">
        <f ca="1">IFERROR(__xludf.DUMMYFUNCTION("""COMPUTED_VALUE"""),"लोग नशा क्यों करते हैं ? : H_VM_09")</f>
        <v>लोग नशा क्यों करते हैं ? : H_VM_09</v>
      </c>
      <c r="CD601" s="3" t="str">
        <f ca="1">IFERROR(__xludf.DUMMYFUNCTION("""COMPUTED_VALUE"""),"https://vicharkrantibooks.org/productdetail?book_name=HINP0456_LOG_NASHA_KYON_KARATE_HAIN_xxyyyy&amp;product_id=1021")</f>
        <v>https://vicharkrantibooks.org/productdetail?book_name=HINP0456_LOG_NASHA_KYON_KARATE_HAIN_xxyyyy&amp;product_id=1021</v>
      </c>
      <c r="CE601" s="1" t="str">
        <f ca="1">IFERROR(__xludf.DUMMYFUNCTION("""COMPUTED_VALUE"""),"Audiobook : लोग नशा क्यों करते हैं ? : H_VM_09 : purnima.bharadwaj.24@gmail.com : Recorded")</f>
        <v>Audiobook : लोग नशा क्यों करते हैं ? : H_VM_09 : purnima.bharadwaj.24@gmail.com : Recorded</v>
      </c>
      <c r="CF601" s="1" t="str">
        <f ca="1">IFERROR(__xludf.DUMMYFUNCTION("""COMPUTED_VALUE"""),"Audiobook : लोग नशा क्यों करते हैं ? : H_VM_09 : purnima.bharadwaj.24@gmail.com : Recorded")</f>
        <v>Audiobook : लोग नशा क्यों करते हैं ? : H_VM_09 : purnima.bharadwaj.24@gmail.com : Recorded</v>
      </c>
      <c r="CG601" s="1" t="str">
        <f ca="1">IFERROR(__xludf.DUMMYFUNCTION("""COMPUTED_VALUE"""),"Adarniya पूर्णिमा भारद्वाज  ji लोग नशा क्यों करते हैं ? : H_VM_09 : Allocated on 01-Dec-23 Contact Number  9415389032")</f>
        <v>Adarniya पूर्णिमा भारद्वाज  ji लोग नशा क्यों करते हैं ? : H_VM_09 : Allocated on 01-Dec-23 Contact Number  9415389032</v>
      </c>
      <c r="CH601" s="1" t="str">
        <f ca="1">IFERROR(__xludf.DUMMYFUNCTION("""COMPUTED_VALUE"""),"purnima.bharadwaj.24@gmail.com : लोग नशा क्यों करते हैं ? : H_VM_09")</f>
        <v>purnima.bharadwaj.24@gmail.com : लोग नशा क्यों करते हैं ? : H_VM_09</v>
      </c>
      <c r="CI601" s="5">
        <f ca="1">IFERROR(__xludf.DUMMYFUNCTION("""COMPUTED_VALUE"""),45261.2686728356)</f>
        <v>45261.268672835598</v>
      </c>
    </row>
    <row r="602" spans="1:87" x14ac:dyDescent="0.25">
      <c r="A602" s="5">
        <f ca="1">IFERROR(__xludf.DUMMYFUNCTION("""COMPUTED_VALUE"""),45259.6348991898)</f>
        <v>45259.634899189798</v>
      </c>
      <c r="B602" s="1" t="str">
        <f ca="1">IFERROR(__xludf.DUMMYFUNCTION("""COMPUTED_VALUE"""),"guptarakhi072@gmail.com")</f>
        <v>guptarakhi072@gmail.com</v>
      </c>
      <c r="C602" s="1" t="str">
        <f ca="1">IFERROR(__xludf.DUMMYFUNCTION("""COMPUTED_VALUE"""),"Rakhi Gupta ")</f>
        <v xml:space="preserve">Rakhi Gupta </v>
      </c>
      <c r="D602" s="1">
        <f ca="1">IFERROR(__xludf.DUMMYFUNCTION("""COMPUTED_VALUE"""),8128540757)</f>
        <v>8128540757</v>
      </c>
      <c r="E602" s="1" t="str">
        <f ca="1">IFERROR(__xludf.DUMMYFUNCTION("""COMPUTED_VALUE"""),"Yes")</f>
        <v>Yes</v>
      </c>
      <c r="F602" s="1" t="str">
        <f ca="1">IFERROR(__xludf.DUMMYFUNCTION("""COMPUTED_VALUE"""),"हिन्दी")</f>
        <v>हिन्दी</v>
      </c>
      <c r="G602" s="1" t="str">
        <f ca="1">IFERROR(__xludf.DUMMYFUNCTION("""COMPUTED_VALUE"""),"युग द्रष्टा पं. श्रीराम शर्मा आचार्यजी")</f>
        <v>युग द्रष्टा पं. श्रीराम शर्मा आचार्यजी</v>
      </c>
      <c r="H602" s="1"/>
      <c r="I602" s="1"/>
      <c r="J602" s="1"/>
      <c r="K602" s="1"/>
      <c r="L602" s="1"/>
      <c r="M602" s="1"/>
      <c r="N602" s="1"/>
      <c r="O602" s="1"/>
      <c r="P602" s="1" t="str">
        <f ca="1">IFERROR(__xludf.DUMMYFUNCTION("""COMPUTED_VALUE"""),"युगॠषी की अमृतवाणी")</f>
        <v>युगॠषी की अमृतवाणी</v>
      </c>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f ca="1">IFERROR(__xludf.DUMMYFUNCTION("""COMPUTED_VALUE"""),21)</f>
        <v>21</v>
      </c>
      <c r="BX602" s="1">
        <f ca="1">IFERROR(__xludf.DUMMYFUNCTION("""COMPUTED_VALUE"""),20)</f>
        <v>20</v>
      </c>
      <c r="BY602" s="1">
        <f ca="1">IFERROR(__xludf.DUMMYFUNCTION("""COMPUTED_VALUE"""),2)</f>
        <v>2</v>
      </c>
      <c r="BZ602" s="1">
        <f ca="1">IFERROR(__xludf.DUMMYFUNCTION("""COMPUTED_VALUE"""),14)</f>
        <v>14</v>
      </c>
      <c r="CA602" s="1"/>
      <c r="CB602" s="1"/>
      <c r="CC602" s="1" t="str">
        <f ca="1">IFERROR(__xludf.DUMMYFUNCTION("""COMPUTED_VALUE"""),"अध्यात्म को जीवंत बनाएँ : H_JS_47")</f>
        <v>अध्यात्म को जीवंत बनाएँ : H_JS_47</v>
      </c>
      <c r="CD602" s="3" t="str">
        <f ca="1">IFERROR(__xludf.DUMMYFUNCTION("""COMPUTED_VALUE"""),"https://vicharkrantibooks.org/productdetail?book_name=HINP0018_ADHYATM_KO_JIVANT_BANAEN_xx2011&amp;product_id=583")</f>
        <v>https://vicharkrantibooks.org/productdetail?book_name=HINP0018_ADHYATM_KO_JIVANT_BANAEN_xx2011&amp;product_id=583</v>
      </c>
      <c r="CE602" s="1" t="str">
        <f ca="1">IFERROR(__xludf.DUMMYFUNCTION("""COMPUTED_VALUE"""),"Audiobook : अध्यात्म को जीवंत बनाएँ : H_JS_47 : guptarakhi072@gmail.com : Recorded")</f>
        <v>Audiobook : अध्यात्म को जीवंत बनाएँ : H_JS_47 : guptarakhi072@gmail.com : Recorded</v>
      </c>
      <c r="CF602" s="1" t="str">
        <f ca="1">IFERROR(__xludf.DUMMYFUNCTION("""COMPUTED_VALUE"""),"Audiobook : अध्यात्म को जीवंत बनाएँ : H_JS_47 : guptarakhi072@gmail.com : Recorded")</f>
        <v>Audiobook : अध्यात्म को जीवंत बनाएँ : H_JS_47 : guptarakhi072@gmail.com : Recorded</v>
      </c>
      <c r="CG602" s="1" t="str">
        <f ca="1">IFERROR(__xludf.DUMMYFUNCTION("""COMPUTED_VALUE"""),"Adarniya Rakhi Gupta  ji अध्यात्म को जीवंत बनाएँ : H_JS_47 : Allocated on 29-Nov-23 Contact Number  8128540757")</f>
        <v>Adarniya Rakhi Gupta  ji अध्यात्म को जीवंत बनाएँ : H_JS_47 : Allocated on 29-Nov-23 Contact Number  8128540757</v>
      </c>
      <c r="CH602" s="1"/>
      <c r="CI602" s="1"/>
    </row>
    <row r="603" spans="1:87" x14ac:dyDescent="0.25">
      <c r="A603" s="5">
        <f ca="1">IFERROR(__xludf.DUMMYFUNCTION("""COMPUTED_VALUE"""),45258.9549270254)</f>
        <v>45258.954927025399</v>
      </c>
      <c r="B603" s="1" t="str">
        <f ca="1">IFERROR(__xludf.DUMMYFUNCTION("""COMPUTED_VALUE"""),"rajnivarma24.vns@gmail.com")</f>
        <v>rajnivarma24.vns@gmail.com</v>
      </c>
      <c r="C603" s="1" t="str">
        <f ca="1">IFERROR(__xludf.DUMMYFUNCTION("""COMPUTED_VALUE"""),"Rajni varma")</f>
        <v>Rajni varma</v>
      </c>
      <c r="D603" s="1">
        <f ca="1">IFERROR(__xludf.DUMMYFUNCTION("""COMPUTED_VALUE"""),9335661433)</f>
        <v>9335661433</v>
      </c>
      <c r="E603" s="1" t="str">
        <f ca="1">IFERROR(__xludf.DUMMYFUNCTION("""COMPUTED_VALUE"""),"No")</f>
        <v>No</v>
      </c>
      <c r="F603" s="1" t="str">
        <f ca="1">IFERROR(__xludf.DUMMYFUNCTION("""COMPUTED_VALUE"""),"हिन्दी")</f>
        <v>हिन्दी</v>
      </c>
      <c r="G603" s="1" t="str">
        <f ca="1">IFERROR(__xludf.DUMMYFUNCTION("""COMPUTED_VALUE"""),"युग द्रष्टा पं. श्रीराम शर्मा आचार्यजी")</f>
        <v>युग द्रष्टा पं. श्रीराम शर्मा आचार्यजी</v>
      </c>
      <c r="H603" s="1"/>
      <c r="I603" s="1"/>
      <c r="J603" s="1"/>
      <c r="K603" s="1"/>
      <c r="L603" s="1"/>
      <c r="M603" s="1"/>
      <c r="N603" s="1"/>
      <c r="O603" s="1"/>
      <c r="P603" s="1" t="str">
        <f ca="1">IFERROR(__xludf.DUMMYFUNCTION("""COMPUTED_VALUE"""),"युगॠषी का जीवनदर्शन")</f>
        <v>युगॠषी का जीवनदर्शन</v>
      </c>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f ca="1">IFERROR(__xludf.DUMMYFUNCTION("""COMPUTED_VALUE"""),30)</f>
        <v>30</v>
      </c>
      <c r="BX603" s="1">
        <f ca="1">IFERROR(__xludf.DUMMYFUNCTION("""COMPUTED_VALUE"""),25)</f>
        <v>25</v>
      </c>
      <c r="BY603" s="1">
        <f ca="1">IFERROR(__xludf.DUMMYFUNCTION("""COMPUTED_VALUE"""),7)</f>
        <v>7</v>
      </c>
      <c r="BZ603" s="1">
        <f ca="1">IFERROR(__xludf.DUMMYFUNCTION("""COMPUTED_VALUE"""),7)</f>
        <v>7</v>
      </c>
      <c r="CA603" s="1"/>
      <c r="CB603" s="1"/>
      <c r="CC603" s="1" t="str">
        <f ca="1">IFERROR(__xludf.DUMMYFUNCTION("""COMPUTED_VALUE"""),"अपने अंग अवयवों से : H_KD_47")</f>
        <v>अपने अंग अवयवों से : H_KD_47</v>
      </c>
      <c r="CD603" s="3" t="str">
        <f ca="1">IFERROR(__xludf.DUMMYFUNCTION("""COMPUTED_VALUE"""),"https://vicharkrantibooks.org/productdetail?book_name=HINP0059_APANE_ANG_AVAYAVON_SE_Re2015&amp;product_id=624")</f>
        <v>https://vicharkrantibooks.org/productdetail?book_name=HINP0059_APANE_ANG_AVAYAVON_SE_Re2015&amp;product_id=624</v>
      </c>
      <c r="CE603" s="1" t="str">
        <f ca="1">IFERROR(__xludf.DUMMYFUNCTION("""COMPUTED_VALUE"""),"Audiobook : अपने अंग अवयवों से : H_KD_47 : rajnivarma24.vns@gmail.com : Recorded")</f>
        <v>Audiobook : अपने अंग अवयवों से : H_KD_47 : rajnivarma24.vns@gmail.com : Recorded</v>
      </c>
      <c r="CF603" s="1" t="str">
        <f ca="1">IFERROR(__xludf.DUMMYFUNCTION("""COMPUTED_VALUE"""),"Audiobook : अपने अंग अवयवों से : H_KD_47 : rajnivarma24.vns@gmail.com : Recorded")</f>
        <v>Audiobook : अपने अंग अवयवों से : H_KD_47 : rajnivarma24.vns@gmail.com : Recorded</v>
      </c>
      <c r="CG603" s="1" t="str">
        <f ca="1">IFERROR(__xludf.DUMMYFUNCTION("""COMPUTED_VALUE"""),"Adarniya Rajni varma ji अपने अंग अवयवों से : H_KD_47 : Allocated on 28-Nov-23 Contact Number  9335661433")</f>
        <v>Adarniya Rajni varma ji अपने अंग अवयवों से : H_KD_47 : Allocated on 28-Nov-23 Contact Number  9335661433</v>
      </c>
      <c r="CH603" s="1"/>
      <c r="CI603" s="1"/>
    </row>
    <row r="604" spans="1:87" x14ac:dyDescent="0.25">
      <c r="A604" s="5">
        <f ca="1">IFERROR(__xludf.DUMMYFUNCTION("""COMPUTED_VALUE"""),45258.7302795601)</f>
        <v>45258.730279560099</v>
      </c>
      <c r="B604" s="1" t="str">
        <f ca="1">IFERROR(__xludf.DUMMYFUNCTION("""COMPUTED_VALUE"""),"ashish_in_nagpur@yahoo.com")</f>
        <v>ashish_in_nagpur@yahoo.com</v>
      </c>
      <c r="C604" s="1" t="str">
        <f ca="1">IFERROR(__xludf.DUMMYFUNCTION("""COMPUTED_VALUE"""),"Ashish Shrivastava")</f>
        <v>Ashish Shrivastava</v>
      </c>
      <c r="D604" s="1">
        <f ca="1">IFERROR(__xludf.DUMMYFUNCTION("""COMPUTED_VALUE"""),8275970236)</f>
        <v>8275970236</v>
      </c>
      <c r="E604" s="1" t="str">
        <f ca="1">IFERROR(__xludf.DUMMYFUNCTION("""COMPUTED_VALUE"""),"Yes")</f>
        <v>Yes</v>
      </c>
      <c r="F604" s="1" t="str">
        <f ca="1">IFERROR(__xludf.DUMMYFUNCTION("""COMPUTED_VALUE"""),"हिन्दी")</f>
        <v>हिन्दी</v>
      </c>
      <c r="G604" s="1" t="str">
        <f ca="1">IFERROR(__xludf.DUMMYFUNCTION("""COMPUTED_VALUE"""),"वैज्ञानिक अध्यात्मवाद का प्रतिपादन")</f>
        <v>वैज्ञानिक अध्यात्मवाद का प्रतिपादन</v>
      </c>
      <c r="H604" s="1"/>
      <c r="I604" s="1"/>
      <c r="J604" s="1"/>
      <c r="K604" s="1"/>
      <c r="L604" s="1"/>
      <c r="M604" s="1"/>
      <c r="N604" s="1"/>
      <c r="O604" s="1"/>
      <c r="P604" s="1"/>
      <c r="Q604" s="1"/>
      <c r="R604" s="1"/>
      <c r="S604" s="1" t="str">
        <f ca="1">IFERROR(__xludf.DUMMYFUNCTION("""COMPUTED_VALUE"""),"वैज्ञानिक अध्यात्मवाद का प्रतिपादन")</f>
        <v>वैज्ञानिक अध्यात्मवाद का प्रतिपादन</v>
      </c>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f ca="1">IFERROR(__xludf.DUMMYFUNCTION("""COMPUTED_VALUE"""),5)</f>
        <v>5</v>
      </c>
      <c r="BX604" s="1">
        <f ca="1">IFERROR(__xludf.DUMMYFUNCTION("""COMPUTED_VALUE"""),3)</f>
        <v>3</v>
      </c>
      <c r="BY604" s="1">
        <f ca="1">IFERROR(__xludf.DUMMYFUNCTION("""COMPUTED_VALUE"""),2)</f>
        <v>2</v>
      </c>
      <c r="BZ604" s="1">
        <f ca="1">IFERROR(__xludf.DUMMYFUNCTION("""COMPUTED_VALUE"""),1)</f>
        <v>1</v>
      </c>
      <c r="CA604" s="1"/>
      <c r="CB604" s="1"/>
      <c r="CC604" s="1" t="str">
        <f ca="1">IFERROR(__xludf.DUMMYFUNCTION("""COMPUTED_VALUE"""),"भूत पलीत और देवी देवताओं का भ्रम जंजाल : Rare Book")</f>
        <v>भूत पलीत और देवी देवताओं का भ्रम जंजाल : Rare Book</v>
      </c>
      <c r="CD604" s="3" t="str">
        <f ca="1">IFERROR(__xludf.DUMMYFUNCTION("""COMPUTED_VALUE"""),"https://vicharkrantibooks.org/productdetail?book_name=HINP0170_BHUT_PALIT_AUR_DEVI_DEVATAON_KA_BHRAM_JANJAL_xxyyyy&amp;product_id=735")</f>
        <v>https://vicharkrantibooks.org/productdetail?book_name=HINP0170_BHUT_PALIT_AUR_DEVI_DEVATAON_KA_BHRAM_JANJAL_xxyyyy&amp;product_id=735</v>
      </c>
      <c r="CE604" s="1" t="str">
        <f ca="1">IFERROR(__xludf.DUMMYFUNCTION("""COMPUTED_VALUE"""),"Audiobook : भूत पलीत और देवी देवताओं का भ्रम जंजाल : Rare Book : ashish_in_nagpur@yahoo.com : Recorded")</f>
        <v>Audiobook : भूत पलीत और देवी देवताओं का भ्रम जंजाल : Rare Book : ashish_in_nagpur@yahoo.com : Recorded</v>
      </c>
      <c r="CF604" s="1" t="str">
        <f ca="1">IFERROR(__xludf.DUMMYFUNCTION("""COMPUTED_VALUE"""),"Audiobook : भूत पलीत और देवी देवताओं का भ्रम जंजाल : Rare Book : ashish_in_nagpur@yahoo.com : Recorded")</f>
        <v>Audiobook : भूत पलीत और देवी देवताओं का भ्रम जंजाल : Rare Book : ashish_in_nagpur@yahoo.com : Recorded</v>
      </c>
      <c r="CG604" s="1" t="str">
        <f ca="1">IFERROR(__xludf.DUMMYFUNCTION("""COMPUTED_VALUE"""),"Adarniya Ashish Shrivastava ji भूत पलीत और देवी देवताओं का भ्रम जंजाल : Rare Book : Allocated on 28-Nov-23 Contact Number  8275970236")</f>
        <v>Adarniya Ashish Shrivastava ji भूत पलीत और देवी देवताओं का भ्रम जंजाल : Rare Book : Allocated on 28-Nov-23 Contact Number  8275970236</v>
      </c>
      <c r="CH604" s="1"/>
      <c r="CI604" s="1"/>
    </row>
    <row r="605" spans="1:87" x14ac:dyDescent="0.25">
      <c r="A605" s="5">
        <f ca="1">IFERROR(__xludf.DUMMYFUNCTION("""COMPUTED_VALUE"""),45258.6759580555)</f>
        <v>45258.675958055501</v>
      </c>
      <c r="B605" s="1" t="str">
        <f ca="1">IFERROR(__xludf.DUMMYFUNCTION("""COMPUTED_VALUE"""),"manjusrivastava349@gmail.com")</f>
        <v>manjusrivastava349@gmail.com</v>
      </c>
      <c r="C605" s="1" t="str">
        <f ca="1">IFERROR(__xludf.DUMMYFUNCTION("""COMPUTED_VALUE"""),"Manju srivastava")</f>
        <v>Manju srivastava</v>
      </c>
      <c r="D605" s="1">
        <f ca="1">IFERROR(__xludf.DUMMYFUNCTION("""COMPUTED_VALUE"""),9450345667)</f>
        <v>9450345667</v>
      </c>
      <c r="E605" s="1" t="str">
        <f ca="1">IFERROR(__xludf.DUMMYFUNCTION("""COMPUTED_VALUE"""),"Yes")</f>
        <v>Yes</v>
      </c>
      <c r="F605" s="1" t="str">
        <f ca="1">IFERROR(__xludf.DUMMYFUNCTION("""COMPUTED_VALUE"""),"हिन्दी")</f>
        <v>हिन्दी</v>
      </c>
      <c r="G605" s="1" t="str">
        <f ca="1">IFERROR(__xludf.DUMMYFUNCTION("""COMPUTED_VALUE"""),"युग द्रष्टा पं. श्रीराम शर्मा आचार्यजी")</f>
        <v>युग द्रष्टा पं. श्रीराम शर्मा आचार्यजी</v>
      </c>
      <c r="H605" s="1"/>
      <c r="I605" s="1"/>
      <c r="J605" s="1"/>
      <c r="K605" s="1"/>
      <c r="L605" s="1"/>
      <c r="M605" s="1"/>
      <c r="N605" s="1"/>
      <c r="O605" s="1"/>
      <c r="P605" s="1" t="str">
        <f ca="1">IFERROR(__xludf.DUMMYFUNCTION("""COMPUTED_VALUE"""),"युगॠषी की अमृतवाणी")</f>
        <v>युगॠषी की अमृतवाणी</v>
      </c>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f ca="1">IFERROR(__xludf.DUMMYFUNCTION("""COMPUTED_VALUE"""),10)</f>
        <v>10</v>
      </c>
      <c r="BX605" s="1">
        <f ca="1">IFERROR(__xludf.DUMMYFUNCTION("""COMPUTED_VALUE"""),12)</f>
        <v>12</v>
      </c>
      <c r="BY605" s="1">
        <f ca="1">IFERROR(__xludf.DUMMYFUNCTION("""COMPUTED_VALUE"""),0)</f>
        <v>0</v>
      </c>
      <c r="BZ605" s="1">
        <f ca="1">IFERROR(__xludf.DUMMYFUNCTION("""COMPUTED_VALUE"""),2)</f>
        <v>2</v>
      </c>
      <c r="CA605" s="1"/>
      <c r="CB605" s="1"/>
      <c r="CC605" s="1" t="str">
        <f ca="1">IFERROR(__xludf.DUMMYFUNCTION("""COMPUTED_VALUE"""),"उत्कर्ष के लिए स्वयं आगे बढें : NOTM")</f>
        <v>उत्कर्ष के लिए स्वयं आगे बढें : NOTM</v>
      </c>
      <c r="CD605" s="3" t="str">
        <f ca="1">IFERROR(__xludf.DUMMYFUNCTION("""COMPUTED_VALUE"""),"https://vicharkrantibooks.org/productdetail?book_name=HINP0934_UTKARSH_KE_LIE_SVAYAM_AGE_BADHEN_xxyyyy&amp;product_id=1499")</f>
        <v>https://vicharkrantibooks.org/productdetail?book_name=HINP0934_UTKARSH_KE_LIE_SVAYAM_AGE_BADHEN_xxyyyy&amp;product_id=1499</v>
      </c>
      <c r="CE605" s="1" t="str">
        <f ca="1">IFERROR(__xludf.DUMMYFUNCTION("""COMPUTED_VALUE"""),"Audiobook : उत्कर्ष के लिए स्वयं आगे बढें : NOTM : manjusrivastava349@gmail.com : Recorded")</f>
        <v>Audiobook : उत्कर्ष के लिए स्वयं आगे बढें : NOTM : manjusrivastava349@gmail.com : Recorded</v>
      </c>
      <c r="CF605" s="1" t="str">
        <f ca="1">IFERROR(__xludf.DUMMYFUNCTION("""COMPUTED_VALUE"""),"Audiobook : उत्कर्ष के लिए स्वयं आगे बढें : NOTM : manjusrivastava349@gmail.com : Recorded")</f>
        <v>Audiobook : उत्कर्ष के लिए स्वयं आगे बढें : NOTM : manjusrivastava349@gmail.com : Recorded</v>
      </c>
      <c r="CG605" s="1" t="str">
        <f ca="1">IFERROR(__xludf.DUMMYFUNCTION("""COMPUTED_VALUE"""),"Adarniya Manju srivastava ji उत्कर्ष के लिए स्वयं आगे बढें : NOTM : Allocated on 28-Nov-23 Contact Number  9450345667")</f>
        <v>Adarniya Manju srivastava ji उत्कर्ष के लिए स्वयं आगे बढें : NOTM : Allocated on 28-Nov-23 Contact Number  9450345667</v>
      </c>
      <c r="CH605" s="1"/>
      <c r="CI605" s="1"/>
    </row>
    <row r="606" spans="1:87" x14ac:dyDescent="0.25">
      <c r="A606" s="5">
        <f ca="1">IFERROR(__xludf.DUMMYFUNCTION("""COMPUTED_VALUE"""),45258.5441699189)</f>
        <v>45258.544169918903</v>
      </c>
      <c r="B606" s="1" t="str">
        <f ca="1">IFERROR(__xludf.DUMMYFUNCTION("""COMPUTED_VALUE"""),"nksaxena.yoga@gmail.com")</f>
        <v>nksaxena.yoga@gmail.com</v>
      </c>
      <c r="C606" s="1" t="str">
        <f ca="1">IFERROR(__xludf.DUMMYFUNCTION("""COMPUTED_VALUE"""),"Narendra Kumar Saxena")</f>
        <v>Narendra Kumar Saxena</v>
      </c>
      <c r="D606" s="1">
        <f ca="1">IFERROR(__xludf.DUMMYFUNCTION("""COMPUTED_VALUE"""),8826499188)</f>
        <v>8826499188</v>
      </c>
      <c r="E606" s="1" t="str">
        <f ca="1">IFERROR(__xludf.DUMMYFUNCTION("""COMPUTED_VALUE"""),"Yes")</f>
        <v>Yes</v>
      </c>
      <c r="F606" s="1" t="str">
        <f ca="1">IFERROR(__xludf.DUMMYFUNCTION("""COMPUTED_VALUE"""),"हिन्दी")</f>
        <v>हिन्दी</v>
      </c>
      <c r="G606" s="1" t="str">
        <f ca="1">IFERROR(__xludf.DUMMYFUNCTION("""COMPUTED_VALUE"""),"समग्र स्वास्थ्य")</f>
        <v>समग्र स्वास्थ्य</v>
      </c>
      <c r="H606" s="1"/>
      <c r="I606" s="1"/>
      <c r="J606" s="1"/>
      <c r="K606" s="1"/>
      <c r="L606" s="1"/>
      <c r="M606" s="1"/>
      <c r="N606" s="1"/>
      <c r="O606" s="1"/>
      <c r="P606" s="1"/>
      <c r="Q606" s="1"/>
      <c r="R606" s="1"/>
      <c r="S606" s="1"/>
      <c r="T606" s="1"/>
      <c r="U606" s="1" t="str">
        <f ca="1">IFERROR(__xludf.DUMMYFUNCTION("""COMPUTED_VALUE"""),"आहार-विहार एवं उपवास")</f>
        <v>आहार-विहार एवं उपवास</v>
      </c>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f ca="1">IFERROR(__xludf.DUMMYFUNCTION("""COMPUTED_VALUE"""),29)</f>
        <v>29</v>
      </c>
      <c r="BX606" s="1">
        <f ca="1">IFERROR(__xludf.DUMMYFUNCTION("""COMPUTED_VALUE"""),30)</f>
        <v>30</v>
      </c>
      <c r="BY606" s="1">
        <f ca="1">IFERROR(__xludf.DUMMYFUNCTION("""COMPUTED_VALUE"""),3)</f>
        <v>3</v>
      </c>
      <c r="BZ606" s="1">
        <f ca="1">IFERROR(__xludf.DUMMYFUNCTION("""COMPUTED_VALUE"""),25)</f>
        <v>25</v>
      </c>
      <c r="CA606" s="1"/>
      <c r="CB606" s="1"/>
      <c r="CC606" s="1" t="str">
        <f ca="1">IFERROR(__xludf.DUMMYFUNCTION("""COMPUTED_VALUE"""),"प्रतिभा संवर्धन के विज्ञान संम्मत प्रयोग : H_PP_40")</f>
        <v>प्रतिभा संवर्धन के विज्ञान संम्मत प्रयोग : H_PP_40</v>
      </c>
      <c r="CD606" s="3" t="str">
        <f ca="1">IFERROR(__xludf.DUMMYFUNCTION("""COMPUTED_VALUE"""),"https://vicharkrantibooks.org/productdetail?book_name=HINP0676_PRATIBHA_SANVARDHAN_KE_VIGYAN_SAMMMAT_PRAYOG_xxyyyy&amp;product_id=1241")</f>
        <v>https://vicharkrantibooks.org/productdetail?book_name=HINP0676_PRATIBHA_SANVARDHAN_KE_VIGYAN_SAMMMAT_PRAYOG_xxyyyy&amp;product_id=1241</v>
      </c>
      <c r="CE606" s="1" t="str">
        <f ca="1">IFERROR(__xludf.DUMMYFUNCTION("""COMPUTED_VALUE"""),"Audiobook : प्रतिभा संवर्धन के विज्ञान संम्मत प्रयोग : H_PP_40 : nksaxena.yoga@gmail.com : Recorded")</f>
        <v>Audiobook : प्रतिभा संवर्धन के विज्ञान संम्मत प्रयोग : H_PP_40 : nksaxena.yoga@gmail.com : Recorded</v>
      </c>
      <c r="CF606" s="1" t="str">
        <f ca="1">IFERROR(__xludf.DUMMYFUNCTION("""COMPUTED_VALUE"""),"Audiobook : प्रतिभा संवर्धन के विज्ञान संम्मत प्रयोग : H_PP_40 : nksaxena.yoga@gmail.com : Recorded")</f>
        <v>Audiobook : प्रतिभा संवर्धन के विज्ञान संम्मत प्रयोग : H_PP_40 : nksaxena.yoga@gmail.com : Recorded</v>
      </c>
      <c r="CG606" s="1" t="str">
        <f ca="1">IFERROR(__xludf.DUMMYFUNCTION("""COMPUTED_VALUE"""),"Adarniya Narendra Kumar Saxena ji प्रतिभा संवर्धन के विज्ञान संम्मत प्रयोग : H_PP_40 : Allocated on 28-Nov-23 Contact Number  8826499188")</f>
        <v>Adarniya Narendra Kumar Saxena ji प्रतिभा संवर्धन के विज्ञान संम्मत प्रयोग : H_PP_40 : Allocated on 28-Nov-23 Contact Number  8826499188</v>
      </c>
      <c r="CH606" s="1"/>
      <c r="CI606" s="1"/>
    </row>
    <row r="607" spans="1:87" x14ac:dyDescent="0.25">
      <c r="A607" s="5">
        <f ca="1">IFERROR(__xludf.DUMMYFUNCTION("""COMPUTED_VALUE"""),45257.6763074768)</f>
        <v>45257.676307476802</v>
      </c>
      <c r="B607" s="1" t="str">
        <f ca="1">IFERROR(__xludf.DUMMYFUNCTION("""COMPUTED_VALUE"""),"jamunashukla17@gmail.com")</f>
        <v>jamunashukla17@gmail.com</v>
      </c>
      <c r="C607" s="1" t="str">
        <f ca="1">IFERROR(__xludf.DUMMYFUNCTION("""COMPUTED_VALUE"""),"Smt J S Shukla ")</f>
        <v xml:space="preserve">Smt J S Shukla </v>
      </c>
      <c r="D607" s="1">
        <f ca="1">IFERROR(__xludf.DUMMYFUNCTION("""COMPUTED_VALUE"""),8390353167)</f>
        <v>8390353167</v>
      </c>
      <c r="E607" s="1" t="str">
        <f ca="1">IFERROR(__xludf.DUMMYFUNCTION("""COMPUTED_VALUE"""),"Yes")</f>
        <v>Yes</v>
      </c>
      <c r="F607" s="1" t="str">
        <f ca="1">IFERROR(__xludf.DUMMYFUNCTION("""COMPUTED_VALUE"""),"हिन्दी")</f>
        <v>हिन्दी</v>
      </c>
      <c r="G607" s="1" t="str">
        <f ca="1">IFERROR(__xludf.DUMMYFUNCTION("""COMPUTED_VALUE"""),"अध्यात्म, धर्म एवं दर्शन")</f>
        <v>अध्यात्म, धर्म एवं दर्शन</v>
      </c>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f ca="1">IFERROR(__xludf.DUMMYFUNCTION("""COMPUTED_VALUE"""),53)</f>
        <v>53</v>
      </c>
      <c r="BX607" s="1">
        <f ca="1">IFERROR(__xludf.DUMMYFUNCTION("""COMPUTED_VALUE"""),53)</f>
        <v>53</v>
      </c>
      <c r="BY607" s="1">
        <f ca="1">IFERROR(__xludf.DUMMYFUNCTION("""COMPUTED_VALUE"""),9)</f>
        <v>9</v>
      </c>
      <c r="BZ607" s="1">
        <f ca="1">IFERROR(__xludf.DUMMYFUNCTION("""COMPUTED_VALUE"""),25)</f>
        <v>25</v>
      </c>
      <c r="CA607" s="1"/>
      <c r="CB607" s="1"/>
      <c r="CC607" s="1" t="str">
        <f ca="1">IFERROR(__xludf.DUMMYFUNCTION("""COMPUTED_VALUE"""),"देवताओं के वरदान सत्प्रवृत्तियाँ : H_JS_81")</f>
        <v>देवताओं के वरदान सत्प्रवृत्तियाँ : H_JS_81</v>
      </c>
      <c r="CD607" s="3" t="str">
        <f ca="1">IFERROR(__xludf.DUMMYFUNCTION("""COMPUTED_VALUE"""),"https://vicharkrantibooks.org/productdetail?book_name=HINP0221_DEVATAON_KE_VARADAN_SATPRAVRUTTIYAN_xx2011&amp;product_id=786")</f>
        <v>https://vicharkrantibooks.org/productdetail?book_name=HINP0221_DEVATAON_KE_VARADAN_SATPRAVRUTTIYAN_xx2011&amp;product_id=786</v>
      </c>
      <c r="CE607" s="1" t="str">
        <f ca="1">IFERROR(__xludf.DUMMYFUNCTION("""COMPUTED_VALUE"""),"Audiobook : देवताओं के वरदान सत्प्रवृत्तियाँ : H_JS_81 : jamunashukla17@gmail.com : Recorded")</f>
        <v>Audiobook : देवताओं के वरदान सत्प्रवृत्तियाँ : H_JS_81 : jamunashukla17@gmail.com : Recorded</v>
      </c>
      <c r="CF607" s="1" t="str">
        <f ca="1">IFERROR(__xludf.DUMMYFUNCTION("""COMPUTED_VALUE"""),"Audiobook : देवताओं के वरदान सत्प्रवृत्तियाँ : H_JS_81 : jamunashukla17@gmail.com : Recorded")</f>
        <v>Audiobook : देवताओं के वरदान सत्प्रवृत्तियाँ : H_JS_81 : jamunashukla17@gmail.com : Recorded</v>
      </c>
      <c r="CG607" s="1" t="str">
        <f ca="1">IFERROR(__xludf.DUMMYFUNCTION("""COMPUTED_VALUE"""),"Adarniya Smt J S Shukla  ji देवताओं के वरदान सत्प्रवृत्तियाँ : H_JS_81 : Allocated on 27-Nov-23 Contact Number  8390353167")</f>
        <v>Adarniya Smt J S Shukla  ji देवताओं के वरदान सत्प्रवृत्तियाँ : H_JS_81 : Allocated on 27-Nov-23 Contact Number  8390353167</v>
      </c>
      <c r="CH607" s="1" t="str">
        <f ca="1">IFERROR(__xludf.DUMMYFUNCTION("""COMPUTED_VALUE"""),"jamunashukla17@gmail.com : देवताओं के वरदान सत्प्रवृत्तियाँ : H_JS_81")</f>
        <v>jamunashukla17@gmail.com : देवताओं के वरदान सत्प्रवृत्तियाँ : H_JS_81</v>
      </c>
      <c r="CI607" s="5">
        <f ca="1">IFERROR(__xludf.DUMMYFUNCTION("""COMPUTED_VALUE"""),45257.6763074768)</f>
        <v>45257.676307476802</v>
      </c>
    </row>
    <row r="608" spans="1:87" x14ac:dyDescent="0.25">
      <c r="A608" s="5">
        <f ca="1">IFERROR(__xludf.DUMMYFUNCTION("""COMPUTED_VALUE"""),45257.3340992939)</f>
        <v>45257.334099293897</v>
      </c>
      <c r="B608" s="1" t="str">
        <f ca="1">IFERROR(__xludf.DUMMYFUNCTION("""COMPUTED_VALUE"""),"purnima.bharadwaj.24@gmail.com")</f>
        <v>purnima.bharadwaj.24@gmail.com</v>
      </c>
      <c r="C608" s="1" t="str">
        <f ca="1">IFERROR(__xludf.DUMMYFUNCTION("""COMPUTED_VALUE"""),"पूर्णिमा भारद्वाज ")</f>
        <v xml:space="preserve">पूर्णिमा भारद्वाज </v>
      </c>
      <c r="D608" s="1">
        <f ca="1">IFERROR(__xludf.DUMMYFUNCTION("""COMPUTED_VALUE"""),9415389032)</f>
        <v>9415389032</v>
      </c>
      <c r="E608" s="1" t="str">
        <f ca="1">IFERROR(__xludf.DUMMYFUNCTION("""COMPUTED_VALUE"""),"Yes")</f>
        <v>Yes</v>
      </c>
      <c r="F608" s="1" t="str">
        <f ca="1">IFERROR(__xludf.DUMMYFUNCTION("""COMPUTED_VALUE"""),"हिन्दी")</f>
        <v>हिन्दी</v>
      </c>
      <c r="G608" s="1" t="str">
        <f ca="1">IFERROR(__xludf.DUMMYFUNCTION("""COMPUTED_VALUE"""),"युग द्रष्टा पं. श्रीराम शर्मा आचार्यजी")</f>
        <v>युग द्रष्टा पं. श्रीराम शर्मा आचार्यजी</v>
      </c>
      <c r="H608" s="1"/>
      <c r="I608" s="1"/>
      <c r="J608" s="1"/>
      <c r="K608" s="1"/>
      <c r="L608" s="1"/>
      <c r="M608" s="1"/>
      <c r="N608" s="1"/>
      <c r="O608" s="1"/>
      <c r="P608" s="1" t="str">
        <f ca="1">IFERROR(__xludf.DUMMYFUNCTION("""COMPUTED_VALUE"""),"युगॠषी की अमृतवाणी")</f>
        <v>युगॠषी की अमृतवाणी</v>
      </c>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f ca="1">IFERROR(__xludf.DUMMYFUNCTION("""COMPUTED_VALUE"""),43)</f>
        <v>43</v>
      </c>
      <c r="BX608" s="1">
        <f ca="1">IFERROR(__xludf.DUMMYFUNCTION("""COMPUTED_VALUE"""),36)</f>
        <v>36</v>
      </c>
      <c r="BY608" s="1">
        <f ca="1">IFERROR(__xludf.DUMMYFUNCTION("""COMPUTED_VALUE"""),9)</f>
        <v>9</v>
      </c>
      <c r="BZ608" s="1">
        <f ca="1">IFERROR(__xludf.DUMMYFUNCTION("""COMPUTED_VALUE"""),30)</f>
        <v>30</v>
      </c>
      <c r="CA608" s="1"/>
      <c r="CB608" s="1"/>
      <c r="CC608" s="1" t="str">
        <f ca="1">IFERROR(__xludf.DUMMYFUNCTION("""COMPUTED_VALUE"""),"नारी जागरण का स्वरुप एवं रुपरेखा : H_PP_44")</f>
        <v>नारी जागरण का स्वरुप एवं रुपरेखा : H_PP_44</v>
      </c>
      <c r="CD608" s="3" t="str">
        <f ca="1">IFERROR(__xludf.DUMMYFUNCTION("""COMPUTED_VALUE"""),"https://vicharkrantibooks.org/productdetail?book_name=HINP0559_NARI_JAGARAN_KA_SWARUP_EVAM_RUPAREKHA_xxyyyy&amp;product_id=1124")</f>
        <v>https://vicharkrantibooks.org/productdetail?book_name=HINP0559_NARI_JAGARAN_KA_SWARUP_EVAM_RUPAREKHA_xxyyyy&amp;product_id=1124</v>
      </c>
      <c r="CE608" s="1" t="str">
        <f ca="1">IFERROR(__xludf.DUMMYFUNCTION("""COMPUTED_VALUE"""),"Audiobook : नारी जागरण का स्वरुप एवं रुपरेखा : H_PP_44 : purnima.bharadwaj.24@gmail.com : Recorded")</f>
        <v>Audiobook : नारी जागरण का स्वरुप एवं रुपरेखा : H_PP_44 : purnima.bharadwaj.24@gmail.com : Recorded</v>
      </c>
      <c r="CF608" s="1" t="str">
        <f ca="1">IFERROR(__xludf.DUMMYFUNCTION("""COMPUTED_VALUE"""),"#N/A")</f>
        <v>#N/A</v>
      </c>
      <c r="CG608" s="1" t="str">
        <f ca="1">IFERROR(__xludf.DUMMYFUNCTION("""COMPUTED_VALUE"""),"Adarniya पूर्णिमा भारद्वाज  ji नारी जागरण का स्वरुप एवं रुपरेखा : H_PP_44 : Allocated on 27-Nov-23 Contact Number  9415389032")</f>
        <v>Adarniya पूर्णिमा भारद्वाज  ji नारी जागरण का स्वरुप एवं रुपरेखा : H_PP_44 : Allocated on 27-Nov-23 Contact Number  9415389032</v>
      </c>
      <c r="CH608" s="1" t="str">
        <f ca="1">IFERROR(__xludf.DUMMYFUNCTION("""COMPUTED_VALUE"""),"purnima.bharadwaj.24@gmail.com : नारी जागरण का स्वरुप एवं रुपरेखा : H_PP_44")</f>
        <v>purnima.bharadwaj.24@gmail.com : नारी जागरण का स्वरुप एवं रुपरेखा : H_PP_44</v>
      </c>
      <c r="CI608" s="5">
        <f ca="1">IFERROR(__xludf.DUMMYFUNCTION("""COMPUTED_VALUE"""),45257.3340992939)</f>
        <v>45257.334099293897</v>
      </c>
    </row>
    <row r="609" spans="1:87" x14ac:dyDescent="0.25">
      <c r="A609" s="5">
        <f ca="1">IFERROR(__xludf.DUMMYFUNCTION("""COMPUTED_VALUE"""),45257.2626852083)</f>
        <v>45257.262685208298</v>
      </c>
      <c r="B609" s="1" t="str">
        <f ca="1">IFERROR(__xludf.DUMMYFUNCTION("""COMPUTED_VALUE"""),"csprasad108@gmail.com")</f>
        <v>csprasad108@gmail.com</v>
      </c>
      <c r="C609" s="1" t="str">
        <f ca="1">IFERROR(__xludf.DUMMYFUNCTION("""COMPUTED_VALUE"""),"Kumkum prasad")</f>
        <v>Kumkum prasad</v>
      </c>
      <c r="D609" s="1">
        <f ca="1">IFERROR(__xludf.DUMMYFUNCTION("""COMPUTED_VALUE"""),7978055621)</f>
        <v>7978055621</v>
      </c>
      <c r="E609" s="1"/>
      <c r="F609" s="1" t="str">
        <f ca="1">IFERROR(__xludf.DUMMYFUNCTION("""COMPUTED_VALUE"""),"हिन्दी")</f>
        <v>हिन्दी</v>
      </c>
      <c r="G609" s="1" t="str">
        <f ca="1">IFERROR(__xludf.DUMMYFUNCTION("""COMPUTED_VALUE"""),"युग द्रष्टा पं. श्रीराम शर्मा आचार्यजी")</f>
        <v>युग द्रष्टा पं. श्रीराम शर्मा आचार्यजी</v>
      </c>
      <c r="H609" s="1"/>
      <c r="I609" s="1"/>
      <c r="J609" s="1"/>
      <c r="K609" s="1"/>
      <c r="L609" s="1"/>
      <c r="M609" s="1"/>
      <c r="N609" s="1"/>
      <c r="O609" s="1"/>
      <c r="P609" s="1" t="str">
        <f ca="1">IFERROR(__xludf.DUMMYFUNCTION("""COMPUTED_VALUE"""),"युगॠषी का जीवनदर्शन")</f>
        <v>युगॠषी का जीवनदर्शन</v>
      </c>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f ca="1">IFERROR(__xludf.DUMMYFUNCTION("""COMPUTED_VALUE"""),52)</f>
        <v>52</v>
      </c>
      <c r="BX609" s="1">
        <f ca="1">IFERROR(__xludf.DUMMYFUNCTION("""COMPUTED_VALUE"""),54)</f>
        <v>54</v>
      </c>
      <c r="BY609" s="1">
        <f ca="1">IFERROR(__xludf.DUMMYFUNCTION("""COMPUTED_VALUE"""),3)</f>
        <v>3</v>
      </c>
      <c r="BZ609" s="1">
        <f ca="1">IFERROR(__xludf.DUMMYFUNCTION("""COMPUTED_VALUE"""),24)</f>
        <v>24</v>
      </c>
      <c r="CA609" s="1"/>
      <c r="CB609" s="1"/>
      <c r="CC609" s="1" t="str">
        <f ca="1">IFERROR(__xludf.DUMMYFUNCTION("""COMPUTED_VALUE"""),"नारी का गौरवशाली अतीत उज्जवल भविष्य : H_PP_42")</f>
        <v>नारी का गौरवशाली अतीत उज्जवल भविष्य : H_PP_42</v>
      </c>
      <c r="CD609" s="3" t="str">
        <f ca="1">IFERROR(__xludf.DUMMYFUNCTION("""COMPUTED_VALUE"""),"https://vicharkrantibooks.org/productdetail?book_name=HINP0562_NARI_KA_GAURAVASHALI_ATIT_UJJAVAL_BHAVISHY_xxyyyy&amp;product_id=1127")</f>
        <v>https://vicharkrantibooks.org/productdetail?book_name=HINP0562_NARI_KA_GAURAVASHALI_ATIT_UJJAVAL_BHAVISHY_xxyyyy&amp;product_id=1127</v>
      </c>
      <c r="CE609" s="1" t="str">
        <f ca="1">IFERROR(__xludf.DUMMYFUNCTION("""COMPUTED_VALUE"""),"Audiobook : नारी का गौरवशाली अतीत उज्जवल भविष्य : H_PP_42 : csprasad108@gmail.com : Recorded")</f>
        <v>Audiobook : नारी का गौरवशाली अतीत उज्जवल भविष्य : H_PP_42 : csprasad108@gmail.com : Recorded</v>
      </c>
      <c r="CF609" s="1" t="str">
        <f ca="1">IFERROR(__xludf.DUMMYFUNCTION("""COMPUTED_VALUE"""),"Audiobook : नारी का गौरवशाली अतीत उज्जवल भविष्य : H_PP_42 : csprasad108@gmail.com : Recorded")</f>
        <v>Audiobook : नारी का गौरवशाली अतीत उज्जवल भविष्य : H_PP_42 : csprasad108@gmail.com : Recorded</v>
      </c>
      <c r="CG609" s="1" t="str">
        <f ca="1">IFERROR(__xludf.DUMMYFUNCTION("""COMPUTED_VALUE"""),"Adarniya Kumkum prasad ji नारी का गौरवशाली अतीत उज्जवल भविष्य : H_PP_42 : Allocated on 27-Nov-23 Contact Number  7978055621")</f>
        <v>Adarniya Kumkum prasad ji नारी का गौरवशाली अतीत उज्जवल भविष्य : H_PP_42 : Allocated on 27-Nov-23 Contact Number  7978055621</v>
      </c>
      <c r="CH609" s="1" t="str">
        <f ca="1">IFERROR(__xludf.DUMMYFUNCTION("""COMPUTED_VALUE"""),"csprasad108@gmail.com : नारी का गौरवशाली अतीत उज्जवल भविष्य : H_PP_42")</f>
        <v>csprasad108@gmail.com : नारी का गौरवशाली अतीत उज्जवल भविष्य : H_PP_42</v>
      </c>
      <c r="CI609" s="5">
        <f ca="1">IFERROR(__xludf.DUMMYFUNCTION("""COMPUTED_VALUE"""),45257.2626852083)</f>
        <v>45257.262685208298</v>
      </c>
    </row>
    <row r="610" spans="1:87" x14ac:dyDescent="0.25">
      <c r="A610" s="5">
        <f ca="1">IFERROR(__xludf.DUMMYFUNCTION("""COMPUTED_VALUE"""),45256.9197868981)</f>
        <v>45256.919786898099</v>
      </c>
      <c r="B610" s="1" t="str">
        <f ca="1">IFERROR(__xludf.DUMMYFUNCTION("""COMPUTED_VALUE"""),"rbbansalriya@gmail.com")</f>
        <v>rbbansalriya@gmail.com</v>
      </c>
      <c r="C610" s="1" t="str">
        <f ca="1">IFERROR(__xludf.DUMMYFUNCTION("""COMPUTED_VALUE"""),"Riya bansal ")</f>
        <v xml:space="preserve">Riya bansal </v>
      </c>
      <c r="D610" s="1">
        <f ca="1">IFERROR(__xludf.DUMMYFUNCTION("""COMPUTED_VALUE"""),9176361023)</f>
        <v>9176361023</v>
      </c>
      <c r="E610" s="1" t="str">
        <f ca="1">IFERROR(__xludf.DUMMYFUNCTION("""COMPUTED_VALUE"""),"Yes")</f>
        <v>Yes</v>
      </c>
      <c r="F610" s="1" t="str">
        <f ca="1">IFERROR(__xludf.DUMMYFUNCTION("""COMPUTED_VALUE"""),"हिन्दी")</f>
        <v>हिन्दी</v>
      </c>
      <c r="G610" s="1" t="str">
        <f ca="1">IFERROR(__xludf.DUMMYFUNCTION("""COMPUTED_VALUE"""),"राष्ट्र निर्माण")</f>
        <v>राष्ट्र निर्माण</v>
      </c>
      <c r="H610" s="1"/>
      <c r="I610" s="1"/>
      <c r="J610" s="1"/>
      <c r="K610" s="1"/>
      <c r="L610" s="1"/>
      <c r="M610" s="1"/>
      <c r="N610" s="1"/>
      <c r="O610" s="1"/>
      <c r="P610" s="1"/>
      <c r="Q610" s="1"/>
      <c r="R610" s="1" t="str">
        <f ca="1">IFERROR(__xludf.DUMMYFUNCTION("""COMPUTED_VALUE"""),"सार्थक एवं समग्र शिक्षा")</f>
        <v>सार्थक एवं समग्र शिक्षा</v>
      </c>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f ca="1">IFERROR(__xludf.DUMMYFUNCTION("""COMPUTED_VALUE"""),54)</f>
        <v>54</v>
      </c>
      <c r="BX610" s="1">
        <f ca="1">IFERROR(__xludf.DUMMYFUNCTION("""COMPUTED_VALUE"""),55)</f>
        <v>55</v>
      </c>
      <c r="BY610" s="1">
        <f ca="1">IFERROR(__xludf.DUMMYFUNCTION("""COMPUTED_VALUE"""),9)</f>
        <v>9</v>
      </c>
      <c r="BZ610" s="1">
        <f ca="1">IFERROR(__xludf.DUMMYFUNCTION("""COMPUTED_VALUE"""),43)</f>
        <v>43</v>
      </c>
      <c r="CA610" s="1"/>
      <c r="CB610" s="1"/>
      <c r="CC610" s="1" t="str">
        <f ca="1">IFERROR(__xludf.DUMMYFUNCTION("""COMPUTED_VALUE"""),"राष्ट्र का भावनात्मक नव निर्माण ऐसे संभव होगा : Rare Book")</f>
        <v>राष्ट्र का भावनात्मक नव निर्माण ऐसे संभव होगा : Rare Book</v>
      </c>
      <c r="CD610" s="3" t="str">
        <f ca="1">IFERROR(__xludf.DUMMYFUNCTION("""COMPUTED_VALUE"""),"https://vicharkrantibooks.org/productdetail?book_name=HINP0701_RASHTR_KA_BHAVANATMAK_NAV_NIRMAN_AISE_SAMBHAV_HOGA_xx1982&amp;product_id=1266")</f>
        <v>https://vicharkrantibooks.org/productdetail?book_name=HINP0701_RASHTR_KA_BHAVANATMAK_NAV_NIRMAN_AISE_SAMBHAV_HOGA_xx1982&amp;product_id=1266</v>
      </c>
      <c r="CE610" s="1" t="str">
        <f ca="1">IFERROR(__xludf.DUMMYFUNCTION("""COMPUTED_VALUE"""),"Audiobook : राष्ट्र का भावनात्मक नव निर्माण ऐसे संभव होगा : Rare Book : rbbansalriya@gmail.com : Recorded")</f>
        <v>Audiobook : राष्ट्र का भावनात्मक नव निर्माण ऐसे संभव होगा : Rare Book : rbbansalriya@gmail.com : Recorded</v>
      </c>
      <c r="CF610" s="1" t="str">
        <f ca="1">IFERROR(__xludf.DUMMYFUNCTION("""COMPUTED_VALUE"""),"Audiobook : राष्ट्र का भावनात्मक नव निर्माण ऐसे संभव होगा : Rare Book : rbbansalriya@gmail.com : Recorded")</f>
        <v>Audiobook : राष्ट्र का भावनात्मक नव निर्माण ऐसे संभव होगा : Rare Book : rbbansalriya@gmail.com : Recorded</v>
      </c>
      <c r="CG610" s="1" t="str">
        <f ca="1">IFERROR(__xludf.DUMMYFUNCTION("""COMPUTED_VALUE"""),"Adarniya Riya bansal  ji राष्ट्र का भावनात्मक नव निर्माण ऐसे संभव होगा : Rare Book : Allocated on 26-Nov-23 Contact Number  9176361023")</f>
        <v>Adarniya Riya bansal  ji राष्ट्र का भावनात्मक नव निर्माण ऐसे संभव होगा : Rare Book : Allocated on 26-Nov-23 Contact Number  9176361023</v>
      </c>
      <c r="CH610" s="1" t="str">
        <f ca="1">IFERROR(__xludf.DUMMYFUNCTION("""COMPUTED_VALUE"""),"rbbansalriya@gmail.com : राष्ट्र का भावनात्मक नव निर्माण ऐसे संभव होगा : Rare Book")</f>
        <v>rbbansalriya@gmail.com : राष्ट्र का भावनात्मक नव निर्माण ऐसे संभव होगा : Rare Book</v>
      </c>
      <c r="CI610" s="5">
        <f ca="1">IFERROR(__xludf.DUMMYFUNCTION("""COMPUTED_VALUE"""),45256.9197868981)</f>
        <v>45256.919786898099</v>
      </c>
    </row>
    <row r="611" spans="1:87" x14ac:dyDescent="0.25">
      <c r="A611" s="5">
        <f ca="1">IFERROR(__xludf.DUMMYFUNCTION("""COMPUTED_VALUE"""),45256.8911393171)</f>
        <v>45256.8911393171</v>
      </c>
      <c r="B611" s="1" t="str">
        <f ca="1">IFERROR(__xludf.DUMMYFUNCTION("""COMPUTED_VALUE"""),"druma4107@gmail.com")</f>
        <v>druma4107@gmail.com</v>
      </c>
      <c r="C611" s="1" t="str">
        <f ca="1">IFERROR(__xludf.DUMMYFUNCTION("""COMPUTED_VALUE"""),"Dr Uma Agrawal ")</f>
        <v xml:space="preserve">Dr Uma Agrawal </v>
      </c>
      <c r="D611" s="1">
        <f ca="1">IFERROR(__xludf.DUMMYFUNCTION("""COMPUTED_VALUE"""),94100861182)</f>
        <v>94100861182</v>
      </c>
      <c r="E611" s="1" t="str">
        <f ca="1">IFERROR(__xludf.DUMMYFUNCTION("""COMPUTED_VALUE"""),"Yes")</f>
        <v>Yes</v>
      </c>
      <c r="F611" s="1" t="str">
        <f ca="1">IFERROR(__xludf.DUMMYFUNCTION("""COMPUTED_VALUE"""),"हिन्दी")</f>
        <v>हिन्दी</v>
      </c>
      <c r="G611" s="1" t="str">
        <f ca="1">IFERROR(__xludf.DUMMYFUNCTION("""COMPUTED_VALUE"""),"समग्र स्वास्थ्य")</f>
        <v>समग्र स्वास्थ्य</v>
      </c>
      <c r="H611" s="1"/>
      <c r="I611" s="1"/>
      <c r="J611" s="1"/>
      <c r="K611" s="1"/>
      <c r="L611" s="1"/>
      <c r="M611" s="1"/>
      <c r="N611" s="1"/>
      <c r="O611" s="1"/>
      <c r="P611" s="1"/>
      <c r="Q611" s="1"/>
      <c r="R611" s="1"/>
      <c r="S611" s="1"/>
      <c r="T611" s="1"/>
      <c r="U611" s="1" t="str">
        <f ca="1">IFERROR(__xludf.DUMMYFUNCTION("""COMPUTED_VALUE"""),"स्वास्थ्य संवर्धन")</f>
        <v>स्वास्थ्य संवर्धन</v>
      </c>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f ca="1">IFERROR(__xludf.DUMMYFUNCTION("""COMPUTED_VALUE"""),104)</f>
        <v>104</v>
      </c>
      <c r="BX611" s="1">
        <f ca="1">IFERROR(__xludf.DUMMYFUNCTION("""COMPUTED_VALUE"""),106)</f>
        <v>106</v>
      </c>
      <c r="BY611" s="1">
        <f ca="1">IFERROR(__xludf.DUMMYFUNCTION("""COMPUTED_VALUE"""),9)</f>
        <v>9</v>
      </c>
      <c r="BZ611" s="1">
        <f ca="1">IFERROR(__xludf.DUMMYFUNCTION("""COMPUTED_VALUE"""),43)</f>
        <v>43</v>
      </c>
      <c r="CA611" s="1"/>
      <c r="CB611" s="1"/>
      <c r="CC611" s="1" t="str">
        <f ca="1">IFERROR(__xludf.DUMMYFUNCTION("""COMPUTED_VALUE"""),"चिन्ता रुपी चिता में जलकर अपनी क्षमतायें नष्ट न करें : Rare Book")</f>
        <v>चिन्ता रुपी चिता में जलकर अपनी क्षमतायें नष्ट न करें : Rare Book</v>
      </c>
      <c r="CD611" s="3" t="str">
        <f ca="1">IFERROR(__xludf.DUMMYFUNCTION("""COMPUTED_VALUE"""),"https://vicharkrantibooks.org/productdetail?book_name=HINP0194_CHINTA_RUPI_CHITA_MEIN_JALAKAR_APANI_KSHAMATAYEN_NASHT_NA_KAREN_xx1982&amp;product_id=759")</f>
        <v>https://vicharkrantibooks.org/productdetail?book_name=HINP0194_CHINTA_RUPI_CHITA_MEIN_JALAKAR_APANI_KSHAMATAYEN_NASHT_NA_KAREN_xx1982&amp;product_id=759</v>
      </c>
      <c r="CE611" s="1" t="str">
        <f ca="1">IFERROR(__xludf.DUMMYFUNCTION("""COMPUTED_VALUE"""),"Audiobook : चिन्ता रुपी चिता में जलकर अपनी क्षमतायें नष्ट न करें : Rare Book : druma4107@gmail.com : Recorded")</f>
        <v>Audiobook : चिन्ता रुपी चिता में जलकर अपनी क्षमतायें नष्ट न करें : Rare Book : druma4107@gmail.com : Recorded</v>
      </c>
      <c r="CF611" s="1" t="str">
        <f ca="1">IFERROR(__xludf.DUMMYFUNCTION("""COMPUTED_VALUE"""),"Audiobook : चिन्ता रुपी चिता में जलकर अपनी क्षमतायें नष्ट न करें : Rare Book : druma4107@gmail.com : Recorded")</f>
        <v>Audiobook : चिन्ता रुपी चिता में जलकर अपनी क्षमतायें नष्ट न करें : Rare Book : druma4107@gmail.com : Recorded</v>
      </c>
      <c r="CG611" s="1" t="str">
        <f ca="1">IFERROR(__xludf.DUMMYFUNCTION("""COMPUTED_VALUE"""),"Adarniya Dr Uma Agrawal  ji चिन्ता रुपी चिता में जलकर अपनी क्षमतायें नष्ट न करें : Rare Book : Allocated on 26-Nov-23 Contact Number  94100861182")</f>
        <v>Adarniya Dr Uma Agrawal  ji चिन्ता रुपी चिता में जलकर अपनी क्षमतायें नष्ट न करें : Rare Book : Allocated on 26-Nov-23 Contact Number  94100861182</v>
      </c>
      <c r="CH611" s="1" t="str">
        <f ca="1">IFERROR(__xludf.DUMMYFUNCTION("""COMPUTED_VALUE"""),"druma4107@gmail.com : चिन्ता रुपी चिता में जलकर अपनी क्षमतायें नष्ट न करें : Rare Book")</f>
        <v>druma4107@gmail.com : चिन्ता रुपी चिता में जलकर अपनी क्षमतायें नष्ट न करें : Rare Book</v>
      </c>
      <c r="CI611" s="5">
        <f ca="1">IFERROR(__xludf.DUMMYFUNCTION("""COMPUTED_VALUE"""),45256.8911393171)</f>
        <v>45256.8911393171</v>
      </c>
    </row>
    <row r="612" spans="1:87" x14ac:dyDescent="0.25">
      <c r="A612" s="5">
        <f ca="1">IFERROR(__xludf.DUMMYFUNCTION("""COMPUTED_VALUE"""),45256.366291493)</f>
        <v>45256.366291493003</v>
      </c>
      <c r="B612" s="1" t="str">
        <f ca="1">IFERROR(__xludf.DUMMYFUNCTION("""COMPUTED_VALUE"""),"noopurpk@hotmail.com")</f>
        <v>noopurpk@hotmail.com</v>
      </c>
      <c r="C612" s="1" t="str">
        <f ca="1">IFERROR(__xludf.DUMMYFUNCTION("""COMPUTED_VALUE"""),"Noopur Srivastava")</f>
        <v>Noopur Srivastava</v>
      </c>
      <c r="D612" s="1">
        <f ca="1">IFERROR(__xludf.DUMMYFUNCTION("""COMPUTED_VALUE"""),7803409966)</f>
        <v>7803409966</v>
      </c>
      <c r="E612" s="1" t="str">
        <f ca="1">IFERROR(__xludf.DUMMYFUNCTION("""COMPUTED_VALUE"""),"Yes")</f>
        <v>Yes</v>
      </c>
      <c r="F612" s="1" t="str">
        <f ca="1">IFERROR(__xludf.DUMMYFUNCTION("""COMPUTED_VALUE"""),"हिन्दी")</f>
        <v>हिन्दी</v>
      </c>
      <c r="G612" s="1" t="str">
        <f ca="1">IFERROR(__xludf.DUMMYFUNCTION("""COMPUTED_VALUE"""),"समाज निर्माण")</f>
        <v>समाज निर्माण</v>
      </c>
      <c r="H612" s="1"/>
      <c r="I612" s="1"/>
      <c r="J612" s="1"/>
      <c r="K612" s="1"/>
      <c r="L612" s="1"/>
      <c r="M612" s="1"/>
      <c r="N612" s="1"/>
      <c r="O612" s="1"/>
      <c r="P612" s="1"/>
      <c r="Q612" s="1"/>
      <c r="R612" s="1"/>
      <c r="S612" s="1"/>
      <c r="T612" s="1"/>
      <c r="U612" s="1"/>
      <c r="V612" s="1" t="str">
        <f ca="1">IFERROR(__xludf.DUMMYFUNCTION("""COMPUTED_VALUE"""),"आदर्श विवाहों का प्रचलन")</f>
        <v>आदर्श विवाहों का प्रचलन</v>
      </c>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f ca="1">IFERROR(__xludf.DUMMYFUNCTION("""COMPUTED_VALUE"""),2)</f>
        <v>2</v>
      </c>
      <c r="BX612" s="1">
        <f ca="1">IFERROR(__xludf.DUMMYFUNCTION("""COMPUTED_VALUE"""),1)</f>
        <v>1</v>
      </c>
      <c r="BY612" s="1">
        <f ca="1">IFERROR(__xludf.DUMMYFUNCTION("""COMPUTED_VALUE"""),1)</f>
        <v>1</v>
      </c>
      <c r="BZ612" s="1">
        <f ca="1">IFERROR(__xludf.DUMMYFUNCTION("""COMPUTED_VALUE"""),0)</f>
        <v>0</v>
      </c>
      <c r="CA612" s="1"/>
      <c r="CB612" s="1"/>
      <c r="CC612" s="1" t="str">
        <f ca="1">IFERROR(__xludf.DUMMYFUNCTION("""COMPUTED_VALUE"""),"अपनी भावसंपदा जगाएँ-श्रेय पाएँ : Rare Book")</f>
        <v>अपनी भावसंपदा जगाएँ-श्रेय पाएँ : Rare Book</v>
      </c>
      <c r="CD612" s="3" t="str">
        <f ca="1">IFERROR(__xludf.DUMMYFUNCTION("""COMPUTED_VALUE"""),"https://vicharkrantibooks.org/productdetail?book_name=HINF0034_APANI_BHAVASAMPADA_JAGAEN_SHREY_PAEN_xxyyyy&amp;product_id=254")</f>
        <v>https://vicharkrantibooks.org/productdetail?book_name=HINF0034_APANI_BHAVASAMPADA_JAGAEN_SHREY_PAEN_xxyyyy&amp;product_id=254</v>
      </c>
      <c r="CE612" s="1" t="str">
        <f ca="1">IFERROR(__xludf.DUMMYFUNCTION("""COMPUTED_VALUE"""),"Audiobook : अपनी भावसंपदा जगाएँ-श्रेय पाएँ : Rare Book : noopurpk@hotmail.com : Recorded")</f>
        <v>Audiobook : अपनी भावसंपदा जगाएँ-श्रेय पाएँ : Rare Book : noopurpk@hotmail.com : Recorded</v>
      </c>
      <c r="CF612" s="1" t="str">
        <f ca="1">IFERROR(__xludf.DUMMYFUNCTION("""COMPUTED_VALUE"""),"#N/A")</f>
        <v>#N/A</v>
      </c>
      <c r="CG612" s="1" t="str">
        <f ca="1">IFERROR(__xludf.DUMMYFUNCTION("""COMPUTED_VALUE"""),"Adarniya Noopur Srivastava ji अपनी भावसंपदा जगाएँ-श्रेय पाएँ : Rare Book : Allocated on 26-Nov-23 Contact Number  7803409966")</f>
        <v>Adarniya Noopur Srivastava ji अपनी भावसंपदा जगाएँ-श्रेय पाएँ : Rare Book : Allocated on 26-Nov-23 Contact Number  7803409966</v>
      </c>
      <c r="CH612" s="1" t="str">
        <f ca="1">IFERROR(__xludf.DUMMYFUNCTION("""COMPUTED_VALUE"""),"noopurpk@hotmail.com : अपनी भावसंपदा जगाएँ-श्रेय पाएँ : Rare Book")</f>
        <v>noopurpk@hotmail.com : अपनी भावसंपदा जगाएँ-श्रेय पाएँ : Rare Book</v>
      </c>
      <c r="CI612" s="5">
        <f ca="1">IFERROR(__xludf.DUMMYFUNCTION("""COMPUTED_VALUE"""),45256.366291493)</f>
        <v>45256.366291493003</v>
      </c>
    </row>
    <row r="613" spans="1:87" x14ac:dyDescent="0.25">
      <c r="A613" s="5">
        <f ca="1">IFERROR(__xludf.DUMMYFUNCTION("""COMPUTED_VALUE"""),45256.3266150578)</f>
        <v>45256.326615057798</v>
      </c>
      <c r="B613" s="1" t="str">
        <f ca="1">IFERROR(__xludf.DUMMYFUNCTION("""COMPUTED_VALUE"""),"purnima.bharadwaj.24@gmail.com")</f>
        <v>purnima.bharadwaj.24@gmail.com</v>
      </c>
      <c r="C613" s="1" t="str">
        <f ca="1">IFERROR(__xludf.DUMMYFUNCTION("""COMPUTED_VALUE"""),"पूर्णिमा भारद्वाज ")</f>
        <v xml:space="preserve">पूर्णिमा भारद्वाज </v>
      </c>
      <c r="D613" s="1">
        <f ca="1">IFERROR(__xludf.DUMMYFUNCTION("""COMPUTED_VALUE"""),9415389032)</f>
        <v>9415389032</v>
      </c>
      <c r="E613" s="1" t="str">
        <f ca="1">IFERROR(__xludf.DUMMYFUNCTION("""COMPUTED_VALUE"""),"Yes")</f>
        <v>Yes</v>
      </c>
      <c r="F613" s="1" t="str">
        <f ca="1">IFERROR(__xludf.DUMMYFUNCTION("""COMPUTED_VALUE"""),"हिन्दी")</f>
        <v>हिन्दी</v>
      </c>
      <c r="G613" s="1" t="str">
        <f ca="1">IFERROR(__xludf.DUMMYFUNCTION("""COMPUTED_VALUE"""),"युग द्रष्टा पं. श्रीराम शर्मा आचार्यजी")</f>
        <v>युग द्रष्टा पं. श्रीराम शर्मा आचार्यजी</v>
      </c>
      <c r="H613" s="1"/>
      <c r="I613" s="1"/>
      <c r="J613" s="1"/>
      <c r="K613" s="1"/>
      <c r="L613" s="1"/>
      <c r="M613" s="1"/>
      <c r="N613" s="1"/>
      <c r="O613" s="1"/>
      <c r="P613" s="1" t="str">
        <f ca="1">IFERROR(__xludf.DUMMYFUNCTION("""COMPUTED_VALUE"""),"युगॠषी की अमृतवाणी")</f>
        <v>युगॠषी की अमृतवाणी</v>
      </c>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f ca="1">IFERROR(__xludf.DUMMYFUNCTION("""COMPUTED_VALUE"""),43)</f>
        <v>43</v>
      </c>
      <c r="BX613" s="1">
        <f ca="1">IFERROR(__xludf.DUMMYFUNCTION("""COMPUTED_VALUE"""),36)</f>
        <v>36</v>
      </c>
      <c r="BY613" s="1">
        <f ca="1">IFERROR(__xludf.DUMMYFUNCTION("""COMPUTED_VALUE"""),9)</f>
        <v>9</v>
      </c>
      <c r="BZ613" s="1">
        <f ca="1">IFERROR(__xludf.DUMMYFUNCTION("""COMPUTED_VALUE"""),30)</f>
        <v>30</v>
      </c>
      <c r="CA613" s="1"/>
      <c r="CB613" s="1"/>
      <c r="CC613" s="1" t="str">
        <f ca="1">IFERROR(__xludf.DUMMYFUNCTION("""COMPUTED_VALUE"""),"पतन निवारण : H_VN_70")</f>
        <v>पतन निवारण : H_VN_70</v>
      </c>
      <c r="CD613" s="3" t="str">
        <f ca="1">IFERROR(__xludf.DUMMYFUNCTION("""COMPUTED_VALUE"""),"https://vicharkrantibooks.org/productdetail?book_name=HINP0641_PATAN_NIVARAN_xxyyyy&amp;product_id=1206")</f>
        <v>https://vicharkrantibooks.org/productdetail?book_name=HINP0641_PATAN_NIVARAN_xxyyyy&amp;product_id=1206</v>
      </c>
      <c r="CE613" s="1" t="str">
        <f ca="1">IFERROR(__xludf.DUMMYFUNCTION("""COMPUTED_VALUE"""),"Audiobook : पतन निवारण : H_VN_70 : purnima.bharadwaj.24@gmail.com : Recorded")</f>
        <v>Audiobook : पतन निवारण : H_VN_70 : purnima.bharadwaj.24@gmail.com : Recorded</v>
      </c>
      <c r="CF613" s="1" t="str">
        <f ca="1">IFERROR(__xludf.DUMMYFUNCTION("""COMPUTED_VALUE"""),"Audiobook : पतन निवारण : H_VN_70 : purnima.bharadwaj.24@gmail.com : Recorded")</f>
        <v>Audiobook : पतन निवारण : H_VN_70 : purnima.bharadwaj.24@gmail.com : Recorded</v>
      </c>
      <c r="CG613" s="1" t="str">
        <f ca="1">IFERROR(__xludf.DUMMYFUNCTION("""COMPUTED_VALUE"""),"Adarniya पूर्णिमा भारद्वाज  ji पतन निवारण : H_VN_70 : Allocated on 26-Nov-23 Contact Number  9415389032")</f>
        <v>Adarniya पूर्णिमा भारद्वाज  ji पतन निवारण : H_VN_70 : Allocated on 26-Nov-23 Contact Number  9415389032</v>
      </c>
      <c r="CH613" s="1" t="str">
        <f ca="1">IFERROR(__xludf.DUMMYFUNCTION("""COMPUTED_VALUE"""),"purnima.bharadwaj.24@gmail.com : पतन निवारण : H_VN_70")</f>
        <v>purnima.bharadwaj.24@gmail.com : पतन निवारण : H_VN_70</v>
      </c>
      <c r="CI613" s="5">
        <f ca="1">IFERROR(__xludf.DUMMYFUNCTION("""COMPUTED_VALUE"""),45256.3266150578)</f>
        <v>45256.326615057798</v>
      </c>
    </row>
    <row r="614" spans="1:87" x14ac:dyDescent="0.25">
      <c r="A614" s="5">
        <f ca="1">IFERROR(__xludf.DUMMYFUNCTION("""COMPUTED_VALUE"""),45255.5717297453)</f>
        <v>45255.571729745301</v>
      </c>
      <c r="B614" s="1" t="str">
        <f ca="1">IFERROR(__xludf.DUMMYFUNCTION("""COMPUTED_VALUE"""),"shweta.r.gupta79@gmail.com")</f>
        <v>shweta.r.gupta79@gmail.com</v>
      </c>
      <c r="C614" s="1" t="str">
        <f ca="1">IFERROR(__xludf.DUMMYFUNCTION("""COMPUTED_VALUE"""),"Shweta Gupta ")</f>
        <v xml:space="preserve">Shweta Gupta </v>
      </c>
      <c r="D614" s="1">
        <f ca="1">IFERROR(__xludf.DUMMYFUNCTION("""COMPUTED_VALUE"""),8369516724)</f>
        <v>8369516724</v>
      </c>
      <c r="E614" s="1" t="str">
        <f ca="1">IFERROR(__xludf.DUMMYFUNCTION("""COMPUTED_VALUE"""),"Yes")</f>
        <v>Yes</v>
      </c>
      <c r="F614" s="1" t="str">
        <f ca="1">IFERROR(__xludf.DUMMYFUNCTION("""COMPUTED_VALUE"""),"हिन्दी")</f>
        <v>हिन्दी</v>
      </c>
      <c r="G614" s="1" t="str">
        <f ca="1">IFERROR(__xludf.DUMMYFUNCTION("""COMPUTED_VALUE"""),"परिवार निर्माण")</f>
        <v>परिवार निर्माण</v>
      </c>
      <c r="H614" s="1"/>
      <c r="I614" s="1"/>
      <c r="J614" s="1"/>
      <c r="K614" s="1"/>
      <c r="L614" s="1"/>
      <c r="M614" s="1" t="str">
        <f ca="1">IFERROR(__xludf.DUMMYFUNCTION("""COMPUTED_VALUE"""),"परिवार")</f>
        <v>परिवार</v>
      </c>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f ca="1">IFERROR(__xludf.DUMMYFUNCTION("""COMPUTED_VALUE"""),31)</f>
        <v>31</v>
      </c>
      <c r="BX614" s="1">
        <f ca="1">IFERROR(__xludf.DUMMYFUNCTION("""COMPUTED_VALUE"""),45)</f>
        <v>45</v>
      </c>
      <c r="BY614" s="1">
        <f ca="1">IFERROR(__xludf.DUMMYFUNCTION("""COMPUTED_VALUE"""),3)</f>
        <v>3</v>
      </c>
      <c r="BZ614" s="1">
        <f ca="1">IFERROR(__xludf.DUMMYFUNCTION("""COMPUTED_VALUE"""),40)</f>
        <v>40</v>
      </c>
      <c r="CA614" s="1"/>
      <c r="CB614" s="1"/>
      <c r="CC614" s="1" t="str">
        <f ca="1">IFERROR(__xludf.DUMMYFUNCTION("""COMPUTED_VALUE"""),"आओ गढें संस्कारवान पीढी (छोटी) : H_YS_48")</f>
        <v>आओ गढें संस्कारवान पीढी (छोटी) : H_YS_48</v>
      </c>
      <c r="CD614" s="3" t="str">
        <f ca="1">IFERROR(__xludf.DUMMYFUNCTION("""COMPUTED_VALUE"""),"https://vicharkrantibooks.org/productdetail?book_name=HINP0001_AAO_GADHEN_SANSKARAVAN_PIDHI_(SMALL)_Re2016&amp;product_id=566")</f>
        <v>https://vicharkrantibooks.org/productdetail?book_name=HINP0001_AAO_GADHEN_SANSKARAVAN_PIDHI_(SMALL)_Re2016&amp;product_id=566</v>
      </c>
      <c r="CE614" s="1" t="str">
        <f ca="1">IFERROR(__xludf.DUMMYFUNCTION("""COMPUTED_VALUE"""),"Audiobook : आओ गढें संस्कारवान पीढी (छोटी) : H_YS_48 : shweta.r.gupta79@gmail.com : Recorded")</f>
        <v>Audiobook : आओ गढें संस्कारवान पीढी (छोटी) : H_YS_48 : shweta.r.gupta79@gmail.com : Recorded</v>
      </c>
      <c r="CF614" s="1" t="str">
        <f ca="1">IFERROR(__xludf.DUMMYFUNCTION("""COMPUTED_VALUE"""),"Audiobook : आओ गढें संस्कारवान पीढी (छोटी) : H_YS_48 : shweta.r.gupta79@gmail.com : Recorded")</f>
        <v>Audiobook : आओ गढें संस्कारवान पीढी (छोटी) : H_YS_48 : shweta.r.gupta79@gmail.com : Recorded</v>
      </c>
      <c r="CG614" s="1" t="str">
        <f ca="1">IFERROR(__xludf.DUMMYFUNCTION("""COMPUTED_VALUE"""),"Adarniya Shweta Gupta  ji आओ गढें संस्कारवान पीढी (छोटी) : H_YS_48 : Allocated on 25-Nov-23 Contact Number  8369516724")</f>
        <v>Adarniya Shweta Gupta  ji आओ गढें संस्कारवान पीढी (छोटी) : H_YS_48 : Allocated on 25-Nov-23 Contact Number  8369516724</v>
      </c>
      <c r="CH614" s="1" t="str">
        <f ca="1">IFERROR(__xludf.DUMMYFUNCTION("""COMPUTED_VALUE"""),"shweta.r.gupta79@gmail.com : आओ गढें संस्कारवान पीढी (छोटी) : H_YS_48")</f>
        <v>shweta.r.gupta79@gmail.com : आओ गढें संस्कारवान पीढी (छोटी) : H_YS_48</v>
      </c>
      <c r="CI614" s="5">
        <f ca="1">IFERROR(__xludf.DUMMYFUNCTION("""COMPUTED_VALUE"""),45255.5717297453)</f>
        <v>45255.571729745301</v>
      </c>
    </row>
    <row r="615" spans="1:87" x14ac:dyDescent="0.25">
      <c r="A615" s="5">
        <f ca="1">IFERROR(__xludf.DUMMYFUNCTION("""COMPUTED_VALUE"""),45255.4891500115)</f>
        <v>45255.489150011497</v>
      </c>
      <c r="B615" s="1" t="str">
        <f ca="1">IFERROR(__xludf.DUMMYFUNCTION("""COMPUTED_VALUE"""),"purnima.bharadwaj.24@gmail.com")</f>
        <v>purnima.bharadwaj.24@gmail.com</v>
      </c>
      <c r="C615" s="1" t="str">
        <f ca="1">IFERROR(__xludf.DUMMYFUNCTION("""COMPUTED_VALUE"""),"पूर्णिमा भारद्वाज ")</f>
        <v xml:space="preserve">पूर्णिमा भारद्वाज </v>
      </c>
      <c r="D615" s="1">
        <f ca="1">IFERROR(__xludf.DUMMYFUNCTION("""COMPUTED_VALUE"""),9415389032)</f>
        <v>9415389032</v>
      </c>
      <c r="E615" s="1" t="str">
        <f ca="1">IFERROR(__xludf.DUMMYFUNCTION("""COMPUTED_VALUE"""),"Yes")</f>
        <v>Yes</v>
      </c>
      <c r="F615" s="1" t="str">
        <f ca="1">IFERROR(__xludf.DUMMYFUNCTION("""COMPUTED_VALUE"""),"हिन्दी")</f>
        <v>हिन्दी</v>
      </c>
      <c r="G615" s="1" t="str">
        <f ca="1">IFERROR(__xludf.DUMMYFUNCTION("""COMPUTED_VALUE"""),"युग द्रष्टा पं. श्रीराम शर्मा आचार्यजी")</f>
        <v>युग द्रष्टा पं. श्रीराम शर्मा आचार्यजी</v>
      </c>
      <c r="H615" s="1"/>
      <c r="I615" s="1"/>
      <c r="J615" s="1"/>
      <c r="K615" s="1"/>
      <c r="L615" s="1"/>
      <c r="M615" s="1"/>
      <c r="N615" s="1"/>
      <c r="O615" s="1"/>
      <c r="P615" s="1" t="str">
        <f ca="1">IFERROR(__xludf.DUMMYFUNCTION("""COMPUTED_VALUE"""),"युगॠषी की अमृतवाणी")</f>
        <v>युगॠषी की अमृतवाणी</v>
      </c>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f ca="1">IFERROR(__xludf.DUMMYFUNCTION("""COMPUTED_VALUE"""),43)</f>
        <v>43</v>
      </c>
      <c r="BX615" s="1">
        <f ca="1">IFERROR(__xludf.DUMMYFUNCTION("""COMPUTED_VALUE"""),36)</f>
        <v>36</v>
      </c>
      <c r="BY615" s="1">
        <f ca="1">IFERROR(__xludf.DUMMYFUNCTION("""COMPUTED_VALUE"""),9)</f>
        <v>9</v>
      </c>
      <c r="BZ615" s="1">
        <f ca="1">IFERROR(__xludf.DUMMYFUNCTION("""COMPUTED_VALUE"""),30)</f>
        <v>30</v>
      </c>
      <c r="CA615" s="1"/>
      <c r="CB615" s="1"/>
      <c r="CC615" s="1" t="str">
        <f ca="1">IFERROR(__xludf.DUMMYFUNCTION("""COMPUTED_VALUE"""),"भगवान को मत बहकाइये : H_JS_67")</f>
        <v>भगवान को मत बहकाइये : H_JS_67</v>
      </c>
      <c r="CD615" s="3" t="str">
        <f ca="1">IFERROR(__xludf.DUMMYFUNCTION("""COMPUTED_VALUE"""),"https://vicharkrantibooks.org/productdetail?book_name=HINP0141_BHAGAVAN_KO_MAT_BAHAKAIYE_xx2011&amp;product_id=706")</f>
        <v>https://vicharkrantibooks.org/productdetail?book_name=HINP0141_BHAGAVAN_KO_MAT_BAHAKAIYE_xx2011&amp;product_id=706</v>
      </c>
      <c r="CE615" s="1" t="str">
        <f ca="1">IFERROR(__xludf.DUMMYFUNCTION("""COMPUTED_VALUE"""),"Audiobook : भगवान को मत बहकाइये : H_JS_67 : purnima.bharadwaj.24@gmail.com : Recorded")</f>
        <v>Audiobook : भगवान को मत बहकाइये : H_JS_67 : purnima.bharadwaj.24@gmail.com : Recorded</v>
      </c>
      <c r="CF615" s="1" t="str">
        <f ca="1">IFERROR(__xludf.DUMMYFUNCTION("""COMPUTED_VALUE"""),"Audiobook : भगवान को मत बहकाइये : H_JS_67 : purnima.bharadwaj.24@gmail.com : Recorded")</f>
        <v>Audiobook : भगवान को मत बहकाइये : H_JS_67 : purnima.bharadwaj.24@gmail.com : Recorded</v>
      </c>
      <c r="CG615" s="1" t="str">
        <f ca="1">IFERROR(__xludf.DUMMYFUNCTION("""COMPUTED_VALUE"""),"Adarniya पूर्णिमा भारद्वाज  ji भगवान को मत बहकाइये : H_JS_67 : Allocated on 25-Nov-23 Contact Number  9415389032")</f>
        <v>Adarniya पूर्णिमा भारद्वाज  ji भगवान को मत बहकाइये : H_JS_67 : Allocated on 25-Nov-23 Contact Number  9415389032</v>
      </c>
      <c r="CH615" s="1" t="str">
        <f ca="1">IFERROR(__xludf.DUMMYFUNCTION("""COMPUTED_VALUE"""),"purnima.bharadwaj.24@gmail.com : भगवान को मत बहकाइये : H_JS_67")</f>
        <v>purnima.bharadwaj.24@gmail.com : भगवान को मत बहकाइये : H_JS_67</v>
      </c>
      <c r="CI615" s="5">
        <f ca="1">IFERROR(__xludf.DUMMYFUNCTION("""COMPUTED_VALUE"""),45255.4891500115)</f>
        <v>45255.489150011497</v>
      </c>
    </row>
    <row r="616" spans="1:87" x14ac:dyDescent="0.25">
      <c r="A616" s="5">
        <f ca="1">IFERROR(__xludf.DUMMYFUNCTION("""COMPUTED_VALUE"""),45253.5176561689)</f>
        <v>45253.5176561689</v>
      </c>
      <c r="B616" s="1" t="str">
        <f ca="1">IFERROR(__xludf.DUMMYFUNCTION("""COMPUTED_VALUE"""),"shweta.r.gupta79@gmail.com")</f>
        <v>shweta.r.gupta79@gmail.com</v>
      </c>
      <c r="C616" s="1" t="str">
        <f ca="1">IFERROR(__xludf.DUMMYFUNCTION("""COMPUTED_VALUE"""),"Shweta Gupta ")</f>
        <v xml:space="preserve">Shweta Gupta </v>
      </c>
      <c r="D616" s="1">
        <f ca="1">IFERROR(__xludf.DUMMYFUNCTION("""COMPUTED_VALUE"""),8369516724)</f>
        <v>8369516724</v>
      </c>
      <c r="E616" s="1" t="str">
        <f ca="1">IFERROR(__xludf.DUMMYFUNCTION("""COMPUTED_VALUE"""),"Yes")</f>
        <v>Yes</v>
      </c>
      <c r="F616" s="1" t="str">
        <f ca="1">IFERROR(__xludf.DUMMYFUNCTION("""COMPUTED_VALUE"""),"हिन्दी")</f>
        <v>हिन्दी</v>
      </c>
      <c r="G616" s="1" t="str">
        <f ca="1">IFERROR(__xludf.DUMMYFUNCTION("""COMPUTED_VALUE"""),"समग्र स्वास्थ्य")</f>
        <v>समग्र स्वास्थ्य</v>
      </c>
      <c r="H616" s="1"/>
      <c r="I616" s="1"/>
      <c r="J616" s="1"/>
      <c r="K616" s="1"/>
      <c r="L616" s="1"/>
      <c r="M616" s="1"/>
      <c r="N616" s="1"/>
      <c r="O616" s="1"/>
      <c r="P616" s="1"/>
      <c r="Q616" s="1"/>
      <c r="R616" s="1"/>
      <c r="S616" s="1"/>
      <c r="T616" s="1"/>
      <c r="U616" s="1" t="str">
        <f ca="1">IFERROR(__xludf.DUMMYFUNCTION("""COMPUTED_VALUE"""),"आहार-विहार एवं उपवास")</f>
        <v>आहार-विहार एवं उपवास</v>
      </c>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f ca="1">IFERROR(__xludf.DUMMYFUNCTION("""COMPUTED_VALUE"""),31)</f>
        <v>31</v>
      </c>
      <c r="BX616" s="1">
        <f ca="1">IFERROR(__xludf.DUMMYFUNCTION("""COMPUTED_VALUE"""),45)</f>
        <v>45</v>
      </c>
      <c r="BY616" s="1">
        <f ca="1">IFERROR(__xludf.DUMMYFUNCTION("""COMPUTED_VALUE"""),3)</f>
        <v>3</v>
      </c>
      <c r="BZ616" s="1">
        <f ca="1">IFERROR(__xludf.DUMMYFUNCTION("""COMPUTED_VALUE"""),40)</f>
        <v>40</v>
      </c>
      <c r="CA616" s="1"/>
      <c r="CB616" s="1"/>
      <c r="CC616" s="1" t="str">
        <f ca="1">IFERROR(__xludf.DUMMYFUNCTION("""COMPUTED_VALUE"""),"जड़ी बूटी विज्ञान का नये सिरे से अनुसंधान : Rare Book")</f>
        <v>जड़ी बूटी विज्ञान का नये सिरे से अनुसंधान : Rare Book</v>
      </c>
      <c r="CD616" s="3" t="str">
        <f ca="1">IFERROR(__xludf.DUMMYFUNCTION("""COMPUTED_VALUE"""),"https://vicharkrantibooks.org/productdetail?product_id=348")</f>
        <v>https://vicharkrantibooks.org/productdetail?product_id=348</v>
      </c>
      <c r="CE616" s="1" t="str">
        <f ca="1">IFERROR(__xludf.DUMMYFUNCTION("""COMPUTED_VALUE"""),"Audiobook : जड़ी बूटी विज्ञान का नये सिरे से अनुसंधान : Rare Book : shweta.r.gupta79@gmail.com : Recorded")</f>
        <v>Audiobook : जड़ी बूटी विज्ञान का नये सिरे से अनुसंधान : Rare Book : shweta.r.gupta79@gmail.com : Recorded</v>
      </c>
      <c r="CF616" s="1" t="str">
        <f ca="1">IFERROR(__xludf.DUMMYFUNCTION("""COMPUTED_VALUE"""),"Audiobook : जड़ी बूटी विज्ञान का नये सिरे से अनुसंधान : Rare Book : shweta.r.gupta79@gmail.com : Recorded")</f>
        <v>Audiobook : जड़ी बूटी विज्ञान का नये सिरे से अनुसंधान : Rare Book : shweta.r.gupta79@gmail.com : Recorded</v>
      </c>
      <c r="CG616" s="1" t="str">
        <f ca="1">IFERROR(__xludf.DUMMYFUNCTION("""COMPUTED_VALUE"""),"Adarniya Shweta Gupta  ji जड़ी बूटी विज्ञान का नये सिरे से अनुसंधान : Rare Book : Allocated on 23-Nov-23 Contact Number  8369516724")</f>
        <v>Adarniya Shweta Gupta  ji जड़ी बूटी विज्ञान का नये सिरे से अनुसंधान : Rare Book : Allocated on 23-Nov-23 Contact Number  8369516724</v>
      </c>
      <c r="CH616" s="1" t="str">
        <f ca="1">IFERROR(__xludf.DUMMYFUNCTION("""COMPUTED_VALUE"""),"shweta.r.gupta79@gmail.com : जड़ी बूटी विज्ञान का नये सिरे से अनुसंधान : Rare Book")</f>
        <v>shweta.r.gupta79@gmail.com : जड़ी बूटी विज्ञान का नये सिरे से अनुसंधान : Rare Book</v>
      </c>
      <c r="CI616" s="5">
        <f ca="1">IFERROR(__xludf.DUMMYFUNCTION("""COMPUTED_VALUE"""),45253.5176561689)</f>
        <v>45253.5176561689</v>
      </c>
    </row>
    <row r="617" spans="1:87" x14ac:dyDescent="0.25">
      <c r="A617" s="5">
        <f ca="1">IFERROR(__xludf.DUMMYFUNCTION("""COMPUTED_VALUE"""),45252.9412062847)</f>
        <v>45252.941206284697</v>
      </c>
      <c r="B617" s="1" t="str">
        <f ca="1">IFERROR(__xludf.DUMMYFUNCTION("""COMPUTED_VALUE"""),"richasharma310575@gmail.com")</f>
        <v>richasharma310575@gmail.com</v>
      </c>
      <c r="C617" s="1" t="str">
        <f ca="1">IFERROR(__xludf.DUMMYFUNCTION("""COMPUTED_VALUE"""),"Richa Sharma")</f>
        <v>Richa Sharma</v>
      </c>
      <c r="D617" s="1">
        <f ca="1">IFERROR(__xludf.DUMMYFUNCTION("""COMPUTED_VALUE"""),9479664049)</f>
        <v>9479664049</v>
      </c>
      <c r="E617" s="1" t="str">
        <f ca="1">IFERROR(__xludf.DUMMYFUNCTION("""COMPUTED_VALUE"""),"Yes")</f>
        <v>Yes</v>
      </c>
      <c r="F617" s="1" t="str">
        <f ca="1">IFERROR(__xludf.DUMMYFUNCTION("""COMPUTED_VALUE"""),"हिन्दी")</f>
        <v>हिन्दी</v>
      </c>
      <c r="G617" s="1" t="str">
        <f ca="1">IFERROR(__xludf.DUMMYFUNCTION("""COMPUTED_VALUE"""),"संस्कार, कर्मकाण्ड, पाठ, पूजा, गीत-संगीत")</f>
        <v>संस्कार, कर्मकाण्ड, पाठ, पूजा, गीत-संगीत</v>
      </c>
      <c r="H617" s="1"/>
      <c r="I617" s="1"/>
      <c r="J617" s="1"/>
      <c r="K617" s="1"/>
      <c r="L617" s="1"/>
      <c r="M617" s="1"/>
      <c r="N617" s="1"/>
      <c r="O617" s="1"/>
      <c r="P617" s="1"/>
      <c r="Q617" s="1"/>
      <c r="R617" s="1"/>
      <c r="S617" s="1"/>
      <c r="T617" s="1"/>
      <c r="U617" s="1"/>
      <c r="V617" s="1"/>
      <c r="W617" s="1" t="str">
        <f ca="1">IFERROR(__xludf.DUMMYFUNCTION("""COMPUTED_VALUE"""),"स्वाध्याय, सत्संग, चिंतन, मनन")</f>
        <v>स्वाध्याय, सत्संग, चिंतन, मनन</v>
      </c>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t="str">
        <f ca="1">IFERROR(__xludf.DUMMYFUNCTION("""COMPUTED_VALUE"""),"उत्कृष्ट विचारों का सतत सानिध्य")</f>
        <v>उत्कृष्ट विचारों का सतत सानिध्य</v>
      </c>
      <c r="BK617" s="1"/>
      <c r="BL617" s="1"/>
      <c r="BM617" s="1"/>
      <c r="BN617" s="1"/>
      <c r="BO617" s="1"/>
      <c r="BP617" s="1"/>
      <c r="BQ617" s="1"/>
      <c r="BR617" s="1"/>
      <c r="BS617" s="1"/>
      <c r="BT617" s="1"/>
      <c r="BU617" s="1"/>
      <c r="BV617" s="1"/>
      <c r="BW617" s="1">
        <f ca="1">IFERROR(__xludf.DUMMYFUNCTION("""COMPUTED_VALUE"""),23)</f>
        <v>23</v>
      </c>
      <c r="BX617" s="1">
        <f ca="1">IFERROR(__xludf.DUMMYFUNCTION("""COMPUTED_VALUE"""),28)</f>
        <v>28</v>
      </c>
      <c r="BY617" s="1">
        <f ca="1">IFERROR(__xludf.DUMMYFUNCTION("""COMPUTED_VALUE"""),2)</f>
        <v>2</v>
      </c>
      <c r="BZ617" s="1">
        <f ca="1">IFERROR(__xludf.DUMMYFUNCTION("""COMPUTED_VALUE"""),24)</f>
        <v>24</v>
      </c>
      <c r="CA617" s="1"/>
      <c r="CB617" s="1"/>
      <c r="CC617" s="1" t="str">
        <f ca="1">IFERROR(__xludf.DUMMYFUNCTION("""COMPUTED_VALUE"""),"आत्मविकास के लिए सेवा साधना अनिवार्य : Rare Book")</f>
        <v>आत्मविकास के लिए सेवा साधना अनिवार्य : Rare Book</v>
      </c>
      <c r="CD617" s="3" t="str">
        <f ca="1">IFERROR(__xludf.DUMMYFUNCTION("""COMPUTED_VALUE"""),"https://vicharkrantibooks.org/productdetail?book_name=HINP0100_ATMAVIKAS_KE_LIE_SEVA_SADHANA_ANIVARY_xx1982&amp;product_id=665")</f>
        <v>https://vicharkrantibooks.org/productdetail?book_name=HINP0100_ATMAVIKAS_KE_LIE_SEVA_SADHANA_ANIVARY_xx1982&amp;product_id=665</v>
      </c>
      <c r="CE617" s="1" t="str">
        <f ca="1">IFERROR(__xludf.DUMMYFUNCTION("""COMPUTED_VALUE"""),"Audiobook : आत्मविकास के लिए सेवा साधना अनिवार्य : Rare Book : richasharma310575@gmail.com : Recorded")</f>
        <v>Audiobook : आत्मविकास के लिए सेवा साधना अनिवार्य : Rare Book : richasharma310575@gmail.com : Recorded</v>
      </c>
      <c r="CF617" s="1" t="str">
        <f ca="1">IFERROR(__xludf.DUMMYFUNCTION("""COMPUTED_VALUE"""),"Audiobook : आत्मविकास के लिए सेवा साधना अनिवार्य : Rare Book : richasharma310575@gmail.com : Recorded")</f>
        <v>Audiobook : आत्मविकास के लिए सेवा साधना अनिवार्य : Rare Book : richasharma310575@gmail.com : Recorded</v>
      </c>
      <c r="CG617" s="1" t="str">
        <f ca="1">IFERROR(__xludf.DUMMYFUNCTION("""COMPUTED_VALUE"""),"Adarniya Richa Sharma ji आत्मविकास के लिए सेवा साधना अनिवार्य : Rare Book : Allocated on 22-Nov-23 Contact Number  9479664049")</f>
        <v>Adarniya Richa Sharma ji आत्मविकास के लिए सेवा साधना अनिवार्य : Rare Book : Allocated on 22-Nov-23 Contact Number  9479664049</v>
      </c>
      <c r="CH617" s="1" t="str">
        <f ca="1">IFERROR(__xludf.DUMMYFUNCTION("""COMPUTED_VALUE"""),"richasharma310575@gmail.com : आत्मविकास के लिए सेवा साधना अनिवार्य : Rare Book")</f>
        <v>richasharma310575@gmail.com : आत्मविकास के लिए सेवा साधना अनिवार्य : Rare Book</v>
      </c>
      <c r="CI617" s="5">
        <f ca="1">IFERROR(__xludf.DUMMYFUNCTION("""COMPUTED_VALUE"""),45252.9412062847)</f>
        <v>45252.941206284697</v>
      </c>
    </row>
    <row r="618" spans="1:87" x14ac:dyDescent="0.25">
      <c r="A618" s="5">
        <f ca="1">IFERROR(__xludf.DUMMYFUNCTION("""COMPUTED_VALUE"""),45252.9113011111)</f>
        <v>45252.911301111097</v>
      </c>
      <c r="B618" s="1" t="str">
        <f ca="1">IFERROR(__xludf.DUMMYFUNCTION("""COMPUTED_VALUE"""),"purnima.bharadwaj.24@gmail.com")</f>
        <v>purnima.bharadwaj.24@gmail.com</v>
      </c>
      <c r="C618" s="1" t="str">
        <f ca="1">IFERROR(__xludf.DUMMYFUNCTION("""COMPUTED_VALUE"""),"पूर्णिमा भारद्वाज ")</f>
        <v xml:space="preserve">पूर्णिमा भारद्वाज </v>
      </c>
      <c r="D618" s="1">
        <f ca="1">IFERROR(__xludf.DUMMYFUNCTION("""COMPUTED_VALUE"""),9415389032)</f>
        <v>9415389032</v>
      </c>
      <c r="E618" s="1" t="str">
        <f ca="1">IFERROR(__xludf.DUMMYFUNCTION("""COMPUTED_VALUE"""),"Yes")</f>
        <v>Yes</v>
      </c>
      <c r="F618" s="1" t="str">
        <f ca="1">IFERROR(__xludf.DUMMYFUNCTION("""COMPUTED_VALUE"""),"हिन्दी")</f>
        <v>हिन्दी</v>
      </c>
      <c r="G618" s="1" t="str">
        <f ca="1">IFERROR(__xludf.DUMMYFUNCTION("""COMPUTED_VALUE"""),"युग द्रष्टा पं. श्रीराम शर्मा आचार्यजी")</f>
        <v>युग द्रष्टा पं. श्रीराम शर्मा आचार्यजी</v>
      </c>
      <c r="H618" s="1"/>
      <c r="I618" s="1"/>
      <c r="J618" s="1"/>
      <c r="K618" s="1"/>
      <c r="L618" s="1"/>
      <c r="M618" s="1"/>
      <c r="N618" s="1"/>
      <c r="O618" s="1"/>
      <c r="P618" s="1" t="str">
        <f ca="1">IFERROR(__xludf.DUMMYFUNCTION("""COMPUTED_VALUE"""),"युगॠषी की अमृतवाणी")</f>
        <v>युगॠषी की अमृतवाणी</v>
      </c>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f ca="1">IFERROR(__xludf.DUMMYFUNCTION("""COMPUTED_VALUE"""),43)</f>
        <v>43</v>
      </c>
      <c r="BX618" s="1">
        <f ca="1">IFERROR(__xludf.DUMMYFUNCTION("""COMPUTED_VALUE"""),36)</f>
        <v>36</v>
      </c>
      <c r="BY618" s="1">
        <f ca="1">IFERROR(__xludf.DUMMYFUNCTION("""COMPUTED_VALUE"""),9)</f>
        <v>9</v>
      </c>
      <c r="BZ618" s="1">
        <f ca="1">IFERROR(__xludf.DUMMYFUNCTION("""COMPUTED_VALUE"""),30)</f>
        <v>30</v>
      </c>
      <c r="CA618" s="1"/>
      <c r="CB618" s="1"/>
      <c r="CC618" s="1" t="str">
        <f ca="1">IFERROR(__xludf.DUMMYFUNCTION("""COMPUTED_VALUE"""),"मद्यपान असमय मृत्यु का कारण : H_VM_10")</f>
        <v>मद्यपान असमय मृत्यु का कारण : H_VM_10</v>
      </c>
      <c r="CD618" s="3" t="str">
        <f ca="1">IFERROR(__xludf.DUMMYFUNCTION("""COMPUTED_VALUE"""),"https://vicharkrantibooks.org/productdetail?book_name=HINP0462_MADYAPAN_ASAMAY_MRUTYU_KA_KARAN_xxyyyy&amp;product_id=1027")</f>
        <v>https://vicharkrantibooks.org/productdetail?book_name=HINP0462_MADYAPAN_ASAMAY_MRUTYU_KA_KARAN_xxyyyy&amp;product_id=1027</v>
      </c>
      <c r="CE618" s="1" t="str">
        <f ca="1">IFERROR(__xludf.DUMMYFUNCTION("""COMPUTED_VALUE"""),"Audiobook : मद्यपान असमय मृत्यु का कारण : H_VM_10 : purnima.bharadwaj.24@gmail.com : Recorded")</f>
        <v>Audiobook : मद्यपान असमय मृत्यु का कारण : H_VM_10 : purnima.bharadwaj.24@gmail.com : Recorded</v>
      </c>
      <c r="CF618" s="1" t="str">
        <f ca="1">IFERROR(__xludf.DUMMYFUNCTION("""COMPUTED_VALUE"""),"Audiobook : मद्यपान असमय मृत्यु का कारण : H_VM_10 : purnima.bharadwaj.24@gmail.com : Recorded")</f>
        <v>Audiobook : मद्यपान असमय मृत्यु का कारण : H_VM_10 : purnima.bharadwaj.24@gmail.com : Recorded</v>
      </c>
      <c r="CG618" s="1" t="str">
        <f ca="1">IFERROR(__xludf.DUMMYFUNCTION("""COMPUTED_VALUE"""),"Adarniya पूर्णिमा भारद्वाज  ji मद्यपान असमय मृत्यु का कारण : H_VM_10 : Allocated on 22-Nov-23 Contact Number  9415389032")</f>
        <v>Adarniya पूर्णिमा भारद्वाज  ji मद्यपान असमय मृत्यु का कारण : H_VM_10 : Allocated on 22-Nov-23 Contact Number  9415389032</v>
      </c>
      <c r="CH618" s="1" t="str">
        <f ca="1">IFERROR(__xludf.DUMMYFUNCTION("""COMPUTED_VALUE"""),"purnima.bharadwaj.24@gmail.com : मद्यपान असमय मृत्यु का कारण : H_VM_10")</f>
        <v>purnima.bharadwaj.24@gmail.com : मद्यपान असमय मृत्यु का कारण : H_VM_10</v>
      </c>
      <c r="CI618" s="5">
        <f ca="1">IFERROR(__xludf.DUMMYFUNCTION("""COMPUTED_VALUE"""),45252.9113011111)</f>
        <v>45252.911301111097</v>
      </c>
    </row>
    <row r="619" spans="1:87" x14ac:dyDescent="0.25">
      <c r="A619" s="5">
        <f ca="1">IFERROR(__xludf.DUMMYFUNCTION("""COMPUTED_VALUE"""),45252.5416830092)</f>
        <v>45252.5416830092</v>
      </c>
      <c r="B619" s="1" t="str">
        <f ca="1">IFERROR(__xludf.DUMMYFUNCTION("""COMPUTED_VALUE"""),"jamunashukla17@gmail.com")</f>
        <v>jamunashukla17@gmail.com</v>
      </c>
      <c r="C619" s="1" t="str">
        <f ca="1">IFERROR(__xludf.DUMMYFUNCTION("""COMPUTED_VALUE"""),"Smt J S Shukla ")</f>
        <v xml:space="preserve">Smt J S Shukla </v>
      </c>
      <c r="D619" s="1">
        <f ca="1">IFERROR(__xludf.DUMMYFUNCTION("""COMPUTED_VALUE"""),8390353167)</f>
        <v>8390353167</v>
      </c>
      <c r="E619" s="1" t="str">
        <f ca="1">IFERROR(__xludf.DUMMYFUNCTION("""COMPUTED_VALUE"""),"Yes")</f>
        <v>Yes</v>
      </c>
      <c r="F619" s="1" t="str">
        <f ca="1">IFERROR(__xludf.DUMMYFUNCTION("""COMPUTED_VALUE"""),"हिन्दी")</f>
        <v>हिन्दी</v>
      </c>
      <c r="G619" s="1" t="str">
        <f ca="1">IFERROR(__xludf.DUMMYFUNCTION("""COMPUTED_VALUE"""),"अध्यात्म, धर्म एवं दर्शन")</f>
        <v>अध्यात्म, धर्म एवं दर्शन</v>
      </c>
      <c r="H619" s="1" t="str">
        <f ca="1">IFERROR(__xludf.DUMMYFUNCTION("""COMPUTED_VALUE"""),"अध्यात्म, धर्म एवं आस्तिकता")</f>
        <v>अध्यात्म, धर्म एवं आस्तिकता</v>
      </c>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f ca="1">IFERROR(__xludf.DUMMYFUNCTION("""COMPUTED_VALUE"""),53)</f>
        <v>53</v>
      </c>
      <c r="BX619" s="1">
        <f ca="1">IFERROR(__xludf.DUMMYFUNCTION("""COMPUTED_VALUE"""),53)</f>
        <v>53</v>
      </c>
      <c r="BY619" s="1">
        <f ca="1">IFERROR(__xludf.DUMMYFUNCTION("""COMPUTED_VALUE"""),9)</f>
        <v>9</v>
      </c>
      <c r="BZ619" s="1">
        <f ca="1">IFERROR(__xludf.DUMMYFUNCTION("""COMPUTED_VALUE"""),25)</f>
        <v>25</v>
      </c>
      <c r="CA619" s="1"/>
      <c r="CB619" s="1"/>
      <c r="CC619" s="1" t="str">
        <f ca="1">IFERROR(__xludf.DUMMYFUNCTION("""COMPUTED_VALUE"""),"भगवान के अनुदान किन शर्तो पर : H_JS_82")</f>
        <v>भगवान के अनुदान किन शर्तो पर : H_JS_82</v>
      </c>
      <c r="CD619" s="3" t="str">
        <f ca="1">IFERROR(__xludf.DUMMYFUNCTION("""COMPUTED_VALUE"""),"https://vicharkrantibooks.org/productdetail?book_name=HINP0139_BHAGAVAN_KE_ANUDAN_KIN_SHARTO_PAR_xx2011&amp;product_id=704")</f>
        <v>https://vicharkrantibooks.org/productdetail?book_name=HINP0139_BHAGAVAN_KE_ANUDAN_KIN_SHARTO_PAR_xx2011&amp;product_id=704</v>
      </c>
      <c r="CE619" s="1" t="str">
        <f ca="1">IFERROR(__xludf.DUMMYFUNCTION("""COMPUTED_VALUE"""),"Audiobook : भगवान के अनुदान किन शर्तो पर : H_JS_82 : jamunashukla17@gmail.com : Recorded")</f>
        <v>Audiobook : भगवान के अनुदान किन शर्तो पर : H_JS_82 : jamunashukla17@gmail.com : Recorded</v>
      </c>
      <c r="CF619" s="1" t="str">
        <f ca="1">IFERROR(__xludf.DUMMYFUNCTION("""COMPUTED_VALUE"""),"Audiobook : भगवान के अनुदान किन शर्तो पर : H_JS_82 : jamunashukla17@gmail.com : Recorded")</f>
        <v>Audiobook : भगवान के अनुदान किन शर्तो पर : H_JS_82 : jamunashukla17@gmail.com : Recorded</v>
      </c>
      <c r="CG619" s="1" t="str">
        <f ca="1">IFERROR(__xludf.DUMMYFUNCTION("""COMPUTED_VALUE"""),"Adarniya Smt J S Shukla  ji भगवान के अनुदान किन शर्तो पर : H_JS_82 : Allocated on 22-Nov-23 Contact Number  8390353167")</f>
        <v>Adarniya Smt J S Shukla  ji भगवान के अनुदान किन शर्तो पर : H_JS_82 : Allocated on 22-Nov-23 Contact Number  8390353167</v>
      </c>
      <c r="CH619" s="1" t="str">
        <f ca="1">IFERROR(__xludf.DUMMYFUNCTION("""COMPUTED_VALUE"""),"jamunashukla17@gmail.com : भगवान के अनुदान किन शर्तो पर : H_JS_82")</f>
        <v>jamunashukla17@gmail.com : भगवान के अनुदान किन शर्तो पर : H_JS_82</v>
      </c>
      <c r="CI619" s="5">
        <f ca="1">IFERROR(__xludf.DUMMYFUNCTION("""COMPUTED_VALUE"""),45252.5416830092)</f>
        <v>45252.5416830092</v>
      </c>
    </row>
    <row r="620" spans="1:87" x14ac:dyDescent="0.25">
      <c r="A620" s="5">
        <f ca="1">IFERROR(__xludf.DUMMYFUNCTION("""COMPUTED_VALUE"""),45251.6479189351)</f>
        <v>45251.647918935101</v>
      </c>
      <c r="B620" s="1" t="str">
        <f ca="1">IFERROR(__xludf.DUMMYFUNCTION("""COMPUTED_VALUE"""),"rbbansalriya@gmail.com")</f>
        <v>rbbansalriya@gmail.com</v>
      </c>
      <c r="C620" s="1" t="str">
        <f ca="1">IFERROR(__xludf.DUMMYFUNCTION("""COMPUTED_VALUE"""),"Riya bansal ")</f>
        <v xml:space="preserve">Riya bansal </v>
      </c>
      <c r="D620" s="1">
        <f ca="1">IFERROR(__xludf.DUMMYFUNCTION("""COMPUTED_VALUE"""),9176361023)</f>
        <v>9176361023</v>
      </c>
      <c r="E620" s="1" t="str">
        <f ca="1">IFERROR(__xludf.DUMMYFUNCTION("""COMPUTED_VALUE"""),"Yes")</f>
        <v>Yes</v>
      </c>
      <c r="F620" s="1" t="str">
        <f ca="1">IFERROR(__xludf.DUMMYFUNCTION("""COMPUTED_VALUE"""),"हिन्दी")</f>
        <v>हिन्दी</v>
      </c>
      <c r="G620" s="1" t="str">
        <f ca="1">IFERROR(__xludf.DUMMYFUNCTION("""COMPUTED_VALUE"""),"राष्ट्र निर्माण")</f>
        <v>राष्ट्र निर्माण</v>
      </c>
      <c r="H620" s="1"/>
      <c r="I620" s="1"/>
      <c r="J620" s="1"/>
      <c r="K620" s="1"/>
      <c r="L620" s="1"/>
      <c r="M620" s="1"/>
      <c r="N620" s="1"/>
      <c r="O620" s="1"/>
      <c r="P620" s="1"/>
      <c r="Q620" s="1"/>
      <c r="R620" s="1" t="str">
        <f ca="1">IFERROR(__xludf.DUMMYFUNCTION("""COMPUTED_VALUE"""),"सार्थक एवं समग्र शिक्षा")</f>
        <v>सार्थक एवं समग्र शिक्षा</v>
      </c>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f ca="1">IFERROR(__xludf.DUMMYFUNCTION("""COMPUTED_VALUE"""),54)</f>
        <v>54</v>
      </c>
      <c r="BX620" s="1">
        <f ca="1">IFERROR(__xludf.DUMMYFUNCTION("""COMPUTED_VALUE"""),55)</f>
        <v>55</v>
      </c>
      <c r="BY620" s="1">
        <f ca="1">IFERROR(__xludf.DUMMYFUNCTION("""COMPUTED_VALUE"""),9)</f>
        <v>9</v>
      </c>
      <c r="BZ620" s="1">
        <f ca="1">IFERROR(__xludf.DUMMYFUNCTION("""COMPUTED_VALUE"""),43)</f>
        <v>43</v>
      </c>
      <c r="CA620" s="1"/>
      <c r="CB620" s="1"/>
      <c r="CC620" s="1" t="str">
        <f ca="1">IFERROR(__xludf.DUMMYFUNCTION("""COMPUTED_VALUE"""),"बिना मोल आफत दुर्व्यसन : H_SC_12")</f>
        <v>बिना मोल आफत दुर्व्यसन : H_SC_12</v>
      </c>
      <c r="CD620" s="3" t="str">
        <f ca="1">IFERROR(__xludf.DUMMYFUNCTION("""COMPUTED_VALUE"""),"https://vicharkrantibooks.org/productdetail?book_name=HINP0174_BINA_MOL_APHAT_DURVYASAN_xxyyyy&amp;product_id=739")</f>
        <v>https://vicharkrantibooks.org/productdetail?book_name=HINP0174_BINA_MOL_APHAT_DURVYASAN_xxyyyy&amp;product_id=739</v>
      </c>
      <c r="CE620" s="1" t="str">
        <f ca="1">IFERROR(__xludf.DUMMYFUNCTION("""COMPUTED_VALUE"""),"Audiobook : बिना मोल आफत दुर्व्यसन : H_SC_12 : rbbansalriya@gmail.com : Recorded")</f>
        <v>Audiobook : बिना मोल आफत दुर्व्यसन : H_SC_12 : rbbansalriya@gmail.com : Recorded</v>
      </c>
      <c r="CF620" s="1" t="str">
        <f ca="1">IFERROR(__xludf.DUMMYFUNCTION("""COMPUTED_VALUE"""),"Audiobook : बिना मोल आफत दुर्व्यसन : H_SC_12 : rbbansalriya@gmail.com : Recorded")</f>
        <v>Audiobook : बिना मोल आफत दुर्व्यसन : H_SC_12 : rbbansalriya@gmail.com : Recorded</v>
      </c>
      <c r="CG620" s="1" t="str">
        <f ca="1">IFERROR(__xludf.DUMMYFUNCTION("""COMPUTED_VALUE"""),"Adarniya Riya bansal  ji बिना मोल आफत दुर्व्यसन : H_SC_12 : Allocated on 21-Nov-23 Contact Number  9176361023")</f>
        <v>Adarniya Riya bansal  ji बिना मोल आफत दुर्व्यसन : H_SC_12 : Allocated on 21-Nov-23 Contact Number  9176361023</v>
      </c>
      <c r="CH620" s="1" t="str">
        <f ca="1">IFERROR(__xludf.DUMMYFUNCTION("""COMPUTED_VALUE"""),"rbbansalriya@gmail.com : बिना मोल आफत दुर्व्यसन : H_SC_12")</f>
        <v>rbbansalriya@gmail.com : बिना मोल आफत दुर्व्यसन : H_SC_12</v>
      </c>
      <c r="CI620" s="5">
        <f ca="1">IFERROR(__xludf.DUMMYFUNCTION("""COMPUTED_VALUE"""),45251.6479189351)</f>
        <v>45251.647918935101</v>
      </c>
    </row>
    <row r="621" spans="1:87" x14ac:dyDescent="0.25">
      <c r="A621" s="5">
        <f ca="1">IFERROR(__xludf.DUMMYFUNCTION("""COMPUTED_VALUE"""),45251.423537905)</f>
        <v>45251.423537905001</v>
      </c>
      <c r="B621" s="1" t="str">
        <f ca="1">IFERROR(__xludf.DUMMYFUNCTION("""COMPUTED_VALUE"""),"saratkar.awgp@gmail.com")</f>
        <v>saratkar.awgp@gmail.com</v>
      </c>
      <c r="C621" s="1" t="str">
        <f ca="1">IFERROR(__xludf.DUMMYFUNCTION("""COMPUTED_VALUE"""),"Beniram Saratkar ")</f>
        <v xml:space="preserve">Beniram Saratkar </v>
      </c>
      <c r="D621" s="1" t="str">
        <f ca="1">IFERROR(__xludf.DUMMYFUNCTION("""COMPUTED_VALUE"""),"+917218896169")</f>
        <v>+917218896169</v>
      </c>
      <c r="E621" s="1" t="str">
        <f ca="1">IFERROR(__xludf.DUMMYFUNCTION("""COMPUTED_VALUE"""),"Yes")</f>
        <v>Yes</v>
      </c>
      <c r="F621" s="1" t="str">
        <f ca="1">IFERROR(__xludf.DUMMYFUNCTION("""COMPUTED_VALUE"""),"हिन्दी")</f>
        <v>हिन्दी</v>
      </c>
      <c r="G621" s="1" t="str">
        <f ca="1">IFERROR(__xludf.DUMMYFUNCTION("""COMPUTED_VALUE"""),"व्यक्ति निर्माण, युवा/विद्यार्थी एवं शिक्षक")</f>
        <v>व्यक्ति निर्माण, युवा/विद्यार्थी एवं शिक्षक</v>
      </c>
      <c r="H621" s="1"/>
      <c r="I621" s="1"/>
      <c r="J621" s="1"/>
      <c r="K621" s="1"/>
      <c r="L621" s="1"/>
      <c r="M621" s="1"/>
      <c r="N621" s="1"/>
      <c r="O621" s="1"/>
      <c r="P621" s="1"/>
      <c r="Q621" s="1"/>
      <c r="R621" s="1"/>
      <c r="S621" s="1"/>
      <c r="T621" s="1" t="str">
        <f ca="1">IFERROR(__xludf.DUMMYFUNCTION("""COMPUTED_VALUE"""),"विद्यार्थी एवं शिक्षक")</f>
        <v>विद्यार्थी एवं शिक्षक</v>
      </c>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f ca="1">IFERROR(__xludf.DUMMYFUNCTION("""COMPUTED_VALUE"""),5)</f>
        <v>5</v>
      </c>
      <c r="BX621" s="1">
        <f ca="1">IFERROR(__xludf.DUMMYFUNCTION("""COMPUTED_VALUE"""),2)</f>
        <v>2</v>
      </c>
      <c r="BY621" s="1">
        <f ca="1">IFERROR(__xludf.DUMMYFUNCTION("""COMPUTED_VALUE"""),3)</f>
        <v>3</v>
      </c>
      <c r="BZ621" s="1">
        <f ca="1">IFERROR(__xludf.DUMMYFUNCTION("""COMPUTED_VALUE"""),2)</f>
        <v>2</v>
      </c>
      <c r="CA621" s="1"/>
      <c r="CB621" s="1"/>
      <c r="CC621" s="1" t="str">
        <f ca="1">IFERROR(__xludf.DUMMYFUNCTION("""COMPUTED_VALUE"""),"आज की महती आवश्यकता लोक नेतृत्व : Rare Book")</f>
        <v>आज की महती आवश्यकता लोक नेतृत्व : Rare Book</v>
      </c>
      <c r="CD621" s="3" t="str">
        <f ca="1">IFERROR(__xludf.DUMMYFUNCTION("""COMPUTED_VALUE"""),"https://vicharkrantibooks.org/productdetail?book_name=HINF0024_AJ_KI_MAHATI_AVASHYAKATA_LOK_NETRUTV_xxyyyy&amp;product_id=244")</f>
        <v>https://vicharkrantibooks.org/productdetail?book_name=HINF0024_AJ_KI_MAHATI_AVASHYAKATA_LOK_NETRUTV_xxyyyy&amp;product_id=244</v>
      </c>
      <c r="CE621" s="1" t="str">
        <f ca="1">IFERROR(__xludf.DUMMYFUNCTION("""COMPUTED_VALUE"""),"Audiobook : आज की महती आवश्यकता लोक नेतृत्व : Rare Book : saratkar.awgp@gmail.com : Recorded")</f>
        <v>Audiobook : आज की महती आवश्यकता लोक नेतृत्व : Rare Book : saratkar.awgp@gmail.com : Recorded</v>
      </c>
      <c r="CF621" s="1" t="str">
        <f ca="1">IFERROR(__xludf.DUMMYFUNCTION("""COMPUTED_VALUE"""),"Audiobook : आज की महती आवश्यकता लोक नेतृत्व : Rare Book : saratkar.awgp@gmail.com : Recorded")</f>
        <v>Audiobook : आज की महती आवश्यकता लोक नेतृत्व : Rare Book : saratkar.awgp@gmail.com : Recorded</v>
      </c>
      <c r="CG621" s="1" t="str">
        <f ca="1">IFERROR(__xludf.DUMMYFUNCTION("""COMPUTED_VALUE"""),"Adarniya Beniram Saratkar  ji आज की महती आवश्यकता लोक नेतृत्व : Rare Book : Allocated on 21-Nov-23 Contact Number  +917218896169")</f>
        <v>Adarniya Beniram Saratkar  ji आज की महती आवश्यकता लोक नेतृत्व : Rare Book : Allocated on 21-Nov-23 Contact Number  +917218896169</v>
      </c>
      <c r="CH621" s="1" t="str">
        <f ca="1">IFERROR(__xludf.DUMMYFUNCTION("""COMPUTED_VALUE"""),"saratkar.awgp@gmail.com : आज की महती आवश्यकता लोक नेतृत्व : Rare Book")</f>
        <v>saratkar.awgp@gmail.com : आज की महती आवश्यकता लोक नेतृत्व : Rare Book</v>
      </c>
      <c r="CI621" s="5">
        <f ca="1">IFERROR(__xludf.DUMMYFUNCTION("""COMPUTED_VALUE"""),45251.423537905)</f>
        <v>45251.423537905001</v>
      </c>
    </row>
    <row r="622" spans="1:87" x14ac:dyDescent="0.25">
      <c r="A622" s="5">
        <f ca="1">IFERROR(__xludf.DUMMYFUNCTION("""COMPUTED_VALUE"""),45249.4383207523)</f>
        <v>45249.438320752299</v>
      </c>
      <c r="B622" s="1" t="str">
        <f ca="1">IFERROR(__xludf.DUMMYFUNCTION("""COMPUTED_VALUE"""),"purnima.bharadwaj.24@gmail.com")</f>
        <v>purnima.bharadwaj.24@gmail.com</v>
      </c>
      <c r="C622" s="1" t="str">
        <f ca="1">IFERROR(__xludf.DUMMYFUNCTION("""COMPUTED_VALUE"""),"पूर्णिमा भारद्वाज ")</f>
        <v xml:space="preserve">पूर्णिमा भारद्वाज </v>
      </c>
      <c r="D622" s="1">
        <f ca="1">IFERROR(__xludf.DUMMYFUNCTION("""COMPUTED_VALUE"""),9415389032)</f>
        <v>9415389032</v>
      </c>
      <c r="E622" s="1" t="str">
        <f ca="1">IFERROR(__xludf.DUMMYFUNCTION("""COMPUTED_VALUE"""),"Yes")</f>
        <v>Yes</v>
      </c>
      <c r="F622" s="1" t="str">
        <f ca="1">IFERROR(__xludf.DUMMYFUNCTION("""COMPUTED_VALUE"""),"हिन्दी")</f>
        <v>हिन्दी</v>
      </c>
      <c r="G622" s="1" t="str">
        <f ca="1">IFERROR(__xludf.DUMMYFUNCTION("""COMPUTED_VALUE"""),"युग द्रष्टा पं. श्रीराम शर्मा आचार्यजी")</f>
        <v>युग द्रष्टा पं. श्रीराम शर्मा आचार्यजी</v>
      </c>
      <c r="H622" s="1"/>
      <c r="I622" s="1"/>
      <c r="J622" s="1"/>
      <c r="K622" s="1"/>
      <c r="L622" s="1"/>
      <c r="M622" s="1"/>
      <c r="N622" s="1"/>
      <c r="O622" s="1"/>
      <c r="P622" s="1" t="str">
        <f ca="1">IFERROR(__xludf.DUMMYFUNCTION("""COMPUTED_VALUE"""),"युगॠषी की अमृतवाणी")</f>
        <v>युगॠषी की अमृतवाणी</v>
      </c>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f ca="1">IFERROR(__xludf.DUMMYFUNCTION("""COMPUTED_VALUE"""),43)</f>
        <v>43</v>
      </c>
      <c r="BX622" s="1">
        <f ca="1">IFERROR(__xludf.DUMMYFUNCTION("""COMPUTED_VALUE"""),36)</f>
        <v>36</v>
      </c>
      <c r="BY622" s="1">
        <f ca="1">IFERROR(__xludf.DUMMYFUNCTION("""COMPUTED_VALUE"""),9)</f>
        <v>9</v>
      </c>
      <c r="BZ622" s="1">
        <f ca="1">IFERROR(__xludf.DUMMYFUNCTION("""COMPUTED_VALUE"""),30)</f>
        <v>30</v>
      </c>
      <c r="CA622" s="1"/>
      <c r="CB622" s="1"/>
      <c r="CC622" s="1" t="str">
        <f ca="1">IFERROR(__xludf.DUMMYFUNCTION("""COMPUTED_VALUE"""),"युग मनीषा का नियोजन युग धर्म में : Rare Book")</f>
        <v>युग मनीषा का नियोजन युग धर्म में : Rare Book</v>
      </c>
      <c r="CD622" s="3" t="str">
        <f ca="1">IFERROR(__xludf.DUMMYFUNCTION("""COMPUTED_VALUE"""),"https://vicharkrantibooks.org/productdetail?book_name=HINP1036_YUG_MANISHA_KA_NIYOJAN_YUG_DHARM_MEIN_xxyyyy&amp;product_id=1601")</f>
        <v>https://vicharkrantibooks.org/productdetail?book_name=HINP1036_YUG_MANISHA_KA_NIYOJAN_YUG_DHARM_MEIN_xxyyyy&amp;product_id=1601</v>
      </c>
      <c r="CE622" s="1" t="str">
        <f ca="1">IFERROR(__xludf.DUMMYFUNCTION("""COMPUTED_VALUE"""),"Audiobook : युग मनीषा का नियोजन युग धर्म में : Rare Book : purnima.bharadwaj.24@gmail.com : Recorded")</f>
        <v>Audiobook : युग मनीषा का नियोजन युग धर्म में : Rare Book : purnima.bharadwaj.24@gmail.com : Recorded</v>
      </c>
      <c r="CF622" s="1" t="str">
        <f ca="1">IFERROR(__xludf.DUMMYFUNCTION("""COMPUTED_VALUE"""),"#N/A")</f>
        <v>#N/A</v>
      </c>
      <c r="CG622" s="1" t="str">
        <f ca="1">IFERROR(__xludf.DUMMYFUNCTION("""COMPUTED_VALUE"""),"Adarniya पूर्णिमा भारद्वाज  ji युग मनीषा का नियोजन युग धर्म में : Rare Book : Allocated on 19-Nov-23 Contact Number  9415389032")</f>
        <v>Adarniya पूर्णिमा भारद्वाज  ji युग मनीषा का नियोजन युग धर्म में : Rare Book : Allocated on 19-Nov-23 Contact Number  9415389032</v>
      </c>
      <c r="CH622" s="1" t="str">
        <f ca="1">IFERROR(__xludf.DUMMYFUNCTION("""COMPUTED_VALUE"""),"purnima.bharadwaj.24@gmail.com : युग मनीषा का नियोजन युग धर्म में : Rare Book")</f>
        <v>purnima.bharadwaj.24@gmail.com : युग मनीषा का नियोजन युग धर्म में : Rare Book</v>
      </c>
      <c r="CI622" s="5">
        <f ca="1">IFERROR(__xludf.DUMMYFUNCTION("""COMPUTED_VALUE"""),45249.4383207523)</f>
        <v>45249.438320752299</v>
      </c>
    </row>
    <row r="623" spans="1:87" x14ac:dyDescent="0.25">
      <c r="A623" s="5">
        <f ca="1">IFERROR(__xludf.DUMMYFUNCTION("""COMPUTED_VALUE"""),45248.0752571064)</f>
        <v>45248.0752571064</v>
      </c>
      <c r="B623" s="1" t="str">
        <f ca="1">IFERROR(__xludf.DUMMYFUNCTION("""COMPUTED_VALUE"""),"sunitaster@gmail.com")</f>
        <v>sunitaster@gmail.com</v>
      </c>
      <c r="C623" s="1" t="str">
        <f ca="1">IFERROR(__xludf.DUMMYFUNCTION("""COMPUTED_VALUE"""),"Sunita Gupta")</f>
        <v>Sunita Gupta</v>
      </c>
      <c r="D623" s="1">
        <f ca="1">IFERROR(__xludf.DUMMYFUNCTION("""COMPUTED_VALUE"""),6318822791)</f>
        <v>6318822791</v>
      </c>
      <c r="E623" s="1" t="str">
        <f ca="1">IFERROR(__xludf.DUMMYFUNCTION("""COMPUTED_VALUE"""),"Yes")</f>
        <v>Yes</v>
      </c>
      <c r="F623" s="1" t="str">
        <f ca="1">IFERROR(__xludf.DUMMYFUNCTION("""COMPUTED_VALUE"""),"हिन्दी")</f>
        <v>हिन्दी</v>
      </c>
      <c r="G623" s="1" t="str">
        <f ca="1">IFERROR(__xludf.DUMMYFUNCTION("""COMPUTED_VALUE"""),"अध्यात्म, धर्म एवं दर्शन")</f>
        <v>अध्यात्म, धर्म एवं दर्शन</v>
      </c>
      <c r="H623" s="1" t="str">
        <f ca="1">IFERROR(__xludf.DUMMYFUNCTION("""COMPUTED_VALUE"""),"आत्मज्ञान एवं आत्मनिर्माण")</f>
        <v>आत्मज्ञान एवं आत्मनिर्माण</v>
      </c>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f ca="1">IFERROR(__xludf.DUMMYFUNCTION("""COMPUTED_VALUE"""),5)</f>
        <v>5</v>
      </c>
      <c r="BX623" s="1">
        <f ca="1">IFERROR(__xludf.DUMMYFUNCTION("""COMPUTED_VALUE"""),1)</f>
        <v>1</v>
      </c>
      <c r="BY623" s="1">
        <f ca="1">IFERROR(__xludf.DUMMYFUNCTION("""COMPUTED_VALUE"""),4)</f>
        <v>4</v>
      </c>
      <c r="BZ623" s="1">
        <f ca="1">IFERROR(__xludf.DUMMYFUNCTION("""COMPUTED_VALUE"""),0)</f>
        <v>0</v>
      </c>
      <c r="CA623" s="1"/>
      <c r="CB623" s="1"/>
      <c r="CC623" s="1" t="str">
        <f ca="1">IFERROR(__xludf.DUMMYFUNCTION("""COMPUTED_VALUE"""),"अन्तराल के परिशोधन की प्रायश्चित प्रक्रिया : Rare Book")</f>
        <v>अन्तराल के परिशोधन की प्रायश्चित प्रक्रिया : Rare Book</v>
      </c>
      <c r="CD623" s="3" t="str">
        <f ca="1">IFERROR(__xludf.DUMMYFUNCTION("""COMPUTED_VALUE"""),"https://vicharkrantibooks.org/productdetail?book_name=HINF0028_ANTARAL_KE_PARISHODHAN_KI_PRAYASHCHIT_PRAKRIYA_xxyyyy&amp;product_id=248")</f>
        <v>https://vicharkrantibooks.org/productdetail?book_name=HINF0028_ANTARAL_KE_PARISHODHAN_KI_PRAYASHCHIT_PRAKRIYA_xxyyyy&amp;product_id=248</v>
      </c>
      <c r="CE623" s="1" t="str">
        <f ca="1">IFERROR(__xludf.DUMMYFUNCTION("""COMPUTED_VALUE"""),"Audiobook : अन्तराल के परिशोधन की प्रायश्चित प्रक्रिया : Rare Book : sunitaster@gmail.com : Recorded")</f>
        <v>Audiobook : अन्तराल के परिशोधन की प्रायश्चित प्रक्रिया : Rare Book : sunitaster@gmail.com : Recorded</v>
      </c>
      <c r="CF623" s="1" t="str">
        <f ca="1">IFERROR(__xludf.DUMMYFUNCTION("""COMPUTED_VALUE"""),"Audiobook : अन्तराल के परिशोधन की प्रायश्चित प्रक्रिया : Rare Book : sunitaster@gmail.com : Recorded")</f>
        <v>Audiobook : अन्तराल के परिशोधन की प्रायश्चित प्रक्रिया : Rare Book : sunitaster@gmail.com : Recorded</v>
      </c>
      <c r="CG623" s="1" t="str">
        <f ca="1">IFERROR(__xludf.DUMMYFUNCTION("""COMPUTED_VALUE"""),"Adarniya Sunita Gupta ji अन्तराल के परिशोधन की प्रायश्चित प्रक्रिया : Rare Book : Allocated on 18-Nov-23 Contact Number  6318822791")</f>
        <v>Adarniya Sunita Gupta ji अन्तराल के परिशोधन की प्रायश्चित प्रक्रिया : Rare Book : Allocated on 18-Nov-23 Contact Number  6318822791</v>
      </c>
      <c r="CH623" s="1" t="str">
        <f ca="1">IFERROR(__xludf.DUMMYFUNCTION("""COMPUTED_VALUE"""),"sunitaster@gmail.com : अन्तराल के परिशोधन की प्रायश्चित प्रक्रिया : Rare Book")</f>
        <v>sunitaster@gmail.com : अन्तराल के परिशोधन की प्रायश्चित प्रक्रिया : Rare Book</v>
      </c>
      <c r="CI623" s="5">
        <f ca="1">IFERROR(__xludf.DUMMYFUNCTION("""COMPUTED_VALUE"""),45248.0752571064)</f>
        <v>45248.0752571064</v>
      </c>
    </row>
    <row r="624" spans="1:87" x14ac:dyDescent="0.25">
      <c r="A624" s="5">
        <f ca="1">IFERROR(__xludf.DUMMYFUNCTION("""COMPUTED_VALUE"""),45247.8967707986)</f>
        <v>45247.896770798601</v>
      </c>
      <c r="B624" s="1" t="str">
        <f ca="1">IFERROR(__xludf.DUMMYFUNCTION("""COMPUTED_VALUE"""),"csprasad108@gmail.com")</f>
        <v>csprasad108@gmail.com</v>
      </c>
      <c r="C624" s="1" t="str">
        <f ca="1">IFERROR(__xludf.DUMMYFUNCTION("""COMPUTED_VALUE"""),"Kumkum prasad")</f>
        <v>Kumkum prasad</v>
      </c>
      <c r="D624" s="1">
        <f ca="1">IFERROR(__xludf.DUMMYFUNCTION("""COMPUTED_VALUE"""),7978055621)</f>
        <v>7978055621</v>
      </c>
      <c r="E624" s="1"/>
      <c r="F624" s="1" t="str">
        <f ca="1">IFERROR(__xludf.DUMMYFUNCTION("""COMPUTED_VALUE"""),"हिन्दी")</f>
        <v>हिन्दी</v>
      </c>
      <c r="G624" s="1" t="str">
        <f ca="1">IFERROR(__xludf.DUMMYFUNCTION("""COMPUTED_VALUE"""),"अध्यात्म, धर्म एवं दर्शन")</f>
        <v>अध्यात्म, धर्म एवं दर्शन</v>
      </c>
      <c r="H624" s="1" t="str">
        <f ca="1">IFERROR(__xludf.DUMMYFUNCTION("""COMPUTED_VALUE"""),"अध्यात्म, धर्म एवं आस्तिकता")</f>
        <v>अध्यात्म, धर्म एवं आस्तिकता</v>
      </c>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f ca="1">IFERROR(__xludf.DUMMYFUNCTION("""COMPUTED_VALUE"""),52)</f>
        <v>52</v>
      </c>
      <c r="BX624" s="1">
        <f ca="1">IFERROR(__xludf.DUMMYFUNCTION("""COMPUTED_VALUE"""),54)</f>
        <v>54</v>
      </c>
      <c r="BY624" s="1">
        <f ca="1">IFERROR(__xludf.DUMMYFUNCTION("""COMPUTED_VALUE"""),3)</f>
        <v>3</v>
      </c>
      <c r="BZ624" s="1">
        <f ca="1">IFERROR(__xludf.DUMMYFUNCTION("""COMPUTED_VALUE"""),24)</f>
        <v>24</v>
      </c>
      <c r="CA624" s="1"/>
      <c r="CB624" s="1"/>
      <c r="CC624" s="1" t="str">
        <f ca="1">IFERROR(__xludf.DUMMYFUNCTION("""COMPUTED_VALUE"""),"भगवान की पूँजी में हिस्सेदार बनें : H_JS_34")</f>
        <v>भगवान की पूँजी में हिस्सेदार बनें : H_JS_34</v>
      </c>
      <c r="CD624" s="3" t="str">
        <f ca="1">IFERROR(__xludf.DUMMYFUNCTION("""COMPUTED_VALUE"""),"https://vicharkrantibooks.org/productdetail?book_name=HINP0140_BHAGAVAN_KI_PUNJI_MEIN_HISSEDAR_BANEN_xx2011&amp;product_id=705")</f>
        <v>https://vicharkrantibooks.org/productdetail?book_name=HINP0140_BHAGAVAN_KI_PUNJI_MEIN_HISSEDAR_BANEN_xx2011&amp;product_id=705</v>
      </c>
      <c r="CE624" s="1" t="str">
        <f ca="1">IFERROR(__xludf.DUMMYFUNCTION("""COMPUTED_VALUE"""),"Audiobook : भगवान की पूँजी में हिस्सेदार बनें : H_JS_34 : csprasad108@gmail.com : Recorded")</f>
        <v>Audiobook : भगवान की पूँजी में हिस्सेदार बनें : H_JS_34 : csprasad108@gmail.com : Recorded</v>
      </c>
      <c r="CF624" s="1" t="str">
        <f ca="1">IFERROR(__xludf.DUMMYFUNCTION("""COMPUTED_VALUE"""),"Audiobook : भगवान की पूँजी में हिस्सेदार बनें : H_JS_34 : csprasad108@gmail.com : Recorded")</f>
        <v>Audiobook : भगवान की पूँजी में हिस्सेदार बनें : H_JS_34 : csprasad108@gmail.com : Recorded</v>
      </c>
      <c r="CG624" s="1" t="str">
        <f ca="1">IFERROR(__xludf.DUMMYFUNCTION("""COMPUTED_VALUE"""),"Adarniya Kumkum prasad ji भगवान की पूँजी में हिस्सेदार बनें : H_JS_34 : Allocated on 17-Nov-23 Contact Number  7978055621")</f>
        <v>Adarniya Kumkum prasad ji भगवान की पूँजी में हिस्सेदार बनें : H_JS_34 : Allocated on 17-Nov-23 Contact Number  7978055621</v>
      </c>
      <c r="CH624" s="1" t="str">
        <f ca="1">IFERROR(__xludf.DUMMYFUNCTION("""COMPUTED_VALUE"""),"csprasad108@gmail.com : भगवान की पूँजी में हिस्सेदार बनें : H_JS_34")</f>
        <v>csprasad108@gmail.com : भगवान की पूँजी में हिस्सेदार बनें : H_JS_34</v>
      </c>
      <c r="CI624" s="5">
        <f ca="1">IFERROR(__xludf.DUMMYFUNCTION("""COMPUTED_VALUE"""),45247.8967707986)</f>
        <v>45247.896770798601</v>
      </c>
    </row>
    <row r="625" spans="1:87" x14ac:dyDescent="0.25">
      <c r="A625" s="5">
        <f ca="1">IFERROR(__xludf.DUMMYFUNCTION("""COMPUTED_VALUE"""),45247.8411144212)</f>
        <v>45247.8411144212</v>
      </c>
      <c r="B625" s="1" t="str">
        <f ca="1">IFERROR(__xludf.DUMMYFUNCTION("""COMPUTED_VALUE"""),"purnima.bharadwaj.24@gmail.com")</f>
        <v>purnima.bharadwaj.24@gmail.com</v>
      </c>
      <c r="C625" s="1" t="str">
        <f ca="1">IFERROR(__xludf.DUMMYFUNCTION("""COMPUTED_VALUE"""),"पूर्णिमा भारद्वाज ")</f>
        <v xml:space="preserve">पूर्णिमा भारद्वाज </v>
      </c>
      <c r="D625" s="1">
        <f ca="1">IFERROR(__xludf.DUMMYFUNCTION("""COMPUTED_VALUE"""),9415389032)</f>
        <v>9415389032</v>
      </c>
      <c r="E625" s="1" t="str">
        <f ca="1">IFERROR(__xludf.DUMMYFUNCTION("""COMPUTED_VALUE"""),"Yes")</f>
        <v>Yes</v>
      </c>
      <c r="F625" s="1" t="str">
        <f ca="1">IFERROR(__xludf.DUMMYFUNCTION("""COMPUTED_VALUE"""),"हिन्दी")</f>
        <v>हिन्दी</v>
      </c>
      <c r="G625" s="1" t="str">
        <f ca="1">IFERROR(__xludf.DUMMYFUNCTION("""COMPUTED_VALUE"""),"युग द्रष्टा पं. श्रीराम शर्मा आचार्यजी")</f>
        <v>युग द्रष्टा पं. श्रीराम शर्मा आचार्यजी</v>
      </c>
      <c r="H625" s="1"/>
      <c r="I625" s="1"/>
      <c r="J625" s="1"/>
      <c r="K625" s="1"/>
      <c r="L625" s="1"/>
      <c r="M625" s="1"/>
      <c r="N625" s="1"/>
      <c r="O625" s="1"/>
      <c r="P625" s="1" t="str">
        <f ca="1">IFERROR(__xludf.DUMMYFUNCTION("""COMPUTED_VALUE"""),"युगॠषी की अमृतवाणी")</f>
        <v>युगॠषी की अमृतवाणी</v>
      </c>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f ca="1">IFERROR(__xludf.DUMMYFUNCTION("""COMPUTED_VALUE"""),43)</f>
        <v>43</v>
      </c>
      <c r="BX625" s="1">
        <f ca="1">IFERROR(__xludf.DUMMYFUNCTION("""COMPUTED_VALUE"""),36)</f>
        <v>36</v>
      </c>
      <c r="BY625" s="1">
        <f ca="1">IFERROR(__xludf.DUMMYFUNCTION("""COMPUTED_VALUE"""),9)</f>
        <v>9</v>
      </c>
      <c r="BZ625" s="1">
        <f ca="1">IFERROR(__xludf.DUMMYFUNCTION("""COMPUTED_VALUE"""),30)</f>
        <v>30</v>
      </c>
      <c r="CA625" s="1"/>
      <c r="CB625" s="1"/>
      <c r="CC625" s="1" t="str">
        <f ca="1">IFERROR(__xludf.DUMMYFUNCTION("""COMPUTED_VALUE"""),"उन्नति के तीन गुण चार चरण : H_PP_35")</f>
        <v>उन्नति के तीन गुण चार चरण : H_PP_35</v>
      </c>
      <c r="CD625" s="3" t="str">
        <f ca="1">IFERROR(__xludf.DUMMYFUNCTION("""COMPUTED_VALUE"""),"https://vicharkrantibooks.org/productdetail?book_name=HINP0921_UNNATI_KE_TIN_GUN_CHAR_CHARAN_xxyyyy&amp;product_id=1486")</f>
        <v>https://vicharkrantibooks.org/productdetail?book_name=HINP0921_UNNATI_KE_TIN_GUN_CHAR_CHARAN_xxyyyy&amp;product_id=1486</v>
      </c>
      <c r="CE625" s="1" t="str">
        <f ca="1">IFERROR(__xludf.DUMMYFUNCTION("""COMPUTED_VALUE"""),"Audiobook : उन्नति के तीन गुण चार चरण : H_PP_35 : purnima.bharadwaj.24@gmail.com : Recorded")</f>
        <v>Audiobook : उन्नति के तीन गुण चार चरण : H_PP_35 : purnima.bharadwaj.24@gmail.com : Recorded</v>
      </c>
      <c r="CF625" s="1" t="str">
        <f ca="1">IFERROR(__xludf.DUMMYFUNCTION("""COMPUTED_VALUE"""),"Audiobook : उन्नति के तीन गुण चार चरण : H_PP_35 : purnima.bharadwaj.24@gmail.com : Recorded")</f>
        <v>Audiobook : उन्नति के तीन गुण चार चरण : H_PP_35 : purnima.bharadwaj.24@gmail.com : Recorded</v>
      </c>
      <c r="CG625" s="1" t="str">
        <f ca="1">IFERROR(__xludf.DUMMYFUNCTION("""COMPUTED_VALUE"""),"Adarniya पूर्णिमा भारद्वाज  ji उन्नति के तीन गुण चार चरण : H_PP_35 : Allocated on 17-Nov-23 Contact Number  9415389032")</f>
        <v>Adarniya पूर्णिमा भारद्वाज  ji उन्नति के तीन गुण चार चरण : H_PP_35 : Allocated on 17-Nov-23 Contact Number  9415389032</v>
      </c>
      <c r="CH625" s="1" t="str">
        <f ca="1">IFERROR(__xludf.DUMMYFUNCTION("""COMPUTED_VALUE"""),"purnima.bharadwaj.24@gmail.com : उन्नति के तीन गुण चार चरण : H_PP_35")</f>
        <v>purnima.bharadwaj.24@gmail.com : उन्नति के तीन गुण चार चरण : H_PP_35</v>
      </c>
      <c r="CI625" s="5">
        <f ca="1">IFERROR(__xludf.DUMMYFUNCTION("""COMPUTED_VALUE"""),45247.8411144212)</f>
        <v>45247.8411144212</v>
      </c>
    </row>
    <row r="626" spans="1:87" x14ac:dyDescent="0.25">
      <c r="A626" s="5">
        <f ca="1">IFERROR(__xludf.DUMMYFUNCTION("""COMPUTED_VALUE"""),45247.3296396759)</f>
        <v>45247.329639675903</v>
      </c>
      <c r="B626" s="1" t="str">
        <f ca="1">IFERROR(__xludf.DUMMYFUNCTION("""COMPUTED_VALUE"""),"druma4107@gmail.com")</f>
        <v>druma4107@gmail.com</v>
      </c>
      <c r="C626" s="1" t="str">
        <f ca="1">IFERROR(__xludf.DUMMYFUNCTION("""COMPUTED_VALUE"""),"Dr Uma Agrawal")</f>
        <v>Dr Uma Agrawal</v>
      </c>
      <c r="D626" s="1">
        <f ca="1">IFERROR(__xludf.DUMMYFUNCTION("""COMPUTED_VALUE"""),9410861182)</f>
        <v>9410861182</v>
      </c>
      <c r="E626" s="1" t="str">
        <f ca="1">IFERROR(__xludf.DUMMYFUNCTION("""COMPUTED_VALUE"""),"Yes")</f>
        <v>Yes</v>
      </c>
      <c r="F626" s="1" t="str">
        <f ca="1">IFERROR(__xludf.DUMMYFUNCTION("""COMPUTED_VALUE"""),"हिन्दी")</f>
        <v>हिन्दी</v>
      </c>
      <c r="G626" s="1" t="str">
        <f ca="1">IFERROR(__xludf.DUMMYFUNCTION("""COMPUTED_VALUE"""),"समाज निर्माण")</f>
        <v>समाज निर्माण</v>
      </c>
      <c r="H626" s="1"/>
      <c r="I626" s="1"/>
      <c r="J626" s="1"/>
      <c r="K626" s="1"/>
      <c r="L626" s="1"/>
      <c r="M626" s="1"/>
      <c r="N626" s="1"/>
      <c r="O626" s="1"/>
      <c r="P626" s="1"/>
      <c r="Q626" s="1"/>
      <c r="R626" s="1"/>
      <c r="S626" s="1"/>
      <c r="T626" s="1"/>
      <c r="U626" s="1"/>
      <c r="V626" s="1" t="str">
        <f ca="1">IFERROR(__xludf.DUMMYFUNCTION("""COMPUTED_VALUE"""),"समाज निर्माण")</f>
        <v>समाज निर्माण</v>
      </c>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f ca="1">IFERROR(__xludf.DUMMYFUNCTION("""COMPUTED_VALUE"""),104)</f>
        <v>104</v>
      </c>
      <c r="BX626" s="1">
        <f ca="1">IFERROR(__xludf.DUMMYFUNCTION("""COMPUTED_VALUE"""),106)</f>
        <v>106</v>
      </c>
      <c r="BY626" s="1">
        <f ca="1">IFERROR(__xludf.DUMMYFUNCTION("""COMPUTED_VALUE"""),9)</f>
        <v>9</v>
      </c>
      <c r="BZ626" s="1">
        <f ca="1">IFERROR(__xludf.DUMMYFUNCTION("""COMPUTED_VALUE"""),43)</f>
        <v>43</v>
      </c>
      <c r="CA626" s="1"/>
      <c r="CB626" s="1"/>
      <c r="CC626" s="1" t="str">
        <f ca="1">IFERROR(__xludf.DUMMYFUNCTION("""COMPUTED_VALUE"""),"नारी जागरण : H_SC_31")</f>
        <v>नारी जागरण : H_SC_31</v>
      </c>
      <c r="CD626" s="3" t="str">
        <f ca="1">IFERROR(__xludf.DUMMYFUNCTION("""COMPUTED_VALUE"""),"https://vicharkrantibooks.org/productdetail?book_name=HINP0556_NARI_JAGARAN_Re2011&amp;product_id=1121")</f>
        <v>https://vicharkrantibooks.org/productdetail?book_name=HINP0556_NARI_JAGARAN_Re2011&amp;product_id=1121</v>
      </c>
      <c r="CE626" s="1" t="str">
        <f ca="1">IFERROR(__xludf.DUMMYFUNCTION("""COMPUTED_VALUE"""),"Audiobook : नारी जागरण : H_SC_31 : druma4107@gmail.com : Recorded")</f>
        <v>Audiobook : नारी जागरण : H_SC_31 : druma4107@gmail.com : Recorded</v>
      </c>
      <c r="CF626" s="1" t="str">
        <f ca="1">IFERROR(__xludf.DUMMYFUNCTION("""COMPUTED_VALUE"""),"Audiobook : नारी जागरण : H_SC_31 : druma4107@gmail.com : Recorded")</f>
        <v>Audiobook : नारी जागरण : H_SC_31 : druma4107@gmail.com : Recorded</v>
      </c>
      <c r="CG626" s="1" t="str">
        <f ca="1">IFERROR(__xludf.DUMMYFUNCTION("""COMPUTED_VALUE"""),"Adarniya Dr Uma Agrawal ji नारी जागरण : H_SC_31 : Allocated on 17-Nov-23 Contact Number  9410861182")</f>
        <v>Adarniya Dr Uma Agrawal ji नारी जागरण : H_SC_31 : Allocated on 17-Nov-23 Contact Number  9410861182</v>
      </c>
      <c r="CH626" s="1" t="str">
        <f ca="1">IFERROR(__xludf.DUMMYFUNCTION("""COMPUTED_VALUE"""),"druma4107@gmail.com : नारी जागरण : H_SC_31")</f>
        <v>druma4107@gmail.com : नारी जागरण : H_SC_31</v>
      </c>
      <c r="CI626" s="5">
        <f ca="1">IFERROR(__xludf.DUMMYFUNCTION("""COMPUTED_VALUE"""),45247.3296396759)</f>
        <v>45247.329639675903</v>
      </c>
    </row>
    <row r="627" spans="1:87" x14ac:dyDescent="0.25">
      <c r="A627" s="5">
        <f ca="1">IFERROR(__xludf.DUMMYFUNCTION("""COMPUTED_VALUE"""),45246.9184930787)</f>
        <v>45246.918493078701</v>
      </c>
      <c r="B627" s="1" t="str">
        <f ca="1">IFERROR(__xludf.DUMMYFUNCTION("""COMPUTED_VALUE"""),"vandana15rastogi@gmail.com")</f>
        <v>vandana15rastogi@gmail.com</v>
      </c>
      <c r="C627" s="1" t="str">
        <f ca="1">IFERROR(__xludf.DUMMYFUNCTION("""COMPUTED_VALUE"""),"Vandana Rastogi")</f>
        <v>Vandana Rastogi</v>
      </c>
      <c r="D627" s="1">
        <f ca="1">IFERROR(__xludf.DUMMYFUNCTION("""COMPUTED_VALUE"""),9359528684)</f>
        <v>9359528684</v>
      </c>
      <c r="E627" s="1" t="str">
        <f ca="1">IFERROR(__xludf.DUMMYFUNCTION("""COMPUTED_VALUE"""),"Yes")</f>
        <v>Yes</v>
      </c>
      <c r="F627" s="1" t="str">
        <f ca="1">IFERROR(__xludf.DUMMYFUNCTION("""COMPUTED_VALUE"""),"हिन्दी")</f>
        <v>हिन्दी</v>
      </c>
      <c r="G627" s="1" t="str">
        <f ca="1">IFERROR(__xludf.DUMMYFUNCTION("""COMPUTED_VALUE"""),"गायत्री परिवार")</f>
        <v>गायत्री परिवार</v>
      </c>
      <c r="H627" s="1"/>
      <c r="I627" s="1"/>
      <c r="J627" s="1" t="str">
        <f ca="1">IFERROR(__xludf.DUMMYFUNCTION("""COMPUTED_VALUE"""),"सृजन शिल्पियों की योजनाबद्ध कार्य पद्धति")</f>
        <v>सृजन शिल्पियों की योजनाबद्ध कार्य पद्धति</v>
      </c>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f ca="1">IFERROR(__xludf.DUMMYFUNCTION("""COMPUTED_VALUE"""),33)</f>
        <v>33</v>
      </c>
      <c r="BX627" s="1">
        <f ca="1">IFERROR(__xludf.DUMMYFUNCTION("""COMPUTED_VALUE"""),19)</f>
        <v>19</v>
      </c>
      <c r="BY627" s="1">
        <f ca="1">IFERROR(__xludf.DUMMYFUNCTION("""COMPUTED_VALUE"""),17)</f>
        <v>17</v>
      </c>
      <c r="BZ627" s="1">
        <f ca="1">IFERROR(__xludf.DUMMYFUNCTION("""COMPUTED_VALUE"""),14)</f>
        <v>14</v>
      </c>
      <c r="CA627" s="1"/>
      <c r="CB627" s="1"/>
      <c r="CC627" s="1" t="str">
        <f ca="1">IFERROR(__xludf.DUMMYFUNCTION("""COMPUTED_VALUE"""),"समय की चुनौती हमें स्वीकार है : H_PP_14")</f>
        <v>समय की चुनौती हमें स्वीकार है : H_PP_14</v>
      </c>
      <c r="CD627" s="3" t="str">
        <f ca="1">IFERROR(__xludf.DUMMYFUNCTION("""COMPUTED_VALUE"""),"https://vicharkrantibooks.org/productdetail?book_name=HINP0771_SAMAY_KI_CHUNAUTI_HAMEN_SVIKAR_HAI_xxyyyy&amp;product_id=1336")</f>
        <v>https://vicharkrantibooks.org/productdetail?book_name=HINP0771_SAMAY_KI_CHUNAUTI_HAMEN_SVIKAR_HAI_xxyyyy&amp;product_id=1336</v>
      </c>
      <c r="CE627" s="1" t="str">
        <f ca="1">IFERROR(__xludf.DUMMYFUNCTION("""COMPUTED_VALUE"""),"Audiobook : समय की चुनौती हमें स्वीकार है : H_PP_14 : vandana15rastogi@gmail.com : Recorded")</f>
        <v>Audiobook : समय की चुनौती हमें स्वीकार है : H_PP_14 : vandana15rastogi@gmail.com : Recorded</v>
      </c>
      <c r="CF627" s="1" t="str">
        <f ca="1">IFERROR(__xludf.DUMMYFUNCTION("""COMPUTED_VALUE"""),"#N/A")</f>
        <v>#N/A</v>
      </c>
      <c r="CG627" s="1" t="str">
        <f ca="1">IFERROR(__xludf.DUMMYFUNCTION("""COMPUTED_VALUE"""),"Adarniya Vandana Rastogi ji समय की चुनौती हमें स्वीकार है : H_PP_14 : Allocated on 16-Nov-23 Contact Number  9359528684")</f>
        <v>Adarniya Vandana Rastogi ji समय की चुनौती हमें स्वीकार है : H_PP_14 : Allocated on 16-Nov-23 Contact Number  9359528684</v>
      </c>
      <c r="CH627" s="1" t="str">
        <f ca="1">IFERROR(__xludf.DUMMYFUNCTION("""COMPUTED_VALUE"""),"vandana15rastogi@gmail.com : समय की चुनौती हमें स्वीकार है : H_PP_14")</f>
        <v>vandana15rastogi@gmail.com : समय की चुनौती हमें स्वीकार है : H_PP_14</v>
      </c>
      <c r="CI627" s="5">
        <f ca="1">IFERROR(__xludf.DUMMYFUNCTION("""COMPUTED_VALUE"""),45246.9184930787)</f>
        <v>45246.918493078701</v>
      </c>
    </row>
    <row r="628" spans="1:87" x14ac:dyDescent="0.25">
      <c r="A628" s="5">
        <f ca="1">IFERROR(__xludf.DUMMYFUNCTION("""COMPUTED_VALUE"""),45246.6941918634)</f>
        <v>45246.694191863397</v>
      </c>
      <c r="B628" s="1" t="str">
        <f ca="1">IFERROR(__xludf.DUMMYFUNCTION("""COMPUTED_VALUE"""),"brphodmba@gmail.com")</f>
        <v>brphodmba@gmail.com</v>
      </c>
      <c r="C628" s="1" t="str">
        <f ca="1">IFERROR(__xludf.DUMMYFUNCTION("""COMPUTED_VALUE"""),"Dr Baidyanath Ram Prajapati ")</f>
        <v xml:space="preserve">Dr Baidyanath Ram Prajapati </v>
      </c>
      <c r="D628" s="1">
        <f ca="1">IFERROR(__xludf.DUMMYFUNCTION("""COMPUTED_VALUE"""),9811724821)</f>
        <v>9811724821</v>
      </c>
      <c r="E628" s="1" t="str">
        <f ca="1">IFERROR(__xludf.DUMMYFUNCTION("""COMPUTED_VALUE"""),"Yes")</f>
        <v>Yes</v>
      </c>
      <c r="F628" s="1" t="str">
        <f ca="1">IFERROR(__xludf.DUMMYFUNCTION("""COMPUTED_VALUE"""),"हिन्दी")</f>
        <v>हिन्दी</v>
      </c>
      <c r="G628" s="1" t="str">
        <f ca="1">IFERROR(__xludf.DUMMYFUNCTION("""COMPUTED_VALUE"""),"अध्यात्म, धर्म एवं दर्शन")</f>
        <v>अध्यात्म, धर्म एवं दर्शन</v>
      </c>
      <c r="H628" s="1" t="str">
        <f ca="1">IFERROR(__xludf.DUMMYFUNCTION("""COMPUTED_VALUE"""),"अध्यात्म, धर्म एवं आस्तिकता")</f>
        <v>अध्यात्म, धर्म एवं आस्तिकता</v>
      </c>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f ca="1">IFERROR(__xludf.DUMMYFUNCTION("""COMPUTED_VALUE"""),12)</f>
        <v>12</v>
      </c>
      <c r="BX628" s="1">
        <f ca="1">IFERROR(__xludf.DUMMYFUNCTION("""COMPUTED_VALUE"""),10)</f>
        <v>10</v>
      </c>
      <c r="BY628" s="1">
        <f ca="1">IFERROR(__xludf.DUMMYFUNCTION("""COMPUTED_VALUE"""),4)</f>
        <v>4</v>
      </c>
      <c r="BZ628" s="1">
        <f ca="1">IFERROR(__xludf.DUMMYFUNCTION("""COMPUTED_VALUE"""),0)</f>
        <v>0</v>
      </c>
      <c r="CA628" s="1"/>
      <c r="CB628" s="1"/>
      <c r="CC628" s="1" t="str">
        <f ca="1">IFERROR(__xludf.DUMMYFUNCTION("""COMPUTED_VALUE"""),"आध्यात्मिकता का प्राण सदाचरण : Rare Book")</f>
        <v>आध्यात्मिकता का प्राण सदाचरण : Rare Book</v>
      </c>
      <c r="CD628" s="3" t="str">
        <f ca="1">IFERROR(__xludf.DUMMYFUNCTION("""COMPUTED_VALUE"""),"https://vicharkrantibooks.org/productdetail?book_name=HINP0026_ADHYATMIKATA_KA_PRAN_SADACHARAN_xx1982&amp;product_id=591")</f>
        <v>https://vicharkrantibooks.org/productdetail?book_name=HINP0026_ADHYATMIKATA_KA_PRAN_SADACHARAN_xx1982&amp;product_id=591</v>
      </c>
      <c r="CE628" s="1" t="str">
        <f ca="1">IFERROR(__xludf.DUMMYFUNCTION("""COMPUTED_VALUE"""),"Audiobook : आध्यात्मिकता का प्राण सदाचरण : Rare Book : brphodmba@gmail.com : Recorded")</f>
        <v>Audiobook : आध्यात्मिकता का प्राण सदाचरण : Rare Book : brphodmba@gmail.com : Recorded</v>
      </c>
      <c r="CF628" s="1" t="str">
        <f ca="1">IFERROR(__xludf.DUMMYFUNCTION("""COMPUTED_VALUE"""),"#N/A")</f>
        <v>#N/A</v>
      </c>
      <c r="CG628" s="1" t="str">
        <f ca="1">IFERROR(__xludf.DUMMYFUNCTION("""COMPUTED_VALUE"""),"Adarniya Dr Baidyanath Ram Prajapati  ji आध्यात्मिकता का प्राण सदाचरण : Rare Book : Allocated on 16-Nov-23 Contact Number  9811724821")</f>
        <v>Adarniya Dr Baidyanath Ram Prajapati  ji आध्यात्मिकता का प्राण सदाचरण : Rare Book : Allocated on 16-Nov-23 Contact Number  9811724821</v>
      </c>
      <c r="CH628" s="1" t="str">
        <f ca="1">IFERROR(__xludf.DUMMYFUNCTION("""COMPUTED_VALUE"""),"brphodmba@gmail.com : आध्यात्मिकता का प्राण सदाचरण : Rare Book")</f>
        <v>brphodmba@gmail.com : आध्यात्मिकता का प्राण सदाचरण : Rare Book</v>
      </c>
      <c r="CI628" s="5">
        <f ca="1">IFERROR(__xludf.DUMMYFUNCTION("""COMPUTED_VALUE"""),45246.6941918634)</f>
        <v>45246.694191863397</v>
      </c>
    </row>
    <row r="629" spans="1:87" x14ac:dyDescent="0.25">
      <c r="A629" s="5">
        <f ca="1">IFERROR(__xludf.DUMMYFUNCTION("""COMPUTED_VALUE"""),45246.5439976041)</f>
        <v>45246.543997604102</v>
      </c>
      <c r="B629" s="1" t="str">
        <f ca="1">IFERROR(__xludf.DUMMYFUNCTION("""COMPUTED_VALUE"""),"jamunashukla17@gmail.com")</f>
        <v>jamunashukla17@gmail.com</v>
      </c>
      <c r="C629" s="1" t="str">
        <f ca="1">IFERROR(__xludf.DUMMYFUNCTION("""COMPUTED_VALUE"""),"Smt J S  Shukla")</f>
        <v>Smt J S  Shukla</v>
      </c>
      <c r="D629" s="1">
        <f ca="1">IFERROR(__xludf.DUMMYFUNCTION("""COMPUTED_VALUE"""),8390353167)</f>
        <v>8390353167</v>
      </c>
      <c r="E629" s="1" t="str">
        <f ca="1">IFERROR(__xludf.DUMMYFUNCTION("""COMPUTED_VALUE"""),"Yes")</f>
        <v>Yes</v>
      </c>
      <c r="F629" s="1" t="str">
        <f ca="1">IFERROR(__xludf.DUMMYFUNCTION("""COMPUTED_VALUE"""),"हिन्दी")</f>
        <v>हिन्दी</v>
      </c>
      <c r="G629" s="1" t="str">
        <f ca="1">IFERROR(__xludf.DUMMYFUNCTION("""COMPUTED_VALUE"""),"अध्यात्म, धर्म एवं दर्शन")</f>
        <v>अध्यात्म, धर्म एवं दर्शन</v>
      </c>
      <c r="H629" s="1" t="str">
        <f ca="1">IFERROR(__xludf.DUMMYFUNCTION("""COMPUTED_VALUE"""),"अध्यात्म, धर्म एवं आस्तिकता")</f>
        <v>अध्यात्म, धर्म एवं आस्तिकता</v>
      </c>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f ca="1">IFERROR(__xludf.DUMMYFUNCTION("""COMPUTED_VALUE"""),53)</f>
        <v>53</v>
      </c>
      <c r="BX629" s="1">
        <f ca="1">IFERROR(__xludf.DUMMYFUNCTION("""COMPUTED_VALUE"""),53)</f>
        <v>53</v>
      </c>
      <c r="BY629" s="1">
        <f ca="1">IFERROR(__xludf.DUMMYFUNCTION("""COMPUTED_VALUE"""),9)</f>
        <v>9</v>
      </c>
      <c r="BZ629" s="1">
        <f ca="1">IFERROR(__xludf.DUMMYFUNCTION("""COMPUTED_VALUE"""),25)</f>
        <v>25</v>
      </c>
      <c r="CA629" s="1"/>
      <c r="CB629" s="1"/>
      <c r="CC629" s="1" t="str">
        <f ca="1">IFERROR(__xludf.DUMMYFUNCTION("""COMPUTED_VALUE"""),"भगवान शंकर क्या है? : H_JS_17")</f>
        <v>भगवान शंकर क्या है? : H_JS_17</v>
      </c>
      <c r="CD629" s="3" t="str">
        <f ca="1">IFERROR(__xludf.DUMMYFUNCTION("""COMPUTED_VALUE"""),"https://vicharkrantibooks.org/productdetail?book_name=HINP0142_BHAGAVAN_SHANKAR_KYA_HAI_xx2011&amp;product_id=707")</f>
        <v>https://vicharkrantibooks.org/productdetail?book_name=HINP0142_BHAGAVAN_SHANKAR_KYA_HAI_xx2011&amp;product_id=707</v>
      </c>
      <c r="CE629" s="1" t="str">
        <f ca="1">IFERROR(__xludf.DUMMYFUNCTION("""COMPUTED_VALUE"""),"Audiobook : भगवान शंकर क्या है? : H_JS_17 : jamunashukla17@gmail.com : Recorded")</f>
        <v>Audiobook : भगवान शंकर क्या है? : H_JS_17 : jamunashukla17@gmail.com : Recorded</v>
      </c>
      <c r="CF629" s="1" t="str">
        <f ca="1">IFERROR(__xludf.DUMMYFUNCTION("""COMPUTED_VALUE"""),"Audiobook : भगवान शंकर क्या है? : H_JS_17 : jamunashukla17@gmail.com : Recorded")</f>
        <v>Audiobook : भगवान शंकर क्या है? : H_JS_17 : jamunashukla17@gmail.com : Recorded</v>
      </c>
      <c r="CG629" s="1" t="str">
        <f ca="1">IFERROR(__xludf.DUMMYFUNCTION("""COMPUTED_VALUE"""),"Adarniya Smt J S  Shukla ji भगवान शंकर क्या है? : H_JS_17 : Allocated on 16-Nov-23 Contact Number  8390353167")</f>
        <v>Adarniya Smt J S  Shukla ji भगवान शंकर क्या है? : H_JS_17 : Allocated on 16-Nov-23 Contact Number  8390353167</v>
      </c>
      <c r="CH629" s="1" t="str">
        <f ca="1">IFERROR(__xludf.DUMMYFUNCTION("""COMPUTED_VALUE"""),"jamunashukla17@gmail.com : भगवान शंकर क्या है? : H_JS_17")</f>
        <v>jamunashukla17@gmail.com : भगवान शंकर क्या है? : H_JS_17</v>
      </c>
      <c r="CI629" s="5">
        <f ca="1">IFERROR(__xludf.DUMMYFUNCTION("""COMPUTED_VALUE"""),45246.5439976041)</f>
        <v>45246.543997604102</v>
      </c>
    </row>
    <row r="630" spans="1:87" x14ac:dyDescent="0.25">
      <c r="A630" s="5">
        <f ca="1">IFERROR(__xludf.DUMMYFUNCTION("""COMPUTED_VALUE"""),45246.105426574)</f>
        <v>45246.105426574002</v>
      </c>
      <c r="B630" s="1" t="str">
        <f ca="1">IFERROR(__xludf.DUMMYFUNCTION("""COMPUTED_VALUE"""),"csprasad108@gmail.com")</f>
        <v>csprasad108@gmail.com</v>
      </c>
      <c r="C630" s="1" t="str">
        <f ca="1">IFERROR(__xludf.DUMMYFUNCTION("""COMPUTED_VALUE"""),"Kumkum prasad")</f>
        <v>Kumkum prasad</v>
      </c>
      <c r="D630" s="1">
        <f ca="1">IFERROR(__xludf.DUMMYFUNCTION("""COMPUTED_VALUE"""),7978055621)</f>
        <v>7978055621</v>
      </c>
      <c r="E630" s="1"/>
      <c r="F630" s="1" t="str">
        <f ca="1">IFERROR(__xludf.DUMMYFUNCTION("""COMPUTED_VALUE"""),"हिन्दी")</f>
        <v>हिन्दी</v>
      </c>
      <c r="G630" s="1" t="str">
        <f ca="1">IFERROR(__xludf.DUMMYFUNCTION("""COMPUTED_VALUE"""),"संस्कार, कर्मकाण्ड, पाठ, पूजा, गीत-संगीत")</f>
        <v>संस्कार, कर्मकाण्ड, पाठ, पूजा, गीत-संगीत</v>
      </c>
      <c r="H630" s="1"/>
      <c r="I630" s="1"/>
      <c r="J630" s="1"/>
      <c r="K630" s="1"/>
      <c r="L630" s="1"/>
      <c r="M630" s="1"/>
      <c r="N630" s="1"/>
      <c r="O630" s="1"/>
      <c r="P630" s="1"/>
      <c r="Q630" s="1"/>
      <c r="R630" s="1"/>
      <c r="S630" s="1"/>
      <c r="T630" s="1"/>
      <c r="U630" s="1"/>
      <c r="V630" s="1"/>
      <c r="W630" s="1" t="str">
        <f ca="1">IFERROR(__xludf.DUMMYFUNCTION("""COMPUTED_VALUE"""),"संस्कार")</f>
        <v>संस्कार</v>
      </c>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f ca="1">IFERROR(__xludf.DUMMYFUNCTION("""COMPUTED_VALUE"""),52)</f>
        <v>52</v>
      </c>
      <c r="BX630" s="1">
        <f ca="1">IFERROR(__xludf.DUMMYFUNCTION("""COMPUTED_VALUE"""),54)</f>
        <v>54</v>
      </c>
      <c r="BY630" s="1">
        <f ca="1">IFERROR(__xludf.DUMMYFUNCTION("""COMPUTED_VALUE"""),3)</f>
        <v>3</v>
      </c>
      <c r="BZ630" s="1">
        <f ca="1">IFERROR(__xludf.DUMMYFUNCTION("""COMPUTED_VALUE"""),24)</f>
        <v>24</v>
      </c>
      <c r="CA630" s="1"/>
      <c r="CB630" s="1"/>
      <c r="CC630" s="1" t="str">
        <f ca="1">IFERROR(__xludf.DUMMYFUNCTION("""COMPUTED_VALUE"""),"नारी को समर्थ बनाएं : H_NJ_18")</f>
        <v>नारी को समर्थ बनाएं : H_NJ_18</v>
      </c>
      <c r="CD630" s="3" t="str">
        <f ca="1">IFERROR(__xludf.DUMMYFUNCTION("""COMPUTED_VALUE"""),"https://vicharkrantibooks.org/productdetail?book_name=ENGP0676_SCIENTIFIC_APPROACH_TO_TALENT_GROWTH_xxyyyy&amp;product_id=3515")</f>
        <v>https://vicharkrantibooks.org/productdetail?book_name=ENGP0676_SCIENTIFIC_APPROACH_TO_TALENT_GROWTH_xxyyyy&amp;product_id=3515</v>
      </c>
      <c r="CE630" s="1" t="str">
        <f ca="1">IFERROR(__xludf.DUMMYFUNCTION("""COMPUTED_VALUE"""),"Audiobook : नारी को समर्थ बनाएं : H_NJ_18 : csprasad108@gmail.com : Recorded")</f>
        <v>Audiobook : नारी को समर्थ बनाएं : H_NJ_18 : csprasad108@gmail.com : Recorded</v>
      </c>
      <c r="CF630" s="1" t="str">
        <f ca="1">IFERROR(__xludf.DUMMYFUNCTION("""COMPUTED_VALUE"""),"Audiobook : नारी को समर्थ बनाएं : H_NJ_18 : csprasad108@gmail.com : Recorded")</f>
        <v>Audiobook : नारी को समर्थ बनाएं : H_NJ_18 : csprasad108@gmail.com : Recorded</v>
      </c>
      <c r="CG630" s="1" t="str">
        <f ca="1">IFERROR(__xludf.DUMMYFUNCTION("""COMPUTED_VALUE"""),"Adarniya Kumkum prasad ji नारी को समर्थ बनाएं : H_NJ_18 : Allocated on 16-Nov-23 Contact Number  7978055621")</f>
        <v>Adarniya Kumkum prasad ji नारी को समर्थ बनाएं : H_NJ_18 : Allocated on 16-Nov-23 Contact Number  7978055621</v>
      </c>
      <c r="CH630" s="1" t="str">
        <f ca="1">IFERROR(__xludf.DUMMYFUNCTION("""COMPUTED_VALUE"""),"csprasad108@gmail.com : नारी को समर्थ बनाएं : H_NJ_18")</f>
        <v>csprasad108@gmail.com : नारी को समर्थ बनाएं : H_NJ_18</v>
      </c>
      <c r="CI630" s="5">
        <f ca="1">IFERROR(__xludf.DUMMYFUNCTION("""COMPUTED_VALUE"""),45246.105426574)</f>
        <v>45246.105426574002</v>
      </c>
    </row>
    <row r="631" spans="1:87" x14ac:dyDescent="0.25">
      <c r="A631" s="5">
        <f ca="1">IFERROR(__xludf.DUMMYFUNCTION("""COMPUTED_VALUE"""),45245.7711593518)</f>
        <v>45245.771159351803</v>
      </c>
      <c r="B631" s="1" t="str">
        <f ca="1">IFERROR(__xludf.DUMMYFUNCTION("""COMPUTED_VALUE"""),"purnima.bharadwaj.24@gmail.com")</f>
        <v>purnima.bharadwaj.24@gmail.com</v>
      </c>
      <c r="C631" s="1" t="str">
        <f ca="1">IFERROR(__xludf.DUMMYFUNCTION("""COMPUTED_VALUE"""),"पूर्णिमा भारद्वाज ")</f>
        <v xml:space="preserve">पूर्णिमा भारद्वाज </v>
      </c>
      <c r="D631" s="1">
        <f ca="1">IFERROR(__xludf.DUMMYFUNCTION("""COMPUTED_VALUE"""),9415389032)</f>
        <v>9415389032</v>
      </c>
      <c r="E631" s="1" t="str">
        <f ca="1">IFERROR(__xludf.DUMMYFUNCTION("""COMPUTED_VALUE"""),"Yes")</f>
        <v>Yes</v>
      </c>
      <c r="F631" s="1" t="str">
        <f ca="1">IFERROR(__xludf.DUMMYFUNCTION("""COMPUTED_VALUE"""),"हिन्दी")</f>
        <v>हिन्दी</v>
      </c>
      <c r="G631" s="1" t="str">
        <f ca="1">IFERROR(__xludf.DUMMYFUNCTION("""COMPUTED_VALUE"""),"युग द्रष्टा पं. श्रीराम शर्मा आचार्यजी")</f>
        <v>युग द्रष्टा पं. श्रीराम शर्मा आचार्यजी</v>
      </c>
      <c r="H631" s="1"/>
      <c r="I631" s="1"/>
      <c r="J631" s="1"/>
      <c r="K631" s="1"/>
      <c r="L631" s="1"/>
      <c r="M631" s="1"/>
      <c r="N631" s="1"/>
      <c r="O631" s="1"/>
      <c r="P631" s="1" t="str">
        <f ca="1">IFERROR(__xludf.DUMMYFUNCTION("""COMPUTED_VALUE"""),"युगॠषी की अमृतवाणी")</f>
        <v>युगॠषी की अमृतवाणी</v>
      </c>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f ca="1">IFERROR(__xludf.DUMMYFUNCTION("""COMPUTED_VALUE"""),43)</f>
        <v>43</v>
      </c>
      <c r="BX631" s="1">
        <f ca="1">IFERROR(__xludf.DUMMYFUNCTION("""COMPUTED_VALUE"""),36)</f>
        <v>36</v>
      </c>
      <c r="BY631" s="1">
        <f ca="1">IFERROR(__xludf.DUMMYFUNCTION("""COMPUTED_VALUE"""),9)</f>
        <v>9</v>
      </c>
      <c r="BZ631" s="1">
        <f ca="1">IFERROR(__xludf.DUMMYFUNCTION("""COMPUTED_VALUE"""),30)</f>
        <v>30</v>
      </c>
      <c r="CA631" s="1"/>
      <c r="CB631" s="1"/>
      <c r="CC631" s="1" t="str">
        <f ca="1">IFERROR(__xludf.DUMMYFUNCTION("""COMPUTED_VALUE"""),"जन शक्ति को नव सृजन में जुटाया जाय : Rare Book")</f>
        <v>जन शक्ति को नव सृजन में जुटाया जाय : Rare Book</v>
      </c>
      <c r="CD631" s="3" t="str">
        <f ca="1">IFERROR(__xludf.DUMMYFUNCTION("""COMPUTED_VALUE"""),"https://vicharkrantibooks.org/productdetail?book_name=ENGP0676_SCIENTIFIC_APPROACH_TO_TALENT_GROWTH_xxyyyy&amp;product_id=3515")</f>
        <v>https://vicharkrantibooks.org/productdetail?book_name=ENGP0676_SCIENTIFIC_APPROACH_TO_TALENT_GROWTH_xxyyyy&amp;product_id=3515</v>
      </c>
      <c r="CE631" s="1" t="str">
        <f ca="1">IFERROR(__xludf.DUMMYFUNCTION("""COMPUTED_VALUE"""),"Audiobook : जन शक्ति को नव सृजन में जुटाया जाय : Rare Book : purnima.bharadwaj.24@gmail.com : Recorded")</f>
        <v>Audiobook : जन शक्ति को नव सृजन में जुटाया जाय : Rare Book : purnima.bharadwaj.24@gmail.com : Recorded</v>
      </c>
      <c r="CF631" s="1" t="str">
        <f ca="1">IFERROR(__xludf.DUMMYFUNCTION("""COMPUTED_VALUE"""),"Audiobook : जन शक्ति को नव सृजन में जुटाया जाय : Rare Book : purnima.bharadwaj.24@gmail.com : Recorded")</f>
        <v>Audiobook : जन शक्ति को नव सृजन में जुटाया जाय : Rare Book : purnima.bharadwaj.24@gmail.com : Recorded</v>
      </c>
      <c r="CG631" s="1" t="str">
        <f ca="1">IFERROR(__xludf.DUMMYFUNCTION("""COMPUTED_VALUE"""),"Adarniya पूर्णिमा भारद्वाज  ji जन शक्ति को नव सृजन में जुटाया जाय : Rare Book : Allocated on 15-Nov-23 Contact Number  9415389032")</f>
        <v>Adarniya पूर्णिमा भारद्वाज  ji जन शक्ति को नव सृजन में जुटाया जाय : Rare Book : Allocated on 15-Nov-23 Contact Number  9415389032</v>
      </c>
      <c r="CH631" s="1" t="str">
        <f ca="1">IFERROR(__xludf.DUMMYFUNCTION("""COMPUTED_VALUE"""),"purnima.bharadwaj.24@gmail.com : जन शक्ति को नव सृजन में जुटाया जाय : Rare Book")</f>
        <v>purnima.bharadwaj.24@gmail.com : जन शक्ति को नव सृजन में जुटाया जाय : Rare Book</v>
      </c>
      <c r="CI631" s="5">
        <f ca="1">IFERROR(__xludf.DUMMYFUNCTION("""COMPUTED_VALUE"""),45245.7711593518)</f>
        <v>45245.771159351803</v>
      </c>
    </row>
    <row r="632" spans="1:87" x14ac:dyDescent="0.25">
      <c r="A632" s="5">
        <f ca="1">IFERROR(__xludf.DUMMYFUNCTION("""COMPUTED_VALUE"""),45244.9606991782)</f>
        <v>45244.960699178198</v>
      </c>
      <c r="B632" s="1" t="str">
        <f ca="1">IFERROR(__xludf.DUMMYFUNCTION("""COMPUTED_VALUE"""),"vaishalip22@gmail.com")</f>
        <v>vaishalip22@gmail.com</v>
      </c>
      <c r="C632" s="1" t="str">
        <f ca="1">IFERROR(__xludf.DUMMYFUNCTION("""COMPUTED_VALUE"""),"Vaishali Patel ")</f>
        <v xml:space="preserve">Vaishali Patel </v>
      </c>
      <c r="D632" s="1">
        <f ca="1">IFERROR(__xludf.DUMMYFUNCTION("""COMPUTED_VALUE"""),9111631534)</f>
        <v>9111631534</v>
      </c>
      <c r="E632" s="1" t="str">
        <f ca="1">IFERROR(__xludf.DUMMYFUNCTION("""COMPUTED_VALUE"""),"Yes")</f>
        <v>Yes</v>
      </c>
      <c r="F632" s="1" t="str">
        <f ca="1">IFERROR(__xludf.DUMMYFUNCTION("""COMPUTED_VALUE"""),"हिन्दी or English")</f>
        <v>हिन्दी or English</v>
      </c>
      <c r="G632" s="1" t="str">
        <f ca="1">IFERROR(__xludf.DUMMYFUNCTION("""COMPUTED_VALUE"""),"वैज्ञानिक अध्यात्मवाद का प्रतिपादन")</f>
        <v>वैज्ञानिक अध्यात्मवाद का प्रतिपादन</v>
      </c>
      <c r="H632" s="1"/>
      <c r="I632" s="1"/>
      <c r="J632" s="1"/>
      <c r="K632" s="1"/>
      <c r="L632" s="1"/>
      <c r="M632" s="1"/>
      <c r="N632" s="1"/>
      <c r="O632" s="1"/>
      <c r="P632" s="1"/>
      <c r="Q632" s="1"/>
      <c r="R632" s="1"/>
      <c r="S632" s="1" t="str">
        <f ca="1">IFERROR(__xludf.DUMMYFUNCTION("""COMPUTED_VALUE"""),"वैज्ञानिक अध्यात्मवाद का प्रतिपादन")</f>
        <v>वैज्ञानिक अध्यात्मवाद का प्रतिपादन</v>
      </c>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f ca="1">IFERROR(__xludf.DUMMYFUNCTION("""COMPUTED_VALUE"""),1)</f>
        <v>1</v>
      </c>
      <c r="BX632" s="1">
        <f ca="1">IFERROR(__xludf.DUMMYFUNCTION("""COMPUTED_VALUE"""),0)</f>
        <v>0</v>
      </c>
      <c r="BY632" s="1">
        <f ca="1">IFERROR(__xludf.DUMMYFUNCTION("""COMPUTED_VALUE"""),1)</f>
        <v>1</v>
      </c>
      <c r="BZ632" s="1">
        <f ca="1">IFERROR(__xludf.DUMMYFUNCTION("""COMPUTED_VALUE"""),0)</f>
        <v>0</v>
      </c>
      <c r="CA632" s="1"/>
      <c r="CB632" s="1"/>
      <c r="CC632" s="1" t="str">
        <f ca="1">IFERROR(__xludf.DUMMYFUNCTION("""COMPUTED_VALUE"""),"Scientific Approach To Talent Growth : EP_130")</f>
        <v>Scientific Approach To Talent Growth : EP_130</v>
      </c>
      <c r="CD632" s="3" t="str">
        <f ca="1">IFERROR(__xludf.DUMMYFUNCTION("""COMPUTED_VALUE"""),"https://vicharkrantibooks.org/productdetail?book_name=ENGP0676_SCIENTIFIC_APPROACH_TO_TALENT_GROWTH_xxyyyy&amp;product_id=3515")</f>
        <v>https://vicharkrantibooks.org/productdetail?book_name=ENGP0676_SCIENTIFIC_APPROACH_TO_TALENT_GROWTH_xxyyyy&amp;product_id=3515</v>
      </c>
      <c r="CE632" s="1" t="str">
        <f ca="1">IFERROR(__xludf.DUMMYFUNCTION("""COMPUTED_VALUE"""),"Audiobook : Scientific Approach To Talent Growth : EP_130 : vaishalip22@gmail.com : Recorded")</f>
        <v>Audiobook : Scientific Approach To Talent Growth : EP_130 : vaishalip22@gmail.com : Recorded</v>
      </c>
      <c r="CF632" s="1" t="str">
        <f ca="1">IFERROR(__xludf.DUMMYFUNCTION("""COMPUTED_VALUE"""),"#N/A")</f>
        <v>#N/A</v>
      </c>
      <c r="CG632" s="1" t="str">
        <f ca="1">IFERROR(__xludf.DUMMYFUNCTION("""COMPUTED_VALUE"""),"Adarniya Vaishali Patel  ji Scientific Approach To Talent Growth : EP_130 : Allocated on 14-Nov-23 Contact Number  9111631534")</f>
        <v>Adarniya Vaishali Patel  ji Scientific Approach To Talent Growth : EP_130 : Allocated on 14-Nov-23 Contact Number  9111631534</v>
      </c>
      <c r="CH632" s="1" t="str">
        <f ca="1">IFERROR(__xludf.DUMMYFUNCTION("""COMPUTED_VALUE"""),"vaishalip22@gmail.com : Scientific Approach To Talent Growth : EP_130")</f>
        <v>vaishalip22@gmail.com : Scientific Approach To Talent Growth : EP_130</v>
      </c>
      <c r="CI632" s="5">
        <f ca="1">IFERROR(__xludf.DUMMYFUNCTION("""COMPUTED_VALUE"""),45244.9606991782)</f>
        <v>45244.960699178198</v>
      </c>
    </row>
    <row r="633" spans="1:87" x14ac:dyDescent="0.25">
      <c r="A633" s="5">
        <f ca="1">IFERROR(__xludf.DUMMYFUNCTION("""COMPUTED_VALUE"""),45244.9216341087)</f>
        <v>45244.921634108701</v>
      </c>
      <c r="B633" s="1" t="str">
        <f ca="1">IFERROR(__xludf.DUMMYFUNCTION("""COMPUTED_VALUE"""),"reema.ajmera@gmail.com")</f>
        <v>reema.ajmera@gmail.com</v>
      </c>
      <c r="C633" s="1" t="str">
        <f ca="1">IFERROR(__xludf.DUMMYFUNCTION("""COMPUTED_VALUE"""),"Reema Ajmera")</f>
        <v>Reema Ajmera</v>
      </c>
      <c r="D633" s="1" t="str">
        <f ca="1">IFERROR(__xludf.DUMMYFUNCTION("""COMPUTED_VALUE"""),"07932398508")</f>
        <v>07932398508</v>
      </c>
      <c r="E633" s="1" t="str">
        <f ca="1">IFERROR(__xludf.DUMMYFUNCTION("""COMPUTED_VALUE"""),"No")</f>
        <v>No</v>
      </c>
      <c r="F633" s="1" t="str">
        <f ca="1">IFERROR(__xludf.DUMMYFUNCTION("""COMPUTED_VALUE"""),"हिन्दी or English")</f>
        <v>हिन्दी or English</v>
      </c>
      <c r="G633" s="1" t="str">
        <f ca="1">IFERROR(__xludf.DUMMYFUNCTION("""COMPUTED_VALUE"""),"जीवन प्रबंध")</f>
        <v>जीवन प्रबंध</v>
      </c>
      <c r="H633" s="1"/>
      <c r="I633" s="1"/>
      <c r="J633" s="1"/>
      <c r="K633" s="1"/>
      <c r="L633" s="1" t="str">
        <f ca="1">IFERROR(__xludf.DUMMYFUNCTION("""COMPUTED_VALUE"""),"मन की शक्ति एवं मनोविज्ञान")</f>
        <v>मन की शक्ति एवं मनोविज्ञान</v>
      </c>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f ca="1">IFERROR(__xludf.DUMMYFUNCTION("""COMPUTED_VALUE"""),2)</f>
        <v>2</v>
      </c>
      <c r="BX633" s="1">
        <f ca="1">IFERROR(__xludf.DUMMYFUNCTION("""COMPUTED_VALUE"""),0)</f>
        <v>0</v>
      </c>
      <c r="BY633" s="1">
        <f ca="1">IFERROR(__xludf.DUMMYFUNCTION("""COMPUTED_VALUE"""),2)</f>
        <v>2</v>
      </c>
      <c r="BZ633" s="1">
        <f ca="1">IFERROR(__xludf.DUMMYFUNCTION("""COMPUTED_VALUE"""),0)</f>
        <v>0</v>
      </c>
      <c r="CA633" s="1"/>
      <c r="CB633" s="1"/>
      <c r="CC633" s="1" t="str">
        <f ca="1">IFERROR(__xludf.DUMMYFUNCTION("""COMPUTED_VALUE"""),"Fight Your Weaknesses Be Strong : EP_127")</f>
        <v>Fight Your Weaknesses Be Strong : EP_127</v>
      </c>
      <c r="CD633" s="3" t="str">
        <f ca="1">IFERROR(__xludf.DUMMYFUNCTION("""COMPUTED_VALUE"""),"https://vicharkrantibooks.org/productdetail?book_name=ENGP0069_FIGHT_YOUR_WEAKNESSES_BE_STRONG_xxyyyy&amp;product_id=3512")</f>
        <v>https://vicharkrantibooks.org/productdetail?book_name=ENGP0069_FIGHT_YOUR_WEAKNESSES_BE_STRONG_xxyyyy&amp;product_id=3512</v>
      </c>
      <c r="CE633" s="1" t="str">
        <f ca="1">IFERROR(__xludf.DUMMYFUNCTION("""COMPUTED_VALUE"""),"Audiobook : Fight Your Weaknesses Be Strong : EP_127 : reema.ajmera@gmail.com : Recorded")</f>
        <v>Audiobook : Fight Your Weaknesses Be Strong : EP_127 : reema.ajmera@gmail.com : Recorded</v>
      </c>
      <c r="CF633" s="1" t="str">
        <f ca="1">IFERROR(__xludf.DUMMYFUNCTION("""COMPUTED_VALUE"""),"#N/A")</f>
        <v>#N/A</v>
      </c>
      <c r="CG633" s="1" t="str">
        <f ca="1">IFERROR(__xludf.DUMMYFUNCTION("""COMPUTED_VALUE"""),"Adarniya Reema Ajmera ji Fight Your Weaknesses Be Strong : EP_127 : Allocated on 14-Nov-23 Contact Number  07932398508")</f>
        <v>Adarniya Reema Ajmera ji Fight Your Weaknesses Be Strong : EP_127 : Allocated on 14-Nov-23 Contact Number  07932398508</v>
      </c>
      <c r="CH633" s="1" t="str">
        <f ca="1">IFERROR(__xludf.DUMMYFUNCTION("""COMPUTED_VALUE"""),"reema.ajmera@gmail.com : Fight Your Weaknesses Be Strong : EP_127")</f>
        <v>reema.ajmera@gmail.com : Fight Your Weaknesses Be Strong : EP_127</v>
      </c>
      <c r="CI633" s="5">
        <f ca="1">IFERROR(__xludf.DUMMYFUNCTION("""COMPUTED_VALUE"""),45244.9216341087)</f>
        <v>45244.921634108701</v>
      </c>
    </row>
    <row r="634" spans="1:87" x14ac:dyDescent="0.25">
      <c r="A634" s="5">
        <f ca="1">IFERROR(__xludf.DUMMYFUNCTION("""COMPUTED_VALUE"""),45244.4857660416)</f>
        <v>45244.485766041602</v>
      </c>
      <c r="B634" s="1" t="str">
        <f ca="1">IFERROR(__xludf.DUMMYFUNCTION("""COMPUTED_VALUE"""),"shivangijyoti@gmail.com")</f>
        <v>shivangijyoti@gmail.com</v>
      </c>
      <c r="C634" s="1" t="str">
        <f ca="1">IFERROR(__xludf.DUMMYFUNCTION("""COMPUTED_VALUE"""),"Jyoti Shrivastava ")</f>
        <v xml:space="preserve">Jyoti Shrivastava </v>
      </c>
      <c r="D634" s="1">
        <f ca="1">IFERROR(__xludf.DUMMYFUNCTION("""COMPUTED_VALUE"""),9406759903)</f>
        <v>9406759903</v>
      </c>
      <c r="E634" s="1" t="str">
        <f ca="1">IFERROR(__xludf.DUMMYFUNCTION("""COMPUTED_VALUE"""),"Yes")</f>
        <v>Yes</v>
      </c>
      <c r="F634" s="1" t="str">
        <f ca="1">IFERROR(__xludf.DUMMYFUNCTION("""COMPUTED_VALUE"""),"हिन्दी")</f>
        <v>हिन्दी</v>
      </c>
      <c r="G634" s="1" t="str">
        <f ca="1">IFERROR(__xludf.DUMMYFUNCTION("""COMPUTED_VALUE"""),"युग द्रष्टा पं. श्रीराम शर्मा आचार्यजी")</f>
        <v>युग द्रष्टा पं. श्रीराम शर्मा आचार्यजी</v>
      </c>
      <c r="H634" s="1"/>
      <c r="I634" s="1"/>
      <c r="J634" s="1"/>
      <c r="K634" s="1"/>
      <c r="L634" s="1"/>
      <c r="M634" s="1"/>
      <c r="N634" s="1"/>
      <c r="O634" s="1"/>
      <c r="P634" s="1" t="str">
        <f ca="1">IFERROR(__xludf.DUMMYFUNCTION("""COMPUTED_VALUE"""),"युगॠषी की अमृतवाणी")</f>
        <v>युगॠषी की अमृतवाणी</v>
      </c>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f ca="1">IFERROR(__xludf.DUMMYFUNCTION("""COMPUTED_VALUE"""),6)</f>
        <v>6</v>
      </c>
      <c r="BX634" s="1">
        <f ca="1">IFERROR(__xludf.DUMMYFUNCTION("""COMPUTED_VALUE"""),1)</f>
        <v>1</v>
      </c>
      <c r="BY634" s="1">
        <f ca="1">IFERROR(__xludf.DUMMYFUNCTION("""COMPUTED_VALUE"""),5)</f>
        <v>5</v>
      </c>
      <c r="BZ634" s="1">
        <f ca="1">IFERROR(__xludf.DUMMYFUNCTION("""COMPUTED_VALUE"""),0)</f>
        <v>0</v>
      </c>
      <c r="CA634" s="1"/>
      <c r="CB634" s="1"/>
      <c r="CC634" s="1" t="str">
        <f ca="1">IFERROR(__xludf.DUMMYFUNCTION("""COMPUTED_VALUE"""),"गायत्री तीर्थ प्रज्ञा परिजनों का प्रेरणा स्त्रोत : Rare Book")</f>
        <v>गायत्री तीर्थ प्रज्ञा परिजनों का प्रेरणा स्त्रोत : Rare Book</v>
      </c>
      <c r="CD634" s="3" t="str">
        <f ca="1">IFERROR(__xludf.DUMMYFUNCTION("""COMPUTED_VALUE"""),"https://vicharkrantibooks.org/productdetail?product_id=322")</f>
        <v>https://vicharkrantibooks.org/productdetail?product_id=322</v>
      </c>
      <c r="CE634" s="1" t="str">
        <f ca="1">IFERROR(__xludf.DUMMYFUNCTION("""COMPUTED_VALUE"""),"Audiobook : गायत्री तीर्थ प्रज्ञा परिजनों का प्रेरणा स्त्रोत : Rare Book : shivangijyoti@gmail.com : Recorded")</f>
        <v>Audiobook : गायत्री तीर्थ प्रज्ञा परिजनों का प्रेरणा स्त्रोत : Rare Book : shivangijyoti@gmail.com : Recorded</v>
      </c>
      <c r="CF634" s="1" t="str">
        <f ca="1">IFERROR(__xludf.DUMMYFUNCTION("""COMPUTED_VALUE"""),"Audiobook : गायत्री तीर्थ प्रज्ञा परिजनों का प्रेरणा स्त्रोत : Rare Book : shivangijyoti@gmail.com : Recorded")</f>
        <v>Audiobook : गायत्री तीर्थ प्रज्ञा परिजनों का प्रेरणा स्त्रोत : Rare Book : shivangijyoti@gmail.com : Recorded</v>
      </c>
      <c r="CG634" s="1" t="str">
        <f ca="1">IFERROR(__xludf.DUMMYFUNCTION("""COMPUTED_VALUE"""),"Adarniya Jyoti Shrivastava  ji गायत्री तीर्थ प्रज्ञा परिजनों का प्रेरणा स्त्रोत : Rare Book : Allocated on 14-Nov-23 Contact Number  9406759903")</f>
        <v>Adarniya Jyoti Shrivastava  ji गायत्री तीर्थ प्रज्ञा परिजनों का प्रेरणा स्त्रोत : Rare Book : Allocated on 14-Nov-23 Contact Number  9406759903</v>
      </c>
      <c r="CH634" s="1" t="str">
        <f ca="1">IFERROR(__xludf.DUMMYFUNCTION("""COMPUTED_VALUE"""),"shivangijyoti@gmail.com : गायत्री तीर्थ प्रज्ञा परिजनों का प्रेरणा स्त्रोत : Rare Book")</f>
        <v>shivangijyoti@gmail.com : गायत्री तीर्थ प्रज्ञा परिजनों का प्रेरणा स्त्रोत : Rare Book</v>
      </c>
      <c r="CI634" s="5">
        <f ca="1">IFERROR(__xludf.DUMMYFUNCTION("""COMPUTED_VALUE"""),45244.4857660416)</f>
        <v>45244.485766041602</v>
      </c>
    </row>
    <row r="635" spans="1:87" x14ac:dyDescent="0.25">
      <c r="A635" s="5">
        <f ca="1">IFERROR(__xludf.DUMMYFUNCTION("""COMPUTED_VALUE"""),45244.4438937963)</f>
        <v>45244.443893796299</v>
      </c>
      <c r="B635" s="1" t="str">
        <f ca="1">IFERROR(__xludf.DUMMYFUNCTION("""COMPUTED_VALUE"""),"sanjayneha1@yahoo.com")</f>
        <v>sanjayneha1@yahoo.com</v>
      </c>
      <c r="C635" s="1" t="str">
        <f ca="1">IFERROR(__xludf.DUMMYFUNCTION("""COMPUTED_VALUE"""),"Neha Manocha")</f>
        <v>Neha Manocha</v>
      </c>
      <c r="D635" s="1">
        <f ca="1">IFERROR(__xludf.DUMMYFUNCTION("""COMPUTED_VALUE"""),16174130446)</f>
        <v>16174130446</v>
      </c>
      <c r="E635" s="1" t="str">
        <f ca="1">IFERROR(__xludf.DUMMYFUNCTION("""COMPUTED_VALUE"""),"Yes")</f>
        <v>Yes</v>
      </c>
      <c r="F635" s="1" t="str">
        <f ca="1">IFERROR(__xludf.DUMMYFUNCTION("""COMPUTED_VALUE"""),"हिन्दी or English")</f>
        <v>हिन्दी or English</v>
      </c>
      <c r="G635" s="1" t="str">
        <f ca="1">IFERROR(__xludf.DUMMYFUNCTION("""COMPUTED_VALUE"""),"युग द्रष्टा पं. श्रीराम शर्मा आचार्यजी")</f>
        <v>युग द्रष्टा पं. श्रीराम शर्मा आचार्यजी</v>
      </c>
      <c r="H635" s="1"/>
      <c r="I635" s="1"/>
      <c r="J635" s="1"/>
      <c r="K635" s="1"/>
      <c r="L635" s="1"/>
      <c r="M635" s="1"/>
      <c r="N635" s="1"/>
      <c r="O635" s="1"/>
      <c r="P635" s="1" t="str">
        <f ca="1">IFERROR(__xludf.DUMMYFUNCTION("""COMPUTED_VALUE"""),"युगॠषी की अमृतवाणी")</f>
        <v>युगॠषी की अमृतवाणी</v>
      </c>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f ca="1">IFERROR(__xludf.DUMMYFUNCTION("""COMPUTED_VALUE"""),33)</f>
        <v>33</v>
      </c>
      <c r="BX635" s="1">
        <f ca="1">IFERROR(__xludf.DUMMYFUNCTION("""COMPUTED_VALUE"""),40)</f>
        <v>40</v>
      </c>
      <c r="BY635" s="1">
        <f ca="1">IFERROR(__xludf.DUMMYFUNCTION("""COMPUTED_VALUE"""),3)</f>
        <v>3</v>
      </c>
      <c r="BZ635" s="1">
        <f ca="1">IFERROR(__xludf.DUMMYFUNCTION("""COMPUTED_VALUE"""),22)</f>
        <v>22</v>
      </c>
      <c r="CA635" s="1"/>
      <c r="CB635" s="1"/>
      <c r="CC635" s="1" t="str">
        <f ca="1">IFERROR(__xludf.DUMMYFUNCTION("""COMPUTED_VALUE"""),"Don’T Scare But Fight The Adversities : EP_129")</f>
        <v>Don’T Scare But Fight The Adversities : EP_129</v>
      </c>
      <c r="CD635" s="3" t="str">
        <f ca="1">IFERROR(__xludf.DUMMYFUNCTION("""COMPUTED_VALUE"""),"https://vicharkrantibooks.org/productdetail?book_name=ENGP0981_DON%E2%80%99T_SCARE_BUT_FIGHT_THE_ADVERSITIES_xxyyyy&amp;product_id=3514")</f>
        <v>https://vicharkrantibooks.org/productdetail?book_name=ENGP0981_DON%E2%80%99T_SCARE_BUT_FIGHT_THE_ADVERSITIES_xxyyyy&amp;product_id=3514</v>
      </c>
      <c r="CE635" s="1" t="str">
        <f ca="1">IFERROR(__xludf.DUMMYFUNCTION("""COMPUTED_VALUE"""),"Audiobook : Don’T Scare But Fight The Adversities : EP_129 : sanjayneha1@yahoo.com : Recorded")</f>
        <v>Audiobook : Don’T Scare But Fight The Adversities : EP_129 : sanjayneha1@yahoo.com : Recorded</v>
      </c>
      <c r="CF635" s="1" t="str">
        <f ca="1">IFERROR(__xludf.DUMMYFUNCTION("""COMPUTED_VALUE"""),"Audiobook : Don’T Scare But Fight The Adversities : EP_129 : sanjayneha1@yahoo.com : Recorded")</f>
        <v>Audiobook : Don’T Scare But Fight The Adversities : EP_129 : sanjayneha1@yahoo.com : Recorded</v>
      </c>
      <c r="CG635" s="1" t="str">
        <f ca="1">IFERROR(__xludf.DUMMYFUNCTION("""COMPUTED_VALUE"""),"Adarniya Neha Manocha ji Don’T Scare But Fight The Adversities : EP_129 : Allocated on 14-Nov-23 Contact Number  16174130446")</f>
        <v>Adarniya Neha Manocha ji Don’T Scare But Fight The Adversities : EP_129 : Allocated on 14-Nov-23 Contact Number  16174130446</v>
      </c>
      <c r="CH635" s="1" t="str">
        <f ca="1">IFERROR(__xludf.DUMMYFUNCTION("""COMPUTED_VALUE"""),"sanjayneha1@yahoo.com : Don’T Scare But Fight The Adversities : EP_129")</f>
        <v>sanjayneha1@yahoo.com : Don’T Scare But Fight The Adversities : EP_129</v>
      </c>
      <c r="CI635" s="5">
        <f ca="1">IFERROR(__xludf.DUMMYFUNCTION("""COMPUTED_VALUE"""),45244.4438937963)</f>
        <v>45244.443893796299</v>
      </c>
    </row>
    <row r="636" spans="1:87" x14ac:dyDescent="0.25">
      <c r="A636" s="5">
        <f ca="1">IFERROR(__xludf.DUMMYFUNCTION("""COMPUTED_VALUE"""),45244.3750131712)</f>
        <v>45244.3750131712</v>
      </c>
      <c r="B636" s="1" t="str">
        <f ca="1">IFERROR(__xludf.DUMMYFUNCTION("""COMPUTED_VALUE"""),"purnima.bharadwaj.24@gmail.com")</f>
        <v>purnima.bharadwaj.24@gmail.com</v>
      </c>
      <c r="C636" s="1" t="str">
        <f ca="1">IFERROR(__xludf.DUMMYFUNCTION("""COMPUTED_VALUE"""),"पूर्णिमा भारद्वाज ")</f>
        <v xml:space="preserve">पूर्णिमा भारद्वाज </v>
      </c>
      <c r="D636" s="1">
        <f ca="1">IFERROR(__xludf.DUMMYFUNCTION("""COMPUTED_VALUE"""),9415389032)</f>
        <v>9415389032</v>
      </c>
      <c r="E636" s="1" t="str">
        <f ca="1">IFERROR(__xludf.DUMMYFUNCTION("""COMPUTED_VALUE"""),"Yes")</f>
        <v>Yes</v>
      </c>
      <c r="F636" s="1" t="str">
        <f ca="1">IFERROR(__xludf.DUMMYFUNCTION("""COMPUTED_VALUE"""),"हिन्दी")</f>
        <v>हिन्दी</v>
      </c>
      <c r="G636" s="1" t="str">
        <f ca="1">IFERROR(__xludf.DUMMYFUNCTION("""COMPUTED_VALUE"""),"युग द्रष्टा पं. श्रीराम शर्मा आचार्यजी")</f>
        <v>युग द्रष्टा पं. श्रीराम शर्मा आचार्यजी</v>
      </c>
      <c r="H636" s="1"/>
      <c r="I636" s="1"/>
      <c r="J636" s="1"/>
      <c r="K636" s="1"/>
      <c r="L636" s="1"/>
      <c r="M636" s="1"/>
      <c r="N636" s="1"/>
      <c r="O636" s="1"/>
      <c r="P636" s="1" t="str">
        <f ca="1">IFERROR(__xludf.DUMMYFUNCTION("""COMPUTED_VALUE"""),"युगॠषी का जीवनदर्शन")</f>
        <v>युगॠषी का जीवनदर्शन</v>
      </c>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f ca="1">IFERROR(__xludf.DUMMYFUNCTION("""COMPUTED_VALUE"""),43)</f>
        <v>43</v>
      </c>
      <c r="BX636" s="1">
        <f ca="1">IFERROR(__xludf.DUMMYFUNCTION("""COMPUTED_VALUE"""),36)</f>
        <v>36</v>
      </c>
      <c r="BY636" s="1">
        <f ca="1">IFERROR(__xludf.DUMMYFUNCTION("""COMPUTED_VALUE"""),9)</f>
        <v>9</v>
      </c>
      <c r="BZ636" s="1">
        <f ca="1">IFERROR(__xludf.DUMMYFUNCTION("""COMPUTED_VALUE"""),30)</f>
        <v>30</v>
      </c>
      <c r="CA636" s="1"/>
      <c r="CB636" s="1"/>
      <c r="CC636" s="1" t="str">
        <f ca="1">IFERROR(__xludf.DUMMYFUNCTION("""COMPUTED_VALUE"""),"एक वर्ष की प्रज्ञा प्रवज्या का विषेश आमंत्रण : Rare Book")</f>
        <v>एक वर्ष की प्रज्ञा प्रवज्या का विषेश आमंत्रण : Rare Book</v>
      </c>
      <c r="CD636" s="3" t="str">
        <f ca="1">IFERROR(__xludf.DUMMYFUNCTION("""COMPUTED_VALUE"""),"https://vicharkrantibooks.org/productdetail?book_name=HINF0097_EK_VARSH_KI_PRAGYA_PRAVAJYA_KA_VISHESH_AMANTRAN_xxyyyy&amp;product_id=317")</f>
        <v>https://vicharkrantibooks.org/productdetail?book_name=HINF0097_EK_VARSH_KI_PRAGYA_PRAVAJYA_KA_VISHESH_AMANTRAN_xxyyyy&amp;product_id=317</v>
      </c>
      <c r="CE636" s="1" t="str">
        <f ca="1">IFERROR(__xludf.DUMMYFUNCTION("""COMPUTED_VALUE"""),"Audiobook : एक वर्ष की प्रज्ञा प्रवज्या का विषेश आमंत्रण : Rare Book : purnima.bharadwaj.24@gmail.com : Recorded")</f>
        <v>Audiobook : एक वर्ष की प्रज्ञा प्रवज्या का विषेश आमंत्रण : Rare Book : purnima.bharadwaj.24@gmail.com : Recorded</v>
      </c>
      <c r="CF636" s="1" t="str">
        <f ca="1">IFERROR(__xludf.DUMMYFUNCTION("""COMPUTED_VALUE"""),"Audiobook : एक वर्ष की प्रज्ञा प्रवज्या का विषेश आमंत्रण : Rare Book : purnima.bharadwaj.24@gmail.com : Recorded")</f>
        <v>Audiobook : एक वर्ष की प्रज्ञा प्रवज्या का विषेश आमंत्रण : Rare Book : purnima.bharadwaj.24@gmail.com : Recorded</v>
      </c>
      <c r="CG636" s="1" t="str">
        <f ca="1">IFERROR(__xludf.DUMMYFUNCTION("""COMPUTED_VALUE"""),"Adarniya पूर्णिमा भारद्वाज  ji एक वर्ष की प्रज्ञा प्रवज्या का विषेश आमंत्रण : Rare Book : Allocated on 14-Nov-23 Contact Number  9415389032")</f>
        <v>Adarniya पूर्णिमा भारद्वाज  ji एक वर्ष की प्रज्ञा प्रवज्या का विषेश आमंत्रण : Rare Book : Allocated on 14-Nov-23 Contact Number  9415389032</v>
      </c>
      <c r="CH636" s="1" t="str">
        <f ca="1">IFERROR(__xludf.DUMMYFUNCTION("""COMPUTED_VALUE"""),"purnima.bharadwaj.24@gmail.com : एक वर्ष की प्रज्ञा प्रवज्या का विषेश आमंत्रण : Rare Book")</f>
        <v>purnima.bharadwaj.24@gmail.com : एक वर्ष की प्रज्ञा प्रवज्या का विषेश आमंत्रण : Rare Book</v>
      </c>
      <c r="CI636" s="5">
        <f ca="1">IFERROR(__xludf.DUMMYFUNCTION("""COMPUTED_VALUE"""),45244.3750131712)</f>
        <v>45244.3750131712</v>
      </c>
    </row>
    <row r="637" spans="1:87" x14ac:dyDescent="0.25">
      <c r="A637" s="5">
        <f ca="1">IFERROR(__xludf.DUMMYFUNCTION("""COMPUTED_VALUE"""),45244.0831915509)</f>
        <v>45244.083191550897</v>
      </c>
      <c r="B637" s="1" t="str">
        <f ca="1">IFERROR(__xludf.DUMMYFUNCTION("""COMPUTED_VALUE"""),"Nehadsvv@gmail.com")</f>
        <v>Nehadsvv@gmail.com</v>
      </c>
      <c r="C637" s="1" t="str">
        <f ca="1">IFERROR(__xludf.DUMMYFUNCTION("""COMPUTED_VALUE"""),"Neha")</f>
        <v>Neha</v>
      </c>
      <c r="D637" s="1">
        <f ca="1">IFERROR(__xludf.DUMMYFUNCTION("""COMPUTED_VALUE"""),2043964168)</f>
        <v>2043964168</v>
      </c>
      <c r="E637" s="1" t="str">
        <f ca="1">IFERROR(__xludf.DUMMYFUNCTION("""COMPUTED_VALUE"""),"Yes")</f>
        <v>Yes</v>
      </c>
      <c r="F637" s="1" t="str">
        <f ca="1">IFERROR(__xludf.DUMMYFUNCTION("""COMPUTED_VALUE"""),"हिन्दी or English")</f>
        <v>हिन्दी or English</v>
      </c>
      <c r="G637" s="1" t="str">
        <f ca="1">IFERROR(__xludf.DUMMYFUNCTION("""COMPUTED_VALUE"""),"समग्र स्वास्थ्य")</f>
        <v>समग्र स्वास्थ्य</v>
      </c>
      <c r="H637" s="1"/>
      <c r="I637" s="1"/>
      <c r="J637" s="1"/>
      <c r="K637" s="1"/>
      <c r="L637" s="1"/>
      <c r="M637" s="1"/>
      <c r="N637" s="1"/>
      <c r="O637" s="1"/>
      <c r="P637" s="1"/>
      <c r="Q637" s="1"/>
      <c r="R637" s="1"/>
      <c r="S637" s="1"/>
      <c r="T637" s="1"/>
      <c r="U637" s="1" t="str">
        <f ca="1">IFERROR(__xludf.DUMMYFUNCTION("""COMPUTED_VALUE"""),"मानसिक स्वास्थ्य")</f>
        <v>मानसिक स्वास्थ्य</v>
      </c>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f ca="1">IFERROR(__xludf.DUMMYFUNCTION("""COMPUTED_VALUE"""),2)</f>
        <v>2</v>
      </c>
      <c r="BX637" s="1">
        <f ca="1">IFERROR(__xludf.DUMMYFUNCTION("""COMPUTED_VALUE"""),1)</f>
        <v>1</v>
      </c>
      <c r="BY637" s="1">
        <f ca="1">IFERROR(__xludf.DUMMYFUNCTION("""COMPUTED_VALUE"""),1)</f>
        <v>1</v>
      </c>
      <c r="BZ637" s="1">
        <f ca="1">IFERROR(__xludf.DUMMYFUNCTION("""COMPUTED_VALUE"""),0)</f>
        <v>0</v>
      </c>
      <c r="CA637" s="1"/>
      <c r="CB637" s="1"/>
      <c r="CC637" s="1" t="str">
        <f ca="1">IFERROR(__xludf.DUMMYFUNCTION("""COMPUTED_VALUE"""),"काया को रुग्ण और दुर्गतिग्रस्त न बनायें : Rare Book")</f>
        <v>काया को रुग्ण और दुर्गतिग्रस्त न बनायें : Rare Book</v>
      </c>
      <c r="CD637" s="3" t="str">
        <f ca="1">IFERROR(__xludf.DUMMYFUNCTION("""COMPUTED_VALUE"""),"https://vicharkrantibooks.org/productdetail?product_id=369")</f>
        <v>https://vicharkrantibooks.org/productdetail?product_id=369</v>
      </c>
      <c r="CE637" s="1" t="str">
        <f ca="1">IFERROR(__xludf.DUMMYFUNCTION("""COMPUTED_VALUE"""),"Audiobook : काया को रुग्ण और दुर्गतिग्रस्त न बनायें : Rare Book : Nehadsvv@gmail.com : Recorded")</f>
        <v>Audiobook : काया को रुग्ण और दुर्गतिग्रस्त न बनायें : Rare Book : Nehadsvv@gmail.com : Recorded</v>
      </c>
      <c r="CF637" s="1" t="str">
        <f ca="1">IFERROR(__xludf.DUMMYFUNCTION("""COMPUTED_VALUE"""),"#N/A")</f>
        <v>#N/A</v>
      </c>
      <c r="CG637" s="1" t="str">
        <f ca="1">IFERROR(__xludf.DUMMYFUNCTION("""COMPUTED_VALUE"""),"Adarniya Neha ji काया को रुग्ण और दुर्गतिग्रस्त न बनायें : Rare Book : Allocated on 14-Nov-23 Contact Number  2043964168")</f>
        <v>Adarniya Neha ji काया को रुग्ण और दुर्गतिग्रस्त न बनायें : Rare Book : Allocated on 14-Nov-23 Contact Number  2043964168</v>
      </c>
      <c r="CH637" s="1" t="str">
        <f ca="1">IFERROR(__xludf.DUMMYFUNCTION("""COMPUTED_VALUE"""),"Nehadsvv@gmail.com : काया को रुग्ण और दुर्गतिग्रस्त न बनायें : Rare Book")</f>
        <v>Nehadsvv@gmail.com : काया को रुग्ण और दुर्गतिग्रस्त न बनायें : Rare Book</v>
      </c>
      <c r="CI637" s="5">
        <f ca="1">IFERROR(__xludf.DUMMYFUNCTION("""COMPUTED_VALUE"""),45244.0831915509)</f>
        <v>45244.083191550897</v>
      </c>
    </row>
    <row r="638" spans="1:87" x14ac:dyDescent="0.25">
      <c r="A638" s="5">
        <f ca="1">IFERROR(__xludf.DUMMYFUNCTION("""COMPUTED_VALUE"""),45240.8361304629)</f>
        <v>45240.8361304629</v>
      </c>
      <c r="B638" s="1" t="str">
        <f ca="1">IFERROR(__xludf.DUMMYFUNCTION("""COMPUTED_VALUE"""),"shalinibaghel1923@gmail.com")</f>
        <v>shalinibaghel1923@gmail.com</v>
      </c>
      <c r="C638" s="1" t="str">
        <f ca="1">IFERROR(__xludf.DUMMYFUNCTION("""COMPUTED_VALUE"""),"Shalini Baghelker")</f>
        <v>Shalini Baghelker</v>
      </c>
      <c r="D638" s="1">
        <f ca="1">IFERROR(__xludf.DUMMYFUNCTION("""COMPUTED_VALUE"""),7999589365)</f>
        <v>7999589365</v>
      </c>
      <c r="E638" s="1" t="str">
        <f ca="1">IFERROR(__xludf.DUMMYFUNCTION("""COMPUTED_VALUE"""),"Yes")</f>
        <v>Yes</v>
      </c>
      <c r="F638" s="1" t="str">
        <f ca="1">IFERROR(__xludf.DUMMYFUNCTION("""COMPUTED_VALUE"""),"हिन्दी")</f>
        <v>हिन्दी</v>
      </c>
      <c r="G638" s="1" t="str">
        <f ca="1">IFERROR(__xludf.DUMMYFUNCTION("""COMPUTED_VALUE"""),"युग द्रष्टा पं. श्रीराम शर्मा आचार्यजी")</f>
        <v>युग द्रष्टा पं. श्रीराम शर्मा आचार्यजी</v>
      </c>
      <c r="H638" s="1"/>
      <c r="I638" s="1"/>
      <c r="J638" s="1"/>
      <c r="K638" s="1"/>
      <c r="L638" s="1"/>
      <c r="M638" s="1"/>
      <c r="N638" s="1"/>
      <c r="O638" s="1"/>
      <c r="P638" s="1" t="str">
        <f ca="1">IFERROR(__xludf.DUMMYFUNCTION("""COMPUTED_VALUE"""),"युगॠषी की अमृतवाणी")</f>
        <v>युगॠषी की अमृतवाणी</v>
      </c>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f ca="1">IFERROR(__xludf.DUMMYFUNCTION("""COMPUTED_VALUE"""),4)</f>
        <v>4</v>
      </c>
      <c r="BX638" s="1">
        <f ca="1">IFERROR(__xludf.DUMMYFUNCTION("""COMPUTED_VALUE"""),2)</f>
        <v>2</v>
      </c>
      <c r="BY638" s="1">
        <f ca="1">IFERROR(__xludf.DUMMYFUNCTION("""COMPUTED_VALUE"""),2)</f>
        <v>2</v>
      </c>
      <c r="BZ638" s="1">
        <f ca="1">IFERROR(__xludf.DUMMYFUNCTION("""COMPUTED_VALUE"""),1)</f>
        <v>1</v>
      </c>
      <c r="CA638" s="1"/>
      <c r="CB638" s="1"/>
      <c r="CC638" s="1" t="str">
        <f ca="1">IFERROR(__xludf.DUMMYFUNCTION("""COMPUTED_VALUE"""),"वसंत पर्व पर महाकाल का संदेश : Rare Book")</f>
        <v>वसंत पर्व पर महाकाल का संदेश : Rare Book</v>
      </c>
      <c r="CD638" s="3" t="str">
        <f ca="1">IFERROR(__xludf.DUMMYFUNCTION("""COMPUTED_VALUE"""),"https://vicharkrantibooks.org/productdetail?book_name=HINF0311_VASANT_PARV_PAR_MAHAKAL_KA_SANDESH_xxyyyy&amp;product_id=531")</f>
        <v>https://vicharkrantibooks.org/productdetail?book_name=HINF0311_VASANT_PARV_PAR_MAHAKAL_KA_SANDESH_xxyyyy&amp;product_id=531</v>
      </c>
      <c r="CE638" s="1" t="str">
        <f ca="1">IFERROR(__xludf.DUMMYFUNCTION("""COMPUTED_VALUE"""),"Audiobook : वसंत पर्व पर महाकाल का संदेश : Rare Book : shalinibaghel1923@gmail.com : Recorded")</f>
        <v>Audiobook : वसंत पर्व पर महाकाल का संदेश : Rare Book : shalinibaghel1923@gmail.com : Recorded</v>
      </c>
      <c r="CF638" s="1" t="str">
        <f ca="1">IFERROR(__xludf.DUMMYFUNCTION("""COMPUTED_VALUE"""),"Audiobook : वसंत पर्व पर महाकाल का संदेश : Rare Book : shalinibaghel1923@gmail.com : Recorded")</f>
        <v>Audiobook : वसंत पर्व पर महाकाल का संदेश : Rare Book : shalinibaghel1923@gmail.com : Recorded</v>
      </c>
      <c r="CG638" s="1" t="str">
        <f ca="1">IFERROR(__xludf.DUMMYFUNCTION("""COMPUTED_VALUE"""),"Adarniya Shalini Baghelker ji वसंत पर्व पर महाकाल का संदेश : Rare Book : Allocated on 10-Nov-23 Contact Number  7999589365")</f>
        <v>Adarniya Shalini Baghelker ji वसंत पर्व पर महाकाल का संदेश : Rare Book : Allocated on 10-Nov-23 Contact Number  7999589365</v>
      </c>
      <c r="CH638" s="1" t="str">
        <f ca="1">IFERROR(__xludf.DUMMYFUNCTION("""COMPUTED_VALUE"""),"shalinibaghel1923@gmail.com : वसंत पर्व पर महाकाल का संदेश : Rare Book")</f>
        <v>shalinibaghel1923@gmail.com : वसंत पर्व पर महाकाल का संदेश : Rare Book</v>
      </c>
      <c r="CI638" s="5">
        <f ca="1">IFERROR(__xludf.DUMMYFUNCTION("""COMPUTED_VALUE"""),45240.8361304629)</f>
        <v>45240.8361304629</v>
      </c>
    </row>
    <row r="639" spans="1:87" x14ac:dyDescent="0.25">
      <c r="A639" s="5">
        <f ca="1">IFERROR(__xludf.DUMMYFUNCTION("""COMPUTED_VALUE"""),45240.6824076736)</f>
        <v>45240.682407673601</v>
      </c>
      <c r="B639" s="1" t="str">
        <f ca="1">IFERROR(__xludf.DUMMYFUNCTION("""COMPUTED_VALUE"""),"rekhabhagat2511@gmail.com")</f>
        <v>rekhabhagat2511@gmail.com</v>
      </c>
      <c r="C639" s="1" t="str">
        <f ca="1">IFERROR(__xludf.DUMMYFUNCTION("""COMPUTED_VALUE"""),"Rekha Bhagat ")</f>
        <v xml:space="preserve">Rekha Bhagat </v>
      </c>
      <c r="D639" s="1">
        <f ca="1">IFERROR(__xludf.DUMMYFUNCTION("""COMPUTED_VALUE"""),942481125)</f>
        <v>942481125</v>
      </c>
      <c r="E639" s="1" t="str">
        <f ca="1">IFERROR(__xludf.DUMMYFUNCTION("""COMPUTED_VALUE"""),"Yes")</f>
        <v>Yes</v>
      </c>
      <c r="F639" s="1" t="str">
        <f ca="1">IFERROR(__xludf.DUMMYFUNCTION("""COMPUTED_VALUE"""),"हिन्दी")</f>
        <v>हिन्दी</v>
      </c>
      <c r="G639" s="1" t="str">
        <f ca="1">IFERROR(__xludf.DUMMYFUNCTION("""COMPUTED_VALUE"""),"युग परिवर्तन-विचार क्रांति")</f>
        <v>युग परिवर्तन-विचार क्रांति</v>
      </c>
      <c r="H639" s="1"/>
      <c r="I639" s="1"/>
      <c r="J639" s="1"/>
      <c r="K639" s="1"/>
      <c r="L639" s="1"/>
      <c r="M639" s="1"/>
      <c r="N639" s="1"/>
      <c r="O639" s="1"/>
      <c r="P639" s="1"/>
      <c r="Q639" s="1" t="str">
        <f ca="1">IFERROR(__xludf.DUMMYFUNCTION("""COMPUTED_VALUE"""),"विचार क्रांति")</f>
        <v>विचार क्रांति</v>
      </c>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f ca="1">IFERROR(__xludf.DUMMYFUNCTION("""COMPUTED_VALUE"""),19)</f>
        <v>19</v>
      </c>
      <c r="BX639" s="1">
        <f ca="1">IFERROR(__xludf.DUMMYFUNCTION("""COMPUTED_VALUE"""),11)</f>
        <v>11</v>
      </c>
      <c r="BY639" s="1">
        <f ca="1">IFERROR(__xludf.DUMMYFUNCTION("""COMPUTED_VALUE"""),8)</f>
        <v>8</v>
      </c>
      <c r="BZ639" s="1">
        <f ca="1">IFERROR(__xludf.DUMMYFUNCTION("""COMPUTED_VALUE"""),4)</f>
        <v>4</v>
      </c>
      <c r="CA639" s="1"/>
      <c r="CB639" s="1"/>
      <c r="CC639" s="1" t="str">
        <f ca="1">IFERROR(__xludf.DUMMYFUNCTION("""COMPUTED_VALUE"""),"पुस्तकालय सच्चे देवालय : H_SS_33")</f>
        <v>पुस्तकालय सच्चे देवालय : H_SS_33</v>
      </c>
      <c r="CD639" s="3" t="str">
        <f ca="1">IFERROR(__xludf.DUMMYFUNCTION("""COMPUTED_VALUE"""),"https://vicharkrantibooks.org/productdetail?book_name=HINP0694_PUSTAKALAY_SACHCHE_DEVALAY_xxyyyy&amp;product_id=1259")</f>
        <v>https://vicharkrantibooks.org/productdetail?book_name=HINP0694_PUSTAKALAY_SACHCHE_DEVALAY_xxyyyy&amp;product_id=1259</v>
      </c>
      <c r="CE639" s="1" t="str">
        <f ca="1">IFERROR(__xludf.DUMMYFUNCTION("""COMPUTED_VALUE"""),"Audiobook : पुस्तकालय सच्चे देवालय : H_SS_33 : rekhabhagat2511@gmail.com : Recorded")</f>
        <v>Audiobook : पुस्तकालय सच्चे देवालय : H_SS_33 : rekhabhagat2511@gmail.com : Recorded</v>
      </c>
      <c r="CF639" s="1" t="str">
        <f ca="1">IFERROR(__xludf.DUMMYFUNCTION("""COMPUTED_VALUE"""),"#N/A")</f>
        <v>#N/A</v>
      </c>
      <c r="CG639" s="1" t="str">
        <f ca="1">IFERROR(__xludf.DUMMYFUNCTION("""COMPUTED_VALUE"""),"Adarniya Rekha Bhagat  ji पुस्तकालय सच्चे देवालय : H_SS_33 : Allocated on 10-Nov-23 Contact Number  942481125")</f>
        <v>Adarniya Rekha Bhagat  ji पुस्तकालय सच्चे देवालय : H_SS_33 : Allocated on 10-Nov-23 Contact Number  942481125</v>
      </c>
      <c r="CH639" s="1" t="str">
        <f ca="1">IFERROR(__xludf.DUMMYFUNCTION("""COMPUTED_VALUE"""),"rekhabhagat2511@gmail.com : पुस्तकालय सच्चे देवालय : H_SS_33")</f>
        <v>rekhabhagat2511@gmail.com : पुस्तकालय सच्चे देवालय : H_SS_33</v>
      </c>
      <c r="CI639" s="5">
        <f ca="1">IFERROR(__xludf.DUMMYFUNCTION("""COMPUTED_VALUE"""),45240.6824076736)</f>
        <v>45240.682407673601</v>
      </c>
    </row>
    <row r="640" spans="1:87" x14ac:dyDescent="0.25">
      <c r="A640" s="5">
        <f ca="1">IFERROR(__xludf.DUMMYFUNCTION("""COMPUTED_VALUE"""),45239.9692405208)</f>
        <v>45239.969240520797</v>
      </c>
      <c r="B640" s="1" t="str">
        <f ca="1">IFERROR(__xludf.DUMMYFUNCTION("""COMPUTED_VALUE"""),"csprasad108@gmail.com")</f>
        <v>csprasad108@gmail.com</v>
      </c>
      <c r="C640" s="1" t="str">
        <f ca="1">IFERROR(__xludf.DUMMYFUNCTION("""COMPUTED_VALUE"""),"‍kumkum prasad")</f>
        <v>‍kumkum prasad</v>
      </c>
      <c r="D640" s="1">
        <f ca="1">IFERROR(__xludf.DUMMYFUNCTION("""COMPUTED_VALUE"""),7978055621)</f>
        <v>7978055621</v>
      </c>
      <c r="E640" s="1"/>
      <c r="F640" s="1" t="str">
        <f ca="1">IFERROR(__xludf.DUMMYFUNCTION("""COMPUTED_VALUE"""),"हिन्दी")</f>
        <v>हिन्दी</v>
      </c>
      <c r="G640" s="1" t="str">
        <f ca="1">IFERROR(__xludf.DUMMYFUNCTION("""COMPUTED_VALUE"""),"भारतीय संस्कृति")</f>
        <v>भारतीय संस्कृति</v>
      </c>
      <c r="H640" s="1"/>
      <c r="I640" s="1"/>
      <c r="J640" s="1"/>
      <c r="K640" s="1"/>
      <c r="L640" s="1"/>
      <c r="M640" s="1"/>
      <c r="N640" s="1"/>
      <c r="O640" s="1" t="str">
        <f ca="1">IFERROR(__xludf.DUMMYFUNCTION("""COMPUTED_VALUE"""),"भारतीय संस्कृति")</f>
        <v>भारतीय संस्कृति</v>
      </c>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f ca="1">IFERROR(__xludf.DUMMYFUNCTION("""COMPUTED_VALUE"""),52)</f>
        <v>52</v>
      </c>
      <c r="BX640" s="1">
        <f ca="1">IFERROR(__xludf.DUMMYFUNCTION("""COMPUTED_VALUE"""),54)</f>
        <v>54</v>
      </c>
      <c r="BY640" s="1">
        <f ca="1">IFERROR(__xludf.DUMMYFUNCTION("""COMPUTED_VALUE"""),3)</f>
        <v>3</v>
      </c>
      <c r="BZ640" s="1">
        <f ca="1">IFERROR(__xludf.DUMMYFUNCTION("""COMPUTED_VALUE"""),24)</f>
        <v>24</v>
      </c>
      <c r="CA640" s="1"/>
      <c r="CB640" s="1"/>
      <c r="CC640" s="1" t="str">
        <f ca="1">IFERROR(__xludf.DUMMYFUNCTION("""COMPUTED_VALUE"""),"आध्य शक्ति गायत्री युग शक्ति भी : Rare Book")</f>
        <v>आध्य शक्ति गायत्री युग शक्ति भी : Rare Book</v>
      </c>
      <c r="CD640" s="3" t="str">
        <f ca="1">IFERROR(__xludf.DUMMYFUNCTION("""COMPUTED_VALUE"""),"https://vicharkrantibooks.org/productdetail?book_name=HINF0005_ADHY_SHAKTI_GAYATRI_YUG_SHAKTI_BHI_xxyyyy&amp;product_id=225")</f>
        <v>https://vicharkrantibooks.org/productdetail?book_name=HINF0005_ADHY_SHAKTI_GAYATRI_YUG_SHAKTI_BHI_xxyyyy&amp;product_id=225</v>
      </c>
      <c r="CE640" s="1" t="str">
        <f ca="1">IFERROR(__xludf.DUMMYFUNCTION("""COMPUTED_VALUE"""),"Audiobook : आध्य शक्ति गायत्री युग शक्ति भी : Rare Book : csprasad108@gmail.com : Recorded")</f>
        <v>Audiobook : आध्य शक्ति गायत्री युग शक्ति भी : Rare Book : csprasad108@gmail.com : Recorded</v>
      </c>
      <c r="CF640" s="1" t="str">
        <f ca="1">IFERROR(__xludf.DUMMYFUNCTION("""COMPUTED_VALUE"""),"Audiobook : आध्य शक्ति गायत्री युग शक्ति भी : Rare Book : csprasad108@gmail.com : Recorded")</f>
        <v>Audiobook : आध्य शक्ति गायत्री युग शक्ति भी : Rare Book : csprasad108@gmail.com : Recorded</v>
      </c>
      <c r="CG640" s="1" t="str">
        <f ca="1">IFERROR(__xludf.DUMMYFUNCTION("""COMPUTED_VALUE"""),"Adarniya ‍kumkum prasad ji आध्य शक्ति गायत्री युग शक्ति भी : Rare Book : Allocated on 09-Nov-23 Contact Number  7978055621")</f>
        <v>Adarniya ‍kumkum prasad ji आध्य शक्ति गायत्री युग शक्ति भी : Rare Book : Allocated on 09-Nov-23 Contact Number  7978055621</v>
      </c>
      <c r="CH640" s="1" t="str">
        <f ca="1">IFERROR(__xludf.DUMMYFUNCTION("""COMPUTED_VALUE"""),"csprasad108@gmail.com : आध्य शक्ति गायत्री युग शक्ति भी : Rare Book")</f>
        <v>csprasad108@gmail.com : आध्य शक्ति गायत्री युग शक्ति भी : Rare Book</v>
      </c>
      <c r="CI640" s="5">
        <f ca="1">IFERROR(__xludf.DUMMYFUNCTION("""COMPUTED_VALUE"""),45239.9692405208)</f>
        <v>45239.969240520797</v>
      </c>
    </row>
    <row r="641" spans="1:87" x14ac:dyDescent="0.25">
      <c r="A641" s="5">
        <f ca="1">IFERROR(__xludf.DUMMYFUNCTION("""COMPUTED_VALUE"""),45239.2680817245)</f>
        <v>45239.268081724498</v>
      </c>
      <c r="B641" s="1" t="str">
        <f ca="1">IFERROR(__xludf.DUMMYFUNCTION("""COMPUTED_VALUE"""),"purnima.bharadwaj.24@gmail.com")</f>
        <v>purnima.bharadwaj.24@gmail.com</v>
      </c>
      <c r="C641" s="1" t="str">
        <f ca="1">IFERROR(__xludf.DUMMYFUNCTION("""COMPUTED_VALUE"""),"पूर्णिमा भारद्वाज ")</f>
        <v xml:space="preserve">पूर्णिमा भारद्वाज </v>
      </c>
      <c r="D641" s="1">
        <f ca="1">IFERROR(__xludf.DUMMYFUNCTION("""COMPUTED_VALUE"""),9415389032)</f>
        <v>9415389032</v>
      </c>
      <c r="E641" s="1" t="str">
        <f ca="1">IFERROR(__xludf.DUMMYFUNCTION("""COMPUTED_VALUE"""),"Yes")</f>
        <v>Yes</v>
      </c>
      <c r="F641" s="1" t="str">
        <f ca="1">IFERROR(__xludf.DUMMYFUNCTION("""COMPUTED_VALUE"""),"हिन्दी")</f>
        <v>हिन्दी</v>
      </c>
      <c r="G641" s="1"/>
      <c r="H641" s="1" t="str">
        <f ca="1">IFERROR(__xludf.DUMMYFUNCTION("""COMPUTED_VALUE"""),"आत्मज्ञान एवं आत्मनिर्माण")</f>
        <v>आत्मज्ञान एवं आत्मनिर्माण</v>
      </c>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f ca="1">IFERROR(__xludf.DUMMYFUNCTION("""COMPUTED_VALUE"""),43)</f>
        <v>43</v>
      </c>
      <c r="BX641" s="1">
        <f ca="1">IFERROR(__xludf.DUMMYFUNCTION("""COMPUTED_VALUE"""),36)</f>
        <v>36</v>
      </c>
      <c r="BY641" s="1">
        <f ca="1">IFERROR(__xludf.DUMMYFUNCTION("""COMPUTED_VALUE"""),9)</f>
        <v>9</v>
      </c>
      <c r="BZ641" s="1">
        <f ca="1">IFERROR(__xludf.DUMMYFUNCTION("""COMPUTED_VALUE"""),30)</f>
        <v>30</v>
      </c>
      <c r="CA641" s="1"/>
      <c r="CB641" s="1"/>
      <c r="CC641" s="1" t="str">
        <f ca="1">IFERROR(__xludf.DUMMYFUNCTION("""COMPUTED_VALUE"""),"इक्कीसवीं सदी की युगचेतना का उद्‌गम शान्तिकुंज : Rare Book")</f>
        <v>इक्कीसवीं सदी की युगचेतना का उद्‌गम शान्तिकुंज : Rare Book</v>
      </c>
      <c r="CD641" s="3" t="str">
        <f ca="1">IFERROR(__xludf.DUMMYFUNCTION("""COMPUTED_VALUE"""),"https://vicharkrantibooks.org/productdetail?book_name=HINF0119_IKKISAVI_SADI_KI_YUG_CHETANA_KA_UDGAM_SHANTIKUNJ_xxyyyy&amp;product_id=339")</f>
        <v>https://vicharkrantibooks.org/productdetail?book_name=HINF0119_IKKISAVI_SADI_KI_YUG_CHETANA_KA_UDGAM_SHANTIKUNJ_xxyyyy&amp;product_id=339</v>
      </c>
      <c r="CE641" s="1" t="str">
        <f ca="1">IFERROR(__xludf.DUMMYFUNCTION("""COMPUTED_VALUE"""),"Audiobook : इक्कीसवीं सदी की युगचेतना का उद्‌गम शान्तिकुंज : Rare Book : purnima.bharadwaj.24@gmail.com : Recorded")</f>
        <v>Audiobook : इक्कीसवीं सदी की युगचेतना का उद्‌गम शान्तिकुंज : Rare Book : purnima.bharadwaj.24@gmail.com : Recorded</v>
      </c>
      <c r="CF641" s="1" t="str">
        <f ca="1">IFERROR(__xludf.DUMMYFUNCTION("""COMPUTED_VALUE"""),"Audiobook : इक्कीसवीं सदी की युगचेतना का उद्‌गम शान्तिकुंज : Rare Book : purnima.bharadwaj.24@gmail.com : Recorded")</f>
        <v>Audiobook : इक्कीसवीं सदी की युगचेतना का उद्‌गम शान्तिकुंज : Rare Book : purnima.bharadwaj.24@gmail.com : Recorded</v>
      </c>
      <c r="CG641" s="1" t="str">
        <f ca="1">IFERROR(__xludf.DUMMYFUNCTION("""COMPUTED_VALUE"""),"Adarniya पूर्णिमा भारद्वाज  ji इक्कीसवीं सदी की युगचेतना का उद्‌गम शान्तिकुंज : Rare Book : Allocated on 09-Nov-23 Contact Number  9415389032")</f>
        <v>Adarniya पूर्णिमा भारद्वाज  ji इक्कीसवीं सदी की युगचेतना का उद्‌गम शान्तिकुंज : Rare Book : Allocated on 09-Nov-23 Contact Number  9415389032</v>
      </c>
      <c r="CH641" s="1" t="str">
        <f ca="1">IFERROR(__xludf.DUMMYFUNCTION("""COMPUTED_VALUE"""),"purnima.bharadwaj.24@gmail.com : इक्कीसवीं सदी की युगचेतना का उद्‌गम शान्तिकुंज : Rare Book")</f>
        <v>purnima.bharadwaj.24@gmail.com : इक्कीसवीं सदी की युगचेतना का उद्‌गम शान्तिकुंज : Rare Book</v>
      </c>
      <c r="CI641" s="5">
        <f ca="1">IFERROR(__xludf.DUMMYFUNCTION("""COMPUTED_VALUE"""),45239.2680817245)</f>
        <v>45239.268081724498</v>
      </c>
    </row>
    <row r="642" spans="1:87" x14ac:dyDescent="0.25">
      <c r="A642" s="5">
        <f ca="1">IFERROR(__xludf.DUMMYFUNCTION("""COMPUTED_VALUE"""),45239.0782681712)</f>
        <v>45239.078268171201</v>
      </c>
      <c r="B642" s="1" t="str">
        <f ca="1">IFERROR(__xludf.DUMMYFUNCTION("""COMPUTED_VALUE"""),"anjuvishwas19@gmail.com")</f>
        <v>anjuvishwas19@gmail.com</v>
      </c>
      <c r="C642" s="1" t="str">
        <f ca="1">IFERROR(__xludf.DUMMYFUNCTION("""COMPUTED_VALUE"""),"Anju Vishwas ")</f>
        <v xml:space="preserve">Anju Vishwas </v>
      </c>
      <c r="D642" s="1">
        <f ca="1">IFERROR(__xludf.DUMMYFUNCTION("""COMPUTED_VALUE"""),9871575706)</f>
        <v>9871575706</v>
      </c>
      <c r="E642" s="1" t="str">
        <f ca="1">IFERROR(__xludf.DUMMYFUNCTION("""COMPUTED_VALUE"""),"No")</f>
        <v>No</v>
      </c>
      <c r="F642" s="1" t="str">
        <f ca="1">IFERROR(__xludf.DUMMYFUNCTION("""COMPUTED_VALUE"""),"हिन्दी")</f>
        <v>हिन्दी</v>
      </c>
      <c r="G642" s="1" t="str">
        <f ca="1">IFERROR(__xludf.DUMMYFUNCTION("""COMPUTED_VALUE"""),"अध्यात्म, धर्म एवं दर्शन")</f>
        <v>अध्यात्म, धर्म एवं दर्शन</v>
      </c>
      <c r="H642" s="1" t="str">
        <f ca="1">IFERROR(__xludf.DUMMYFUNCTION("""COMPUTED_VALUE"""),"अध्यात्म, धर्म एवं आस्तिकता")</f>
        <v>अध्यात्म, धर्म एवं आस्तिकता</v>
      </c>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f ca="1">IFERROR(__xludf.DUMMYFUNCTION("""COMPUTED_VALUE"""),1)</f>
        <v>1</v>
      </c>
      <c r="BX642" s="1">
        <f ca="1">IFERROR(__xludf.DUMMYFUNCTION("""COMPUTED_VALUE"""),0)</f>
        <v>0</v>
      </c>
      <c r="BY642" s="1">
        <f ca="1">IFERROR(__xludf.DUMMYFUNCTION("""COMPUTED_VALUE"""),1)</f>
        <v>1</v>
      </c>
      <c r="BZ642" s="1">
        <f ca="1">IFERROR(__xludf.DUMMYFUNCTION("""COMPUTED_VALUE"""),0)</f>
        <v>0</v>
      </c>
      <c r="CA642" s="1"/>
      <c r="CB642" s="1"/>
      <c r="CC642" s="1" t="str">
        <f ca="1">IFERROR(__xludf.DUMMYFUNCTION("""COMPUTED_VALUE"""),"अध्यात्म संसार का सबसे लाभकारक व्यापार : Rare Book")</f>
        <v>अध्यात्म संसार का सबसे लाभकारक व्यापार : Rare Book</v>
      </c>
      <c r="CD642" s="3" t="str">
        <f ca="1">IFERROR(__xludf.DUMMYFUNCTION("""COMPUTED_VALUE"""),"https://vicharkrantibooks.org/productdetail?book_name=HINF0012_ADHYATM_SANSAR_KA_SABASE_LABHAKARAK_VYAPAR_xxyyyy&amp;product_id=232")</f>
        <v>https://vicharkrantibooks.org/productdetail?book_name=HINF0012_ADHYATM_SANSAR_KA_SABASE_LABHAKARAK_VYAPAR_xxyyyy&amp;product_id=232</v>
      </c>
      <c r="CE642" s="1" t="str">
        <f ca="1">IFERROR(__xludf.DUMMYFUNCTION("""COMPUTED_VALUE"""),"Audiobook : अध्यात्म संसार का सबसे लाभकारक व्यापार : Rare Book : anjuvishwas19@gmail.com : Recorded")</f>
        <v>Audiobook : अध्यात्म संसार का सबसे लाभकारक व्यापार : Rare Book : anjuvishwas19@gmail.com : Recorded</v>
      </c>
      <c r="CF642" s="1" t="str">
        <f ca="1">IFERROR(__xludf.DUMMYFUNCTION("""COMPUTED_VALUE"""),"#N/A")</f>
        <v>#N/A</v>
      </c>
      <c r="CG642" s="1" t="str">
        <f ca="1">IFERROR(__xludf.DUMMYFUNCTION("""COMPUTED_VALUE"""),"Adarniya Anju Vishwas  ji अध्यात्म संसार का सबसे लाभकारक व्यापार : Rare Book : Allocated on 09-Nov-23 Contact Number  9871575706")</f>
        <v>Adarniya Anju Vishwas  ji अध्यात्म संसार का सबसे लाभकारक व्यापार : Rare Book : Allocated on 09-Nov-23 Contact Number  9871575706</v>
      </c>
      <c r="CH642" s="1" t="str">
        <f ca="1">IFERROR(__xludf.DUMMYFUNCTION("""COMPUTED_VALUE"""),"anjuvishwas19@gmail.com : अध्यात्म संसार का सबसे लाभकारक व्यापार : Rare Book")</f>
        <v>anjuvishwas19@gmail.com : अध्यात्म संसार का सबसे लाभकारक व्यापार : Rare Book</v>
      </c>
      <c r="CI642" s="5">
        <f ca="1">IFERROR(__xludf.DUMMYFUNCTION("""COMPUTED_VALUE"""),45239.0782681712)</f>
        <v>45239.078268171201</v>
      </c>
    </row>
    <row r="643" spans="1:87" x14ac:dyDescent="0.25">
      <c r="A643" s="5">
        <f ca="1">IFERROR(__xludf.DUMMYFUNCTION("""COMPUTED_VALUE"""),45238.3548015162)</f>
        <v>45238.354801516201</v>
      </c>
      <c r="B643" s="1" t="str">
        <f ca="1">IFERROR(__xludf.DUMMYFUNCTION("""COMPUTED_VALUE"""),"sunitaster@gmail.com")</f>
        <v>sunitaster@gmail.com</v>
      </c>
      <c r="C643" s="1" t="str">
        <f ca="1">IFERROR(__xludf.DUMMYFUNCTION("""COMPUTED_VALUE"""),"Sunita Gupta")</f>
        <v>Sunita Gupta</v>
      </c>
      <c r="D643" s="1">
        <f ca="1">IFERROR(__xludf.DUMMYFUNCTION("""COMPUTED_VALUE"""),6318822791)</f>
        <v>6318822791</v>
      </c>
      <c r="E643" s="1" t="str">
        <f ca="1">IFERROR(__xludf.DUMMYFUNCTION("""COMPUTED_VALUE"""),"No")</f>
        <v>No</v>
      </c>
      <c r="F643" s="1" t="str">
        <f ca="1">IFERROR(__xludf.DUMMYFUNCTION("""COMPUTED_VALUE"""),"हिन्दी or English")</f>
        <v>हिन्दी or English</v>
      </c>
      <c r="G643" s="1" t="str">
        <f ca="1">IFERROR(__xludf.DUMMYFUNCTION("""COMPUTED_VALUE"""),"जीवन प्रबंध")</f>
        <v>जीवन प्रबंध</v>
      </c>
      <c r="H643" s="1"/>
      <c r="I643" s="1"/>
      <c r="J643" s="1"/>
      <c r="K643" s="1"/>
      <c r="L643" s="1" t="str">
        <f ca="1">IFERROR(__xludf.DUMMYFUNCTION("""COMPUTED_VALUE"""),"जीवन साधना")</f>
        <v>जीवन साधना</v>
      </c>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f ca="1">IFERROR(__xludf.DUMMYFUNCTION("""COMPUTED_VALUE"""),5)</f>
        <v>5</v>
      </c>
      <c r="BX643" s="1">
        <f ca="1">IFERROR(__xludf.DUMMYFUNCTION("""COMPUTED_VALUE"""),1)</f>
        <v>1</v>
      </c>
      <c r="BY643" s="1">
        <f ca="1">IFERROR(__xludf.DUMMYFUNCTION("""COMPUTED_VALUE"""),4)</f>
        <v>4</v>
      </c>
      <c r="BZ643" s="1">
        <f ca="1">IFERROR(__xludf.DUMMYFUNCTION("""COMPUTED_VALUE"""),0)</f>
        <v>0</v>
      </c>
      <c r="CA643" s="1"/>
      <c r="CB643" s="1"/>
      <c r="CC643" s="1" t="str">
        <f ca="1">IFERROR(__xludf.DUMMYFUNCTION("""COMPUTED_VALUE"""),"Determination Paves The Way To Success : EP_123")</f>
        <v>Determination Paves The Way To Success : EP_123</v>
      </c>
      <c r="CD643" s="3" t="str">
        <f ca="1">IFERROR(__xludf.DUMMYFUNCTION("""COMPUTED_VALUE"""),"https://vicharkrantibooks.org/productdetail?book_name=ENGP0810_DETERMINATION_PAVES_THE_WAY_TO_SUCCESS_xxyyyy&amp;product_id=3508")</f>
        <v>https://vicharkrantibooks.org/productdetail?book_name=ENGP0810_DETERMINATION_PAVES_THE_WAY_TO_SUCCESS_xxyyyy&amp;product_id=3508</v>
      </c>
      <c r="CE643" s="1" t="str">
        <f ca="1">IFERROR(__xludf.DUMMYFUNCTION("""COMPUTED_VALUE"""),"Audiobook : Determination Paves The Way To Success : EP_123 : sunitaster@gmail.com : Recorded")</f>
        <v>Audiobook : Determination Paves The Way To Success : EP_123 : sunitaster@gmail.com : Recorded</v>
      </c>
      <c r="CF643" s="1" t="str">
        <f ca="1">IFERROR(__xludf.DUMMYFUNCTION("""COMPUTED_VALUE"""),"#N/A")</f>
        <v>#N/A</v>
      </c>
      <c r="CG643" s="1" t="str">
        <f ca="1">IFERROR(__xludf.DUMMYFUNCTION("""COMPUTED_VALUE"""),"Adarniya Sunita Gupta ji Determination Paves The Way To Success : EP_123 : Allocated on 08-Nov-23 Contact Number  6318822791")</f>
        <v>Adarniya Sunita Gupta ji Determination Paves The Way To Success : EP_123 : Allocated on 08-Nov-23 Contact Number  6318822791</v>
      </c>
      <c r="CH643" s="1" t="str">
        <f ca="1">IFERROR(__xludf.DUMMYFUNCTION("""COMPUTED_VALUE"""),"sunitaster@gmail.com : Determination Paves The Way To Success : EP_123")</f>
        <v>sunitaster@gmail.com : Determination Paves The Way To Success : EP_123</v>
      </c>
      <c r="CI643" s="5">
        <f ca="1">IFERROR(__xludf.DUMMYFUNCTION("""COMPUTED_VALUE"""),45238.3548015162)</f>
        <v>45238.354801516201</v>
      </c>
    </row>
    <row r="644" spans="1:87" x14ac:dyDescent="0.25">
      <c r="A644" s="5">
        <f ca="1">IFERROR(__xludf.DUMMYFUNCTION("""COMPUTED_VALUE"""),45237.9430338888)</f>
        <v>45237.943033888798</v>
      </c>
      <c r="B644" s="1" t="str">
        <f ca="1">IFERROR(__xludf.DUMMYFUNCTION("""COMPUTED_VALUE"""),"ojhakrishna2310@gmail.com")</f>
        <v>ojhakrishna2310@gmail.com</v>
      </c>
      <c r="C644" s="1" t="str">
        <f ca="1">IFERROR(__xludf.DUMMYFUNCTION("""COMPUTED_VALUE"""),"Krishna arunkumar ojha")</f>
        <v>Krishna arunkumar ojha</v>
      </c>
      <c r="D644" s="1">
        <f ca="1">IFERROR(__xludf.DUMMYFUNCTION("""COMPUTED_VALUE"""),9637907058)</f>
        <v>9637907058</v>
      </c>
      <c r="E644" s="1"/>
      <c r="F644" s="1" t="str">
        <f ca="1">IFERROR(__xludf.DUMMYFUNCTION("""COMPUTED_VALUE"""),"हिन्दी")</f>
        <v>हिन्दी</v>
      </c>
      <c r="G644" s="1" t="str">
        <f ca="1">IFERROR(__xludf.DUMMYFUNCTION("""COMPUTED_VALUE"""),"जीवन प्रबंध")</f>
        <v>जीवन प्रबंध</v>
      </c>
      <c r="H644" s="1"/>
      <c r="I644" s="1"/>
      <c r="J644" s="1"/>
      <c r="K644" s="1"/>
      <c r="L644" s="1" t="str">
        <f ca="1">IFERROR(__xludf.DUMMYFUNCTION("""COMPUTED_VALUE"""),"मन की शक्ति एवं मनोविज्ञान")</f>
        <v>मन की शक्ति एवं मनोविज्ञान</v>
      </c>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f ca="1">IFERROR(__xludf.DUMMYFUNCTION("""COMPUTED_VALUE"""),13)</f>
        <v>13</v>
      </c>
      <c r="BX644" s="1">
        <f ca="1">IFERROR(__xludf.DUMMYFUNCTION("""COMPUTED_VALUE"""),6)</f>
        <v>6</v>
      </c>
      <c r="BY644" s="1">
        <f ca="1">IFERROR(__xludf.DUMMYFUNCTION("""COMPUTED_VALUE"""),8)</f>
        <v>8</v>
      </c>
      <c r="BZ644" s="1">
        <f ca="1">IFERROR(__xludf.DUMMYFUNCTION("""COMPUTED_VALUE"""),0)</f>
        <v>0</v>
      </c>
      <c r="CA644" s="1"/>
      <c r="CB644" s="1"/>
      <c r="CC644" s="1" t="str">
        <f ca="1">IFERROR(__xludf.DUMMYFUNCTION("""COMPUTED_VALUE"""),"कुकल्पनाओं का विचित्र संसार : Rare Book")</f>
        <v>कुकल्पनाओं का विचित्र संसार : Rare Book</v>
      </c>
      <c r="CD644" s="3" t="str">
        <f ca="1">IFERROR(__xludf.DUMMYFUNCTION("""COMPUTED_VALUE"""),"https://vicharkrantibooks.org/productdetail?product_id=375")</f>
        <v>https://vicharkrantibooks.org/productdetail?product_id=375</v>
      </c>
      <c r="CE644" s="1" t="str">
        <f ca="1">IFERROR(__xludf.DUMMYFUNCTION("""COMPUTED_VALUE"""),"Audiobook : कुकल्पनाओं का विचित्र संसार : Rare Book : ojhakrishna2310@gmail.com : Recorded")</f>
        <v>Audiobook : कुकल्पनाओं का विचित्र संसार : Rare Book : ojhakrishna2310@gmail.com : Recorded</v>
      </c>
      <c r="CF644" s="1" t="str">
        <f ca="1">IFERROR(__xludf.DUMMYFUNCTION("""COMPUTED_VALUE"""),"#N/A")</f>
        <v>#N/A</v>
      </c>
      <c r="CG644" s="1" t="str">
        <f ca="1">IFERROR(__xludf.DUMMYFUNCTION("""COMPUTED_VALUE"""),"Adarniya Krishna arunkumar ojha ji कुकल्पनाओं का विचित्र संसार : Rare Book : Allocated on 07-Nov-23 Contact Number  9637907058")</f>
        <v>Adarniya Krishna arunkumar ojha ji कुकल्पनाओं का विचित्र संसार : Rare Book : Allocated on 07-Nov-23 Contact Number  9637907058</v>
      </c>
      <c r="CH644" s="1"/>
      <c r="CI644" s="1"/>
    </row>
    <row r="645" spans="1:87" x14ac:dyDescent="0.25">
      <c r="A645" s="5">
        <f ca="1">IFERROR(__xludf.DUMMYFUNCTION("""COMPUTED_VALUE"""),45237.6769166203)</f>
        <v>45237.676916620301</v>
      </c>
      <c r="B645" s="1" t="str">
        <f ca="1">IFERROR(__xludf.DUMMYFUNCTION("""COMPUTED_VALUE"""),"sengarpriya15@gmail.com")</f>
        <v>sengarpriya15@gmail.com</v>
      </c>
      <c r="C645" s="1" t="str">
        <f ca="1">IFERROR(__xludf.DUMMYFUNCTION("""COMPUTED_VALUE"""),"Priya Sengar")</f>
        <v>Priya Sengar</v>
      </c>
      <c r="D645" s="1">
        <f ca="1">IFERROR(__xludf.DUMMYFUNCTION("""COMPUTED_VALUE"""),9871444528)</f>
        <v>9871444528</v>
      </c>
      <c r="E645" s="1" t="str">
        <f ca="1">IFERROR(__xludf.DUMMYFUNCTION("""COMPUTED_VALUE"""),"Yes")</f>
        <v>Yes</v>
      </c>
      <c r="F645" s="1" t="str">
        <f ca="1">IFERROR(__xludf.DUMMYFUNCTION("""COMPUTED_VALUE"""),"हिन्दी or English")</f>
        <v>हिन्दी or English</v>
      </c>
      <c r="G645" s="1" t="str">
        <f ca="1">IFERROR(__xludf.DUMMYFUNCTION("""COMPUTED_VALUE"""),"वैज्ञानिक अध्यात्मवाद का प्रतिपादन")</f>
        <v>वैज्ञानिक अध्यात्मवाद का प्रतिपादन</v>
      </c>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f ca="1">IFERROR(__xludf.DUMMYFUNCTION("""COMPUTED_VALUE"""),1)</f>
        <v>1</v>
      </c>
      <c r="BX645" s="1">
        <f ca="1">IFERROR(__xludf.DUMMYFUNCTION("""COMPUTED_VALUE"""),0)</f>
        <v>0</v>
      </c>
      <c r="BY645" s="1">
        <f ca="1">IFERROR(__xludf.DUMMYFUNCTION("""COMPUTED_VALUE"""),1)</f>
        <v>1</v>
      </c>
      <c r="BZ645" s="1">
        <f ca="1">IFERROR(__xludf.DUMMYFUNCTION("""COMPUTED_VALUE"""),0)</f>
        <v>0</v>
      </c>
      <c r="CA645" s="1"/>
      <c r="CB645" s="1"/>
      <c r="CC645" s="1" t="str">
        <f ca="1">IFERROR(__xludf.DUMMYFUNCTION("""COMPUTED_VALUE"""),"अध्यात्म विज्ञान संमत बने विज्ञान अध्यात्म परक : Rare Book")</f>
        <v>अध्यात्म विज्ञान संमत बने विज्ञान अध्यात्म परक : Rare Book</v>
      </c>
      <c r="CD645" s="3" t="str">
        <f ca="1">IFERROR(__xludf.DUMMYFUNCTION("""COMPUTED_VALUE"""),"https://vicharkrantibooks.org/productdetail?book_name=HINF0014_ADHYATM_VIGYAN_SAMMAT_BANE_VIGYAN_ADHYATM_PARAK_xxyyyy&amp;product_id=234")</f>
        <v>https://vicharkrantibooks.org/productdetail?book_name=HINF0014_ADHYATM_VIGYAN_SAMMAT_BANE_VIGYAN_ADHYATM_PARAK_xxyyyy&amp;product_id=234</v>
      </c>
      <c r="CE645" s="1" t="str">
        <f ca="1">IFERROR(__xludf.DUMMYFUNCTION("""COMPUTED_VALUE"""),"Audiobook : अध्यात्म विज्ञान संमत बने विज्ञान अध्यात्म परक : Rare Book : sengarpriya15@gmail.com : Recorded")</f>
        <v>Audiobook : अध्यात्म विज्ञान संमत बने विज्ञान अध्यात्म परक : Rare Book : sengarpriya15@gmail.com : Recorded</v>
      </c>
      <c r="CF645" s="1" t="str">
        <f ca="1">IFERROR(__xludf.DUMMYFUNCTION("""COMPUTED_VALUE"""),"#N/A")</f>
        <v>#N/A</v>
      </c>
      <c r="CG645" s="1" t="str">
        <f ca="1">IFERROR(__xludf.DUMMYFUNCTION("""COMPUTED_VALUE"""),"Adarniya Priya Sengar ji अध्यात्म विज्ञान संमत बने विज्ञान अध्यात्म परक : Rare Book : Allocated on 07-Nov-23 Contact Number  9871444528")</f>
        <v>Adarniya Priya Sengar ji अध्यात्म विज्ञान संमत बने विज्ञान अध्यात्म परक : Rare Book : Allocated on 07-Nov-23 Contact Number  9871444528</v>
      </c>
      <c r="CH645" s="1"/>
      <c r="CI645" s="1"/>
    </row>
    <row r="646" spans="1:87" x14ac:dyDescent="0.25">
      <c r="A646" s="5">
        <f ca="1">IFERROR(__xludf.DUMMYFUNCTION("""COMPUTED_VALUE"""),45236.9865952662)</f>
        <v>45236.9865952662</v>
      </c>
      <c r="B646" s="1" t="str">
        <f ca="1">IFERROR(__xludf.DUMMYFUNCTION("""COMPUTED_VALUE"""),"shweta.r.gupta79@gmail.com")</f>
        <v>shweta.r.gupta79@gmail.com</v>
      </c>
      <c r="C646" s="1" t="str">
        <f ca="1">IFERROR(__xludf.DUMMYFUNCTION("""COMPUTED_VALUE"""),"Shweta Gupta ")</f>
        <v xml:space="preserve">Shweta Gupta </v>
      </c>
      <c r="D646" s="1">
        <f ca="1">IFERROR(__xludf.DUMMYFUNCTION("""COMPUTED_VALUE"""),8369516724)</f>
        <v>8369516724</v>
      </c>
      <c r="E646" s="1" t="str">
        <f ca="1">IFERROR(__xludf.DUMMYFUNCTION("""COMPUTED_VALUE"""),"Yes")</f>
        <v>Yes</v>
      </c>
      <c r="F646" s="1" t="str">
        <f ca="1">IFERROR(__xludf.DUMMYFUNCTION("""COMPUTED_VALUE"""),"हिन्दी")</f>
        <v>हिन्दी</v>
      </c>
      <c r="G646" s="1" t="str">
        <f ca="1">IFERROR(__xludf.DUMMYFUNCTION("""COMPUTED_VALUE"""),"समग्र स्वास्थ्य")</f>
        <v>समग्र स्वास्थ्य</v>
      </c>
      <c r="H646" s="1"/>
      <c r="I646" s="1"/>
      <c r="J646" s="1"/>
      <c r="K646" s="1"/>
      <c r="L646" s="1"/>
      <c r="M646" s="1"/>
      <c r="N646" s="1"/>
      <c r="O646" s="1"/>
      <c r="P646" s="1"/>
      <c r="Q646" s="1"/>
      <c r="R646" s="1"/>
      <c r="S646" s="1"/>
      <c r="T646" s="1"/>
      <c r="U646" s="1" t="str">
        <f ca="1">IFERROR(__xludf.DUMMYFUNCTION("""COMPUTED_VALUE"""),"मानसिक स्वास्थ्य")</f>
        <v>मानसिक स्वास्थ्य</v>
      </c>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f ca="1">IFERROR(__xludf.DUMMYFUNCTION("""COMPUTED_VALUE"""),31)</f>
        <v>31</v>
      </c>
      <c r="BX646" s="1">
        <f ca="1">IFERROR(__xludf.DUMMYFUNCTION("""COMPUTED_VALUE"""),45)</f>
        <v>45</v>
      </c>
      <c r="BY646" s="1">
        <f ca="1">IFERROR(__xludf.DUMMYFUNCTION("""COMPUTED_VALUE"""),3)</f>
        <v>3</v>
      </c>
      <c r="BZ646" s="1">
        <f ca="1">IFERROR(__xludf.DUMMYFUNCTION("""COMPUTED_VALUE"""),40)</f>
        <v>40</v>
      </c>
      <c r="CA646" s="1"/>
      <c r="CB646" s="1"/>
      <c r="CC646" s="1" t="str">
        <f ca="1">IFERROR(__xludf.DUMMYFUNCTION("""COMPUTED_VALUE"""),"निश्चित फलदायि जीवन साधना : H_PP_38")</f>
        <v>निश्चित फलदायि जीवन साधना : H_PP_38</v>
      </c>
      <c r="CD646" s="3" t="str">
        <f ca="1">IFERROR(__xludf.DUMMYFUNCTION("""COMPUTED_VALUE"""),"https://vicharkrantibooks.org/productdetail?book_name=HINP0605_NISHCHIT_PHALADAYI_JIVAN_SADHANA_xxyyyy&amp;product_id=1170")</f>
        <v>https://vicharkrantibooks.org/productdetail?book_name=HINP0605_NISHCHIT_PHALADAYI_JIVAN_SADHANA_xxyyyy&amp;product_id=1170</v>
      </c>
      <c r="CE646" s="1" t="str">
        <f ca="1">IFERROR(__xludf.DUMMYFUNCTION("""COMPUTED_VALUE"""),"Audiobook : निश्चित फलदायि जीवन साधना : H_PP_38 : shweta.r.gupta79@gmail.com : Recorded")</f>
        <v>Audiobook : निश्चित फलदायि जीवन साधना : H_PP_38 : shweta.r.gupta79@gmail.com : Recorded</v>
      </c>
      <c r="CF646" s="1" t="str">
        <f ca="1">IFERROR(__xludf.DUMMYFUNCTION("""COMPUTED_VALUE"""),"Audiobook : निश्चित फलदायि जीवन साधना : H_PP_38 : shweta.r.gupta79@gmail.com : Recorded")</f>
        <v>Audiobook : निश्चित फलदायि जीवन साधना : H_PP_38 : shweta.r.gupta79@gmail.com : Recorded</v>
      </c>
      <c r="CG646" s="1" t="str">
        <f ca="1">IFERROR(__xludf.DUMMYFUNCTION("""COMPUTED_VALUE"""),"Adarniya Shweta Gupta  ji निश्चित फलदायि जीवन साधना : H_PP_38 : Allocated on 06-Nov-23 Contact Number  8369516724")</f>
        <v>Adarniya Shweta Gupta  ji निश्चित फलदायि जीवन साधना : H_PP_38 : Allocated on 06-Nov-23 Contact Number  8369516724</v>
      </c>
      <c r="CH646" s="1"/>
      <c r="CI646" s="1"/>
    </row>
    <row r="647" spans="1:87" x14ac:dyDescent="0.25">
      <c r="A647" s="5">
        <f ca="1">IFERROR(__xludf.DUMMYFUNCTION("""COMPUTED_VALUE"""),45236.8595050925)</f>
        <v>45236.8595050925</v>
      </c>
      <c r="B647" s="1" t="str">
        <f ca="1">IFERROR(__xludf.DUMMYFUNCTION("""COMPUTED_VALUE"""),"purnima.bharadwaj.24@gmail.com")</f>
        <v>purnima.bharadwaj.24@gmail.com</v>
      </c>
      <c r="C647" s="1" t="str">
        <f ca="1">IFERROR(__xludf.DUMMYFUNCTION("""COMPUTED_VALUE"""),"पूर्णिमा भारद्वाज ")</f>
        <v xml:space="preserve">पूर्णिमा भारद्वाज </v>
      </c>
      <c r="D647" s="1">
        <f ca="1">IFERROR(__xludf.DUMMYFUNCTION("""COMPUTED_VALUE"""),9415389032)</f>
        <v>9415389032</v>
      </c>
      <c r="E647" s="1" t="str">
        <f ca="1">IFERROR(__xludf.DUMMYFUNCTION("""COMPUTED_VALUE"""),"Yes")</f>
        <v>Yes</v>
      </c>
      <c r="F647" s="1" t="str">
        <f ca="1">IFERROR(__xludf.DUMMYFUNCTION("""COMPUTED_VALUE"""),"हिन्दी")</f>
        <v>हिन्दी</v>
      </c>
      <c r="G647" s="1" t="str">
        <f ca="1">IFERROR(__xludf.DUMMYFUNCTION("""COMPUTED_VALUE"""),"युग द्रष्टा पं. श्रीराम शर्मा आचार्यजी")</f>
        <v>युग द्रष्टा पं. श्रीराम शर्मा आचार्यजी</v>
      </c>
      <c r="H647" s="1"/>
      <c r="I647" s="1"/>
      <c r="J647" s="1"/>
      <c r="K647" s="1"/>
      <c r="L647" s="1"/>
      <c r="M647" s="1"/>
      <c r="N647" s="1"/>
      <c r="O647" s="1"/>
      <c r="P647" s="1" t="str">
        <f ca="1">IFERROR(__xludf.DUMMYFUNCTION("""COMPUTED_VALUE"""),"युगॠषी का जीवनदर्शन")</f>
        <v>युगॠषी का जीवनदर्शन</v>
      </c>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f ca="1">IFERROR(__xludf.DUMMYFUNCTION("""COMPUTED_VALUE"""),43)</f>
        <v>43</v>
      </c>
      <c r="BX647" s="1">
        <f ca="1">IFERROR(__xludf.DUMMYFUNCTION("""COMPUTED_VALUE"""),36)</f>
        <v>36</v>
      </c>
      <c r="BY647" s="1">
        <f ca="1">IFERROR(__xludf.DUMMYFUNCTION("""COMPUTED_VALUE"""),9)</f>
        <v>9</v>
      </c>
      <c r="BZ647" s="1">
        <f ca="1">IFERROR(__xludf.DUMMYFUNCTION("""COMPUTED_VALUE"""),30)</f>
        <v>30</v>
      </c>
      <c r="CA647" s="1"/>
      <c r="CB647" s="1"/>
      <c r="CC647" s="1" t="str">
        <f ca="1">IFERROR(__xludf.DUMMYFUNCTION("""COMPUTED_VALUE"""),"युग निर्माण मिशन के पांच प्रमुख संस्थान : Rare Book")</f>
        <v>युग निर्माण मिशन के पांच प्रमुख संस्थान : Rare Book</v>
      </c>
      <c r="CD647" s="3" t="str">
        <f ca="1">IFERROR(__xludf.DUMMYFUNCTION("""COMPUTED_VALUE"""),"https://vicharkrantibooks.org/productdetail?book_name=HINP1038_YUG_NIRMAN_MISHAN_KE_PANCH_PRAMUKH_SANSTHAN_xxyyyy&amp;product_id=1603")</f>
        <v>https://vicharkrantibooks.org/productdetail?book_name=HINP1038_YUG_NIRMAN_MISHAN_KE_PANCH_PRAMUKH_SANSTHAN_xxyyyy&amp;product_id=1603</v>
      </c>
      <c r="CE647" s="1" t="str">
        <f ca="1">IFERROR(__xludf.DUMMYFUNCTION("""COMPUTED_VALUE"""),"Audiobook : युग निर्माण मिशन के पांच प्रमुख संस्थान : Rare Book : purnima.bharadwaj.24@gmail.com : Recorded")</f>
        <v>Audiobook : युग निर्माण मिशन के पांच प्रमुख संस्थान : Rare Book : purnima.bharadwaj.24@gmail.com : Recorded</v>
      </c>
      <c r="CF647" s="1" t="str">
        <f ca="1">IFERROR(__xludf.DUMMYFUNCTION("""COMPUTED_VALUE"""),"Audiobook : युग निर्माण मिशन के पांच प्रमुख संस्थान : Rare Book : purnima.bharadwaj.24@gmail.com : Recorded")</f>
        <v>Audiobook : युग निर्माण मिशन के पांच प्रमुख संस्थान : Rare Book : purnima.bharadwaj.24@gmail.com : Recorded</v>
      </c>
      <c r="CG647" s="1" t="str">
        <f ca="1">IFERROR(__xludf.DUMMYFUNCTION("""COMPUTED_VALUE"""),"Adarniya पूर्णिमा भारद्वाज  ji युग निर्माण मिशन के पांच प्रमुख संस्थान : Rare Book : Allocated on 06-Nov-23 Contact Number  9415389032")</f>
        <v>Adarniya पूर्णिमा भारद्वाज  ji युग निर्माण मिशन के पांच प्रमुख संस्थान : Rare Book : Allocated on 06-Nov-23 Contact Number  9415389032</v>
      </c>
      <c r="CH647" s="1"/>
      <c r="CI647" s="1"/>
    </row>
    <row r="648" spans="1:87" x14ac:dyDescent="0.25">
      <c r="A648" s="5">
        <f ca="1">IFERROR(__xludf.DUMMYFUNCTION("""COMPUTED_VALUE"""),45235.7358874537)</f>
        <v>45235.735887453702</v>
      </c>
      <c r="B648" s="1" t="str">
        <f ca="1">IFERROR(__xludf.DUMMYFUNCTION("""COMPUTED_VALUE"""),"druma4107@gmail.com")</f>
        <v>druma4107@gmail.com</v>
      </c>
      <c r="C648" s="1" t="str">
        <f ca="1">IFERROR(__xludf.DUMMYFUNCTION("""COMPUTED_VALUE"""),"Dr Uma Agrawal ")</f>
        <v xml:space="preserve">Dr Uma Agrawal </v>
      </c>
      <c r="D648" s="1">
        <f ca="1">IFERROR(__xludf.DUMMYFUNCTION("""COMPUTED_VALUE"""),9410861182)</f>
        <v>9410861182</v>
      </c>
      <c r="E648" s="1" t="str">
        <f ca="1">IFERROR(__xludf.DUMMYFUNCTION("""COMPUTED_VALUE"""),"Yes")</f>
        <v>Yes</v>
      </c>
      <c r="F648" s="1" t="str">
        <f ca="1">IFERROR(__xludf.DUMMYFUNCTION("""COMPUTED_VALUE"""),"हिन्दी")</f>
        <v>हिन्दी</v>
      </c>
      <c r="G648" s="1" t="str">
        <f ca="1">IFERROR(__xludf.DUMMYFUNCTION("""COMPUTED_VALUE"""),"समाज निर्माण")</f>
        <v>समाज निर्माण</v>
      </c>
      <c r="H648" s="1"/>
      <c r="I648" s="1"/>
      <c r="J648" s="1"/>
      <c r="K648" s="1"/>
      <c r="L648" s="1"/>
      <c r="M648" s="1"/>
      <c r="N648" s="1"/>
      <c r="O648" s="1"/>
      <c r="P648" s="1"/>
      <c r="Q648" s="1"/>
      <c r="R648" s="1"/>
      <c r="S648" s="1"/>
      <c r="T648" s="1"/>
      <c r="U648" s="1"/>
      <c r="V648" s="1" t="str">
        <f ca="1">IFERROR(__xludf.DUMMYFUNCTION("""COMPUTED_VALUE"""),"समाज निर्माण")</f>
        <v>समाज निर्माण</v>
      </c>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f ca="1">IFERROR(__xludf.DUMMYFUNCTION("""COMPUTED_VALUE"""),104)</f>
        <v>104</v>
      </c>
      <c r="BX648" s="1">
        <f ca="1">IFERROR(__xludf.DUMMYFUNCTION("""COMPUTED_VALUE"""),106)</f>
        <v>106</v>
      </c>
      <c r="BY648" s="1">
        <f ca="1">IFERROR(__xludf.DUMMYFUNCTION("""COMPUTED_VALUE"""),9)</f>
        <v>9</v>
      </c>
      <c r="BZ648" s="1">
        <f ca="1">IFERROR(__xludf.DUMMYFUNCTION("""COMPUTED_VALUE"""),43)</f>
        <v>43</v>
      </c>
      <c r="CA648" s="1"/>
      <c r="CB648" s="1"/>
      <c r="CC648" s="1" t="str">
        <f ca="1">IFERROR(__xludf.DUMMYFUNCTION("""COMPUTED_VALUE"""),"नारी को विकास का अवसर मिले : H_PP_22")</f>
        <v>नारी को विकास का अवसर मिले : H_PP_22</v>
      </c>
      <c r="CD648" s="3" t="str">
        <f ca="1">IFERROR(__xludf.DUMMYFUNCTION("""COMPUTED_VALUE"""),"https://vicharkrantibooks.org/productdetail?book_name=HINP0572_NARI_KO_VIKAS_KA_AVASAR_MILE_xxyyyy&amp;product_id=1137")</f>
        <v>https://vicharkrantibooks.org/productdetail?book_name=HINP0572_NARI_KO_VIKAS_KA_AVASAR_MILE_xxyyyy&amp;product_id=1137</v>
      </c>
      <c r="CE648" s="1" t="str">
        <f ca="1">IFERROR(__xludf.DUMMYFUNCTION("""COMPUTED_VALUE"""),"Audiobook : नारी को विकास का अवसर मिले : H_PP_22 : druma4107@gmail.com : Recorded")</f>
        <v>Audiobook : नारी को विकास का अवसर मिले : H_PP_22 : druma4107@gmail.com : Recorded</v>
      </c>
      <c r="CF648" s="1" t="str">
        <f ca="1">IFERROR(__xludf.DUMMYFUNCTION("""COMPUTED_VALUE"""),"Audiobook : नारी को विकास का अवसर मिले : H_PP_22 : druma4107@gmail.com : Recorded")</f>
        <v>Audiobook : नारी को विकास का अवसर मिले : H_PP_22 : druma4107@gmail.com : Recorded</v>
      </c>
      <c r="CG648" s="1" t="str">
        <f ca="1">IFERROR(__xludf.DUMMYFUNCTION("""COMPUTED_VALUE"""),"Adarniya Dr Uma Agrawal  ji नारी को विकास का अवसर मिले : H_PP_22 : Allocated on 05-Nov-23 Contact Number  9410861182")</f>
        <v>Adarniya Dr Uma Agrawal  ji नारी को विकास का अवसर मिले : H_PP_22 : Allocated on 05-Nov-23 Contact Number  9410861182</v>
      </c>
      <c r="CH648" s="1"/>
      <c r="CI648" s="1"/>
    </row>
    <row r="649" spans="1:87" x14ac:dyDescent="0.25">
      <c r="A649" s="5">
        <f ca="1">IFERROR(__xludf.DUMMYFUNCTION("""COMPUTED_VALUE"""),45234.2950137847)</f>
        <v>45234.2950137847</v>
      </c>
      <c r="B649" s="1" t="str">
        <f ca="1">IFERROR(__xludf.DUMMYFUNCTION("""COMPUTED_VALUE"""),"jamunashukla17@gmail.com")</f>
        <v>jamunashukla17@gmail.com</v>
      </c>
      <c r="C649" s="1" t="str">
        <f ca="1">IFERROR(__xludf.DUMMYFUNCTION("""COMPUTED_VALUE"""),"Smt J S Shukla ")</f>
        <v xml:space="preserve">Smt J S Shukla </v>
      </c>
      <c r="D649" s="1">
        <f ca="1">IFERROR(__xludf.DUMMYFUNCTION("""COMPUTED_VALUE"""),8390353167)</f>
        <v>8390353167</v>
      </c>
      <c r="E649" s="1" t="str">
        <f ca="1">IFERROR(__xludf.DUMMYFUNCTION("""COMPUTED_VALUE"""),"Yes")</f>
        <v>Yes</v>
      </c>
      <c r="F649" s="1" t="str">
        <f ca="1">IFERROR(__xludf.DUMMYFUNCTION("""COMPUTED_VALUE"""),"हिन्दी")</f>
        <v>हिन्दी</v>
      </c>
      <c r="G649" s="1" t="str">
        <f ca="1">IFERROR(__xludf.DUMMYFUNCTION("""COMPUTED_VALUE"""),"युग द्रष्टा पं. श्रीराम शर्मा आचार्यजी")</f>
        <v>युग द्रष्टा पं. श्रीराम शर्मा आचार्यजी</v>
      </c>
      <c r="H649" s="1"/>
      <c r="I649" s="1"/>
      <c r="J649" s="1"/>
      <c r="K649" s="1"/>
      <c r="L649" s="1"/>
      <c r="M649" s="1"/>
      <c r="N649" s="1"/>
      <c r="O649" s="1"/>
      <c r="P649" s="1" t="str">
        <f ca="1">IFERROR(__xludf.DUMMYFUNCTION("""COMPUTED_VALUE"""),"युगॠषी की अमृतवाणी")</f>
        <v>युगॠषी की अमृतवाणी</v>
      </c>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f ca="1">IFERROR(__xludf.DUMMYFUNCTION("""COMPUTED_VALUE"""),53)</f>
        <v>53</v>
      </c>
      <c r="BX649" s="1">
        <f ca="1">IFERROR(__xludf.DUMMYFUNCTION("""COMPUTED_VALUE"""),53)</f>
        <v>53</v>
      </c>
      <c r="BY649" s="1">
        <f ca="1">IFERROR(__xludf.DUMMYFUNCTION("""COMPUTED_VALUE"""),9)</f>
        <v>9</v>
      </c>
      <c r="BZ649" s="1">
        <f ca="1">IFERROR(__xludf.DUMMYFUNCTION("""COMPUTED_VALUE"""),25)</f>
        <v>25</v>
      </c>
      <c r="CA649" s="1"/>
      <c r="CB649" s="1"/>
      <c r="CC649" s="1" t="str">
        <f ca="1">IFERROR(__xludf.DUMMYFUNCTION("""COMPUTED_VALUE"""),"नारी की अद्‌भूत क्षमता : H_NJ_15")</f>
        <v>नारी की अद्‌भूत क्षमता : H_NJ_15</v>
      </c>
      <c r="CD649" s="3" t="str">
        <f ca="1">IFERROR(__xludf.DUMMYFUNCTION("""COMPUTED_VALUE"""),"https://vicharkrantibooks.org/productdetail?book_name=HINP0565_NARI_KI_ADABHUT_KSHAMATA_xxyyyy&amp;product_id=1130")</f>
        <v>https://vicharkrantibooks.org/productdetail?book_name=HINP0565_NARI_KI_ADABHUT_KSHAMATA_xxyyyy&amp;product_id=1130</v>
      </c>
      <c r="CE649" s="1" t="str">
        <f ca="1">IFERROR(__xludf.DUMMYFUNCTION("""COMPUTED_VALUE"""),"Audiobook : नारी की अद्‌भूत क्षमता : H_NJ_15 : jamunashukla17@gmail.com : Recorded")</f>
        <v>Audiobook : नारी की अद्‌भूत क्षमता : H_NJ_15 : jamunashukla17@gmail.com : Recorded</v>
      </c>
      <c r="CF649" s="1" t="str">
        <f ca="1">IFERROR(__xludf.DUMMYFUNCTION("""COMPUTED_VALUE"""),"Audiobook : नारी की अद्‌भूत क्षमता : H_NJ_15 : jamunashukla17@gmail.com : Recorded")</f>
        <v>Audiobook : नारी की अद्‌भूत क्षमता : H_NJ_15 : jamunashukla17@gmail.com : Recorded</v>
      </c>
      <c r="CG649" s="1" t="str">
        <f ca="1">IFERROR(__xludf.DUMMYFUNCTION("""COMPUTED_VALUE"""),"Adarniya Smt J S Shukla  ji नारी की अद्‌भूत क्षमता : H_NJ_15 : Allocated on 04-Nov-23 Contact Number  8390353167")</f>
        <v>Adarniya Smt J S Shukla  ji नारी की अद्‌भूत क्षमता : H_NJ_15 : Allocated on 04-Nov-23 Contact Number  8390353167</v>
      </c>
      <c r="CH649" s="1"/>
      <c r="CI649" s="1"/>
    </row>
    <row r="650" spans="1:87" x14ac:dyDescent="0.25">
      <c r="A650" s="5">
        <f ca="1">IFERROR(__xludf.DUMMYFUNCTION("""COMPUTED_VALUE"""),45233.8415207523)</f>
        <v>45233.841520752299</v>
      </c>
      <c r="B650" s="1" t="str">
        <f ca="1">IFERROR(__xludf.DUMMYFUNCTION("""COMPUTED_VALUE"""),"spmittalmumbai@gmail.com")</f>
        <v>spmittalmumbai@gmail.com</v>
      </c>
      <c r="C650" s="1" t="str">
        <f ca="1">IFERROR(__xludf.DUMMYFUNCTION("""COMPUTED_VALUE"""),"Dr.S.P.Mittal")</f>
        <v>Dr.S.P.Mittal</v>
      </c>
      <c r="D650" s="1">
        <f ca="1">IFERROR(__xludf.DUMMYFUNCTION("""COMPUTED_VALUE"""),986003407)</f>
        <v>986003407</v>
      </c>
      <c r="E650" s="1" t="str">
        <f ca="1">IFERROR(__xludf.DUMMYFUNCTION("""COMPUTED_VALUE"""),"Yes")</f>
        <v>Yes</v>
      </c>
      <c r="F650" s="1" t="str">
        <f ca="1">IFERROR(__xludf.DUMMYFUNCTION("""COMPUTED_VALUE"""),"हिन्दी")</f>
        <v>हिन्दी</v>
      </c>
      <c r="G650" s="1" t="str">
        <f ca="1">IFERROR(__xludf.DUMMYFUNCTION("""COMPUTED_VALUE"""),"समग्र स्वास्थ्य")</f>
        <v>समग्र स्वास्थ्य</v>
      </c>
      <c r="H650" s="1"/>
      <c r="I650" s="1"/>
      <c r="J650" s="1"/>
      <c r="K650" s="1"/>
      <c r="L650" s="1"/>
      <c r="M650" s="1"/>
      <c r="N650" s="1"/>
      <c r="O650" s="1"/>
      <c r="P650" s="1"/>
      <c r="Q650" s="1"/>
      <c r="R650" s="1"/>
      <c r="S650" s="1"/>
      <c r="T650" s="1"/>
      <c r="U650" s="1" t="str">
        <f ca="1">IFERROR(__xludf.DUMMYFUNCTION("""COMPUTED_VALUE"""),"मानसिक स्वास्थ्य")</f>
        <v>मानसिक स्वास्थ्य</v>
      </c>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f ca="1">IFERROR(__xludf.DUMMYFUNCTION("""COMPUTED_VALUE"""),39)</f>
        <v>39</v>
      </c>
      <c r="BX650" s="1">
        <f ca="1">IFERROR(__xludf.DUMMYFUNCTION("""COMPUTED_VALUE"""),32)</f>
        <v>32</v>
      </c>
      <c r="BY650" s="1">
        <f ca="1">IFERROR(__xludf.DUMMYFUNCTION("""COMPUTED_VALUE"""),11)</f>
        <v>11</v>
      </c>
      <c r="BZ650" s="1">
        <f ca="1">IFERROR(__xludf.DUMMYFUNCTION("""COMPUTED_VALUE"""),23)</f>
        <v>23</v>
      </c>
      <c r="CA650" s="1"/>
      <c r="CB650" s="1"/>
      <c r="CC650" s="1" t="str">
        <f ca="1">IFERROR(__xludf.DUMMYFUNCTION("""COMPUTED_VALUE"""),"कायरता का कलंक हमें स्विकार नहीं : H_PP_06")</f>
        <v>कायरता का कलंक हमें स्विकार नहीं : H_PP_06</v>
      </c>
      <c r="CD650" s="3" t="str">
        <f ca="1">IFERROR(__xludf.DUMMYFUNCTION("""COMPUTED_VALUE"""),"https://vicharkrantibooks.org/productdetail?book_name=HINP0435_KAYARATA_KA_KALANK_HAMEN_SVIKAR_NAHI_xxyyyy&amp;product_id=1000")</f>
        <v>https://vicharkrantibooks.org/productdetail?book_name=HINP0435_KAYARATA_KA_KALANK_HAMEN_SVIKAR_NAHI_xxyyyy&amp;product_id=1000</v>
      </c>
      <c r="CE650" s="1" t="str">
        <f ca="1">IFERROR(__xludf.DUMMYFUNCTION("""COMPUTED_VALUE"""),"Audiobook : कायरता का कलंक हमें स्विकार नहीं : H_PP_06 : spmittalmumbai@gmail.com : Recorded")</f>
        <v>Audiobook : कायरता का कलंक हमें स्विकार नहीं : H_PP_06 : spmittalmumbai@gmail.com : Recorded</v>
      </c>
      <c r="CF650" s="1" t="str">
        <f ca="1">IFERROR(__xludf.DUMMYFUNCTION("""COMPUTED_VALUE"""),"Audiobook : कायरता का कलंक हमें स्विकार नहीं : H_PP_06 : spmittalmumbai@gmail.com : Recorded")</f>
        <v>Audiobook : कायरता का कलंक हमें स्विकार नहीं : H_PP_06 : spmittalmumbai@gmail.com : Recorded</v>
      </c>
      <c r="CG650" s="1" t="str">
        <f ca="1">IFERROR(__xludf.DUMMYFUNCTION("""COMPUTED_VALUE"""),"Adarniya Dr.S.P.Mittal ji कायरता का कलंक हमें स्विकार नहीं : H_PP_06 : Allocated on 03-Nov-23 Contact Number  986003407")</f>
        <v>Adarniya Dr.S.P.Mittal ji कायरता का कलंक हमें स्विकार नहीं : H_PP_06 : Allocated on 03-Nov-23 Contact Number  986003407</v>
      </c>
      <c r="CH650" s="1"/>
      <c r="CI650" s="1"/>
    </row>
    <row r="651" spans="1:87" x14ac:dyDescent="0.25">
      <c r="A651" s="5">
        <f ca="1">IFERROR(__xludf.DUMMYFUNCTION("""COMPUTED_VALUE"""),45232.7225148263)</f>
        <v>45232.722514826302</v>
      </c>
      <c r="B651" s="1" t="str">
        <f ca="1">IFERROR(__xludf.DUMMYFUNCTION("""COMPUTED_VALUE"""),"purnima.bharadwaj.24@gmail.com")</f>
        <v>purnima.bharadwaj.24@gmail.com</v>
      </c>
      <c r="C651" s="1" t="str">
        <f ca="1">IFERROR(__xludf.DUMMYFUNCTION("""COMPUTED_VALUE"""),"पूर्णिमा भारद्वाज ")</f>
        <v xml:space="preserve">पूर्णिमा भारद्वाज </v>
      </c>
      <c r="D651" s="1">
        <f ca="1">IFERROR(__xludf.DUMMYFUNCTION("""COMPUTED_VALUE"""),9415389032)</f>
        <v>9415389032</v>
      </c>
      <c r="E651" s="1" t="str">
        <f ca="1">IFERROR(__xludf.DUMMYFUNCTION("""COMPUTED_VALUE"""),"Yes")</f>
        <v>Yes</v>
      </c>
      <c r="F651" s="1" t="str">
        <f ca="1">IFERROR(__xludf.DUMMYFUNCTION("""COMPUTED_VALUE"""),"हिन्दी")</f>
        <v>हिन्दी</v>
      </c>
      <c r="G651" s="1" t="str">
        <f ca="1">IFERROR(__xludf.DUMMYFUNCTION("""COMPUTED_VALUE"""),"युग द्रष्टा पं. श्रीराम शर्मा आचार्यजी")</f>
        <v>युग द्रष्टा पं. श्रीराम शर्मा आचार्यजी</v>
      </c>
      <c r="H651" s="1"/>
      <c r="I651" s="1"/>
      <c r="J651" s="1"/>
      <c r="K651" s="1"/>
      <c r="L651" s="1"/>
      <c r="M651" s="1"/>
      <c r="N651" s="1"/>
      <c r="O651" s="1"/>
      <c r="P651" s="1" t="str">
        <f ca="1">IFERROR(__xludf.DUMMYFUNCTION("""COMPUTED_VALUE"""),"युगॠषी की अमृतवाणी")</f>
        <v>युगॠषी की अमृतवाणी</v>
      </c>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f ca="1">IFERROR(__xludf.DUMMYFUNCTION("""COMPUTED_VALUE"""),43)</f>
        <v>43</v>
      </c>
      <c r="BX651" s="1">
        <f ca="1">IFERROR(__xludf.DUMMYFUNCTION("""COMPUTED_VALUE"""),36)</f>
        <v>36</v>
      </c>
      <c r="BY651" s="1">
        <f ca="1">IFERROR(__xludf.DUMMYFUNCTION("""COMPUTED_VALUE"""),9)</f>
        <v>9</v>
      </c>
      <c r="BZ651" s="1">
        <f ca="1">IFERROR(__xludf.DUMMYFUNCTION("""COMPUTED_VALUE"""),30)</f>
        <v>30</v>
      </c>
      <c r="CA651" s="1"/>
      <c r="CB651" s="1"/>
      <c r="CC651" s="1" t="str">
        <f ca="1">IFERROR(__xludf.DUMMYFUNCTION("""COMPUTED_VALUE"""),"चमत्कारी किन्तु सर्वथा हानिरहित योग साधनाएँ : Rare Book")</f>
        <v>चमत्कारी किन्तु सर्वथा हानिरहित योग साधनाएँ : Rare Book</v>
      </c>
      <c r="CD651" s="3" t="str">
        <f ca="1">IFERROR(__xludf.DUMMYFUNCTION("""COMPUTED_VALUE"""),"https://vicharkrantibooks.org/productdetail?product_id=299")</f>
        <v>https://vicharkrantibooks.org/productdetail?product_id=299</v>
      </c>
      <c r="CE651" s="1" t="str">
        <f ca="1">IFERROR(__xludf.DUMMYFUNCTION("""COMPUTED_VALUE"""),"Audiobook : चमत्कारी किन्तु सर्वथा हानिरहित योग साधनाएँ : Rare Book : purnima.bharadwaj.24@gmail.com : Recorded")</f>
        <v>Audiobook : चमत्कारी किन्तु सर्वथा हानिरहित योग साधनाएँ : Rare Book : purnima.bharadwaj.24@gmail.com : Recorded</v>
      </c>
      <c r="CF651" s="1" t="str">
        <f ca="1">IFERROR(__xludf.DUMMYFUNCTION("""COMPUTED_VALUE"""),"Audiobook : चमत्कारी किन्तु सर्वथा हानिरहित योग साधनाएँ : Rare Book : purnima.bharadwaj.24@gmail.com : Recorded")</f>
        <v>Audiobook : चमत्कारी किन्तु सर्वथा हानिरहित योग साधनाएँ : Rare Book : purnima.bharadwaj.24@gmail.com : Recorded</v>
      </c>
      <c r="CG651" s="1" t="str">
        <f ca="1">IFERROR(__xludf.DUMMYFUNCTION("""COMPUTED_VALUE"""),"Adarniya पूर्णिमा भारद्वाज  ji चमत्कारी किन्तु सर्वथा हानिरहित योग साधनाएँ : Rare Book : Allocated on 02-Nov-23 Contact Number  9415389032")</f>
        <v>Adarniya पूर्णिमा भारद्वाज  ji चमत्कारी किन्तु सर्वथा हानिरहित योग साधनाएँ : Rare Book : Allocated on 02-Nov-23 Contact Number  9415389032</v>
      </c>
      <c r="CH651" s="1"/>
      <c r="CI651" s="1"/>
    </row>
    <row r="652" spans="1:87" x14ac:dyDescent="0.25">
      <c r="A652" s="5">
        <f ca="1">IFERROR(__xludf.DUMMYFUNCTION("""COMPUTED_VALUE"""),45232.6221317361)</f>
        <v>45232.622131736098</v>
      </c>
      <c r="B652" s="1" t="str">
        <f ca="1">IFERROR(__xludf.DUMMYFUNCTION("""COMPUTED_VALUE"""),"csprasad108@gmail.com")</f>
        <v>csprasad108@gmail.com</v>
      </c>
      <c r="C652" s="1" t="str">
        <f ca="1">IFERROR(__xludf.DUMMYFUNCTION("""COMPUTED_VALUE"""),"Kumkum prasad")</f>
        <v>Kumkum prasad</v>
      </c>
      <c r="D652" s="1">
        <f ca="1">IFERROR(__xludf.DUMMYFUNCTION("""COMPUTED_VALUE"""),7978055621)</f>
        <v>7978055621</v>
      </c>
      <c r="E652" s="1"/>
      <c r="F652" s="1" t="str">
        <f ca="1">IFERROR(__xludf.DUMMYFUNCTION("""COMPUTED_VALUE"""),"हिन्दी")</f>
        <v>हिन्दी</v>
      </c>
      <c r="G652" s="1" t="str">
        <f ca="1">IFERROR(__xludf.DUMMYFUNCTION("""COMPUTED_VALUE"""),"समाज निर्माण")</f>
        <v>समाज निर्माण</v>
      </c>
      <c r="H652" s="1"/>
      <c r="I652" s="1"/>
      <c r="J652" s="1"/>
      <c r="K652" s="1"/>
      <c r="L652" s="1"/>
      <c r="M652" s="1"/>
      <c r="N652" s="1"/>
      <c r="O652" s="1"/>
      <c r="P652" s="1"/>
      <c r="Q652" s="1"/>
      <c r="R652" s="1"/>
      <c r="S652" s="1"/>
      <c r="T652" s="1"/>
      <c r="U652" s="1"/>
      <c r="V652" s="1" t="str">
        <f ca="1">IFERROR(__xludf.DUMMYFUNCTION("""COMPUTED_VALUE"""),"समाज निर्माण")</f>
        <v>समाज निर्माण</v>
      </c>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f ca="1">IFERROR(__xludf.DUMMYFUNCTION("""COMPUTED_VALUE"""),52)</f>
        <v>52</v>
      </c>
      <c r="BX652" s="1">
        <f ca="1">IFERROR(__xludf.DUMMYFUNCTION("""COMPUTED_VALUE"""),54)</f>
        <v>54</v>
      </c>
      <c r="BY652" s="1">
        <f ca="1">IFERROR(__xludf.DUMMYFUNCTION("""COMPUTED_VALUE"""),3)</f>
        <v>3</v>
      </c>
      <c r="BZ652" s="1">
        <f ca="1">IFERROR(__xludf.DUMMYFUNCTION("""COMPUTED_VALUE"""),24)</f>
        <v>24</v>
      </c>
      <c r="CA652" s="1"/>
      <c r="CB652" s="1"/>
      <c r="CC652" s="1" t="str">
        <f ca="1">IFERROR(__xludf.DUMMYFUNCTION("""COMPUTED_VALUE"""),"अपना ही नहीं समाज का भी हित सोचें : Rare Book")</f>
        <v>अपना ही नहीं समाज का भी हित सोचें : Rare Book</v>
      </c>
      <c r="CD652" s="3" t="str">
        <f ca="1">IFERROR(__xludf.DUMMYFUNCTION("""COMPUTED_VALUE"""),"https://vicharkrantibooks.org/productdetail?book_name=HINF0031_APANA_HI_NAHIN_SAMAJ_KA_BHI_HIT_SOCHEN_xxyyyy&amp;product_id=251")</f>
        <v>https://vicharkrantibooks.org/productdetail?book_name=HINF0031_APANA_HI_NAHIN_SAMAJ_KA_BHI_HIT_SOCHEN_xxyyyy&amp;product_id=251</v>
      </c>
      <c r="CE652" s="1" t="str">
        <f ca="1">IFERROR(__xludf.DUMMYFUNCTION("""COMPUTED_VALUE"""),"Audiobook : अपना ही नहीं समाज का भी हित सोचें : Rare Book : csprasad108@gmail.com : Recorded")</f>
        <v>Audiobook : अपना ही नहीं समाज का भी हित सोचें : Rare Book : csprasad108@gmail.com : Recorded</v>
      </c>
      <c r="CF652" s="1" t="str">
        <f ca="1">IFERROR(__xludf.DUMMYFUNCTION("""COMPUTED_VALUE"""),"Audiobook : अपना ही नहीं समाज का भी हित सोचें : Rare Book : csprasad108@gmail.com : Recorded")</f>
        <v>Audiobook : अपना ही नहीं समाज का भी हित सोचें : Rare Book : csprasad108@gmail.com : Recorded</v>
      </c>
      <c r="CG652" s="1" t="str">
        <f ca="1">IFERROR(__xludf.DUMMYFUNCTION("""COMPUTED_VALUE"""),"Adarniya Kumkum prasad ji अपना ही नहीं समाज का भी हित सोचें : Rare Book : Allocated on 02-Nov-23 Contact Number  7978055621")</f>
        <v>Adarniya Kumkum prasad ji अपना ही नहीं समाज का भी हित सोचें : Rare Book : Allocated on 02-Nov-23 Contact Number  7978055621</v>
      </c>
      <c r="CH652" s="1"/>
      <c r="CI652" s="1"/>
    </row>
    <row r="653" spans="1:87" x14ac:dyDescent="0.25">
      <c r="A653" s="5">
        <f ca="1">IFERROR(__xludf.DUMMYFUNCTION("""COMPUTED_VALUE"""),45232.3633725925)</f>
        <v>45232.363372592503</v>
      </c>
      <c r="B653" s="1" t="str">
        <f ca="1">IFERROR(__xludf.DUMMYFUNCTION("""COMPUTED_VALUE"""),"druma4107@gmail.com")</f>
        <v>druma4107@gmail.com</v>
      </c>
      <c r="C653" s="1" t="str">
        <f ca="1">IFERROR(__xludf.DUMMYFUNCTION("""COMPUTED_VALUE"""),"Dr Uma Agrawal ")</f>
        <v xml:space="preserve">Dr Uma Agrawal </v>
      </c>
      <c r="D653" s="1">
        <f ca="1">IFERROR(__xludf.DUMMYFUNCTION("""COMPUTED_VALUE"""),9410861182)</f>
        <v>9410861182</v>
      </c>
      <c r="E653" s="1" t="str">
        <f ca="1">IFERROR(__xludf.DUMMYFUNCTION("""COMPUTED_VALUE"""),"Yes")</f>
        <v>Yes</v>
      </c>
      <c r="F653" s="1" t="str">
        <f ca="1">IFERROR(__xludf.DUMMYFUNCTION("""COMPUTED_VALUE"""),"हिन्दी")</f>
        <v>हिन्दी</v>
      </c>
      <c r="G653" s="1" t="str">
        <f ca="1">IFERROR(__xludf.DUMMYFUNCTION("""COMPUTED_VALUE"""),"समाज निर्माण")</f>
        <v>समाज निर्माण</v>
      </c>
      <c r="H653" s="1"/>
      <c r="I653" s="1"/>
      <c r="J653" s="1"/>
      <c r="K653" s="1"/>
      <c r="L653" s="1"/>
      <c r="M653" s="1"/>
      <c r="N653" s="1"/>
      <c r="O653" s="1"/>
      <c r="P653" s="1"/>
      <c r="Q653" s="1"/>
      <c r="R653" s="1"/>
      <c r="S653" s="1"/>
      <c r="T653" s="1"/>
      <c r="U653" s="1"/>
      <c r="V653" s="1" t="str">
        <f ca="1">IFERROR(__xludf.DUMMYFUNCTION("""COMPUTED_VALUE"""),"लोकसेवियों के लिए दिशाबोध")</f>
        <v>लोकसेवियों के लिए दिशाबोध</v>
      </c>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f ca="1">IFERROR(__xludf.DUMMYFUNCTION("""COMPUTED_VALUE"""),104)</f>
        <v>104</v>
      </c>
      <c r="BX653" s="1">
        <f ca="1">IFERROR(__xludf.DUMMYFUNCTION("""COMPUTED_VALUE"""),106)</f>
        <v>106</v>
      </c>
      <c r="BY653" s="1">
        <f ca="1">IFERROR(__xludf.DUMMYFUNCTION("""COMPUTED_VALUE"""),9)</f>
        <v>9</v>
      </c>
      <c r="BZ653" s="1">
        <f ca="1">IFERROR(__xludf.DUMMYFUNCTION("""COMPUTED_VALUE"""),43)</f>
        <v>43</v>
      </c>
      <c r="CA653" s="1"/>
      <c r="CB653" s="1"/>
      <c r="CC653" s="1" t="str">
        <f ca="1">IFERROR(__xludf.DUMMYFUNCTION("""COMPUTED_VALUE"""),"अगले दिनों बहुत बदे कदम उठाने होंगे : Rare Book")</f>
        <v>अगले दिनों बहुत बदे कदम उठाने होंगे : Rare Book</v>
      </c>
      <c r="CD653" s="3" t="str">
        <f ca="1">IFERROR(__xludf.DUMMYFUNCTION("""COMPUTED_VALUE"""),"https://vicharkrantibooks.org/productdetail?book_name=HINF0018_AGALE_DINON_BAHUT_BADE_KADAM_UTHANE_HONGE_xxyyyy&amp;product_id=238")</f>
        <v>https://vicharkrantibooks.org/productdetail?book_name=HINF0018_AGALE_DINON_BAHUT_BADE_KADAM_UTHANE_HONGE_xxyyyy&amp;product_id=238</v>
      </c>
      <c r="CE653" s="1" t="str">
        <f ca="1">IFERROR(__xludf.DUMMYFUNCTION("""COMPUTED_VALUE"""),"Audiobook : अगले दिनों बहुत बदे कदम उठाने होंगे : Rare Book : druma4107@gmail.com : Recorded")</f>
        <v>Audiobook : अगले दिनों बहुत बदे कदम उठाने होंगे : Rare Book : druma4107@gmail.com : Recorded</v>
      </c>
      <c r="CF653" s="1" t="str">
        <f ca="1">IFERROR(__xludf.DUMMYFUNCTION("""COMPUTED_VALUE"""),"Audiobook : अगले दिनों बहुत बदे कदम उठाने होंगे : Rare Book : druma4107@gmail.com : Recorded")</f>
        <v>Audiobook : अगले दिनों बहुत बदे कदम उठाने होंगे : Rare Book : druma4107@gmail.com : Recorded</v>
      </c>
      <c r="CG653" s="1" t="str">
        <f ca="1">IFERROR(__xludf.DUMMYFUNCTION("""COMPUTED_VALUE"""),"Adarniya Dr Uma Agrawal  ji अगले दिनों बहुत बदे कदम उठाने होंगे : Rare Book : Allocated on 02-Nov-23 Contact Number  9410861182")</f>
        <v>Adarniya Dr Uma Agrawal  ji अगले दिनों बहुत बदे कदम उठाने होंगे : Rare Book : Allocated on 02-Nov-23 Contact Number  9410861182</v>
      </c>
      <c r="CH653" s="1"/>
      <c r="CI653" s="1"/>
    </row>
    <row r="654" spans="1:87" x14ac:dyDescent="0.25">
      <c r="A654" s="5">
        <f ca="1">IFERROR(__xludf.DUMMYFUNCTION("""COMPUTED_VALUE"""),45231.8321955671)</f>
        <v>45231.832195567098</v>
      </c>
      <c r="B654" s="1" t="str">
        <f ca="1">IFERROR(__xludf.DUMMYFUNCTION("""COMPUTED_VALUE"""),"ashish_in_nagpur@yahoo.com")</f>
        <v>ashish_in_nagpur@yahoo.com</v>
      </c>
      <c r="C654" s="1" t="str">
        <f ca="1">IFERROR(__xludf.DUMMYFUNCTION("""COMPUTED_VALUE"""),"Ashish Kumar Shrivastava ")</f>
        <v xml:space="preserve">Ashish Kumar Shrivastava </v>
      </c>
      <c r="D654" s="1">
        <f ca="1">IFERROR(__xludf.DUMMYFUNCTION("""COMPUTED_VALUE"""),8275970236)</f>
        <v>8275970236</v>
      </c>
      <c r="E654" s="1" t="str">
        <f ca="1">IFERROR(__xludf.DUMMYFUNCTION("""COMPUTED_VALUE"""),"Yes")</f>
        <v>Yes</v>
      </c>
      <c r="F654" s="1" t="str">
        <f ca="1">IFERROR(__xludf.DUMMYFUNCTION("""COMPUTED_VALUE"""),"हिन्दी")</f>
        <v>हिन्दी</v>
      </c>
      <c r="G654" s="1" t="str">
        <f ca="1">IFERROR(__xludf.DUMMYFUNCTION("""COMPUTED_VALUE"""),"वैज्ञानिक अध्यात्मवाद का प्रतिपादन")</f>
        <v>वैज्ञानिक अध्यात्मवाद का प्रतिपादन</v>
      </c>
      <c r="H654" s="1"/>
      <c r="I654" s="1"/>
      <c r="J654" s="1"/>
      <c r="K654" s="1"/>
      <c r="L654" s="1"/>
      <c r="M654" s="1"/>
      <c r="N654" s="1"/>
      <c r="O654" s="1"/>
      <c r="P654" s="1"/>
      <c r="Q654" s="1"/>
      <c r="R654" s="1"/>
      <c r="S654" s="1" t="str">
        <f ca="1">IFERROR(__xludf.DUMMYFUNCTION("""COMPUTED_VALUE"""),"वैज्ञानिक अध्यात्मवाद का प्रतिपादन")</f>
        <v>वैज्ञानिक अध्यात्मवाद का प्रतिपादन</v>
      </c>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f ca="1">IFERROR(__xludf.DUMMYFUNCTION("""COMPUTED_VALUE"""),5)</f>
        <v>5</v>
      </c>
      <c r="BX654" s="1">
        <f ca="1">IFERROR(__xludf.DUMMYFUNCTION("""COMPUTED_VALUE"""),3)</f>
        <v>3</v>
      </c>
      <c r="BY654" s="1">
        <f ca="1">IFERROR(__xludf.DUMMYFUNCTION("""COMPUTED_VALUE"""),2)</f>
        <v>2</v>
      </c>
      <c r="BZ654" s="1">
        <f ca="1">IFERROR(__xludf.DUMMYFUNCTION("""COMPUTED_VALUE"""),1)</f>
        <v>1</v>
      </c>
      <c r="CA654" s="1"/>
      <c r="CB654" s="1"/>
      <c r="CC654" s="1" t="str">
        <f ca="1">IFERROR(__xludf.DUMMYFUNCTION("""COMPUTED_VALUE"""),"अध्यात्म विज्ञान की ब्रह्मवर्चस्‌ शोध प्रक्रिया : Rare Book")</f>
        <v>अध्यात्म विज्ञान की ब्रह्मवर्चस्‌ शोध प्रक्रिया : Rare Book</v>
      </c>
      <c r="CD654" s="3" t="str">
        <f ca="1">IFERROR(__xludf.DUMMYFUNCTION("""COMPUTED_VALUE"""),"https://vicharkrantibooks.org/productdetail?book_name=HINF0013_ADHYATM_VIGYAN_KI_BRAHMAVARCHAS%E2%80%8C_SHODH_PRAKRIYA_xxyyyy&amp;product_id=233")</f>
        <v>https://vicharkrantibooks.org/productdetail?book_name=HINF0013_ADHYATM_VIGYAN_KI_BRAHMAVARCHAS%E2%80%8C_SHODH_PRAKRIYA_xxyyyy&amp;product_id=233</v>
      </c>
      <c r="CE654" s="1" t="str">
        <f ca="1">IFERROR(__xludf.DUMMYFUNCTION("""COMPUTED_VALUE"""),"Audiobook : अध्यात्म विज्ञान की ब्रह्मवर्चस्‌ शोध प्रक्रिया : Rare Book : ashish_in_nagpur@yahoo.com : Recorded")</f>
        <v>Audiobook : अध्यात्म विज्ञान की ब्रह्मवर्चस्‌ शोध प्रक्रिया : Rare Book : ashish_in_nagpur@yahoo.com : Recorded</v>
      </c>
      <c r="CF654" s="1" t="str">
        <f ca="1">IFERROR(__xludf.DUMMYFUNCTION("""COMPUTED_VALUE"""),"Audiobook : अध्यात्म विज्ञान की ब्रह्मवर्चस्‌ शोध प्रक्रिया : Rare Book : ashish_in_nagpur@yahoo.com : Recorded")</f>
        <v>Audiobook : अध्यात्म विज्ञान की ब्रह्मवर्चस्‌ शोध प्रक्रिया : Rare Book : ashish_in_nagpur@yahoo.com : Recorded</v>
      </c>
      <c r="CG654" s="1" t="str">
        <f ca="1">IFERROR(__xludf.DUMMYFUNCTION("""COMPUTED_VALUE"""),"Adarniya Ashish Kumar Shrivastava  ji अध्यात्म विज्ञान की ब्रह्मवर्चस्‌ शोध प्रक्रिया : Rare Book : Allocated on 01-Nov-23 Contact Number  8275970236")</f>
        <v>Adarniya Ashish Kumar Shrivastava  ji अध्यात्म विज्ञान की ब्रह्मवर्चस्‌ शोध प्रक्रिया : Rare Book : Allocated on 01-Nov-23 Contact Number  8275970236</v>
      </c>
      <c r="CH654" s="1"/>
      <c r="CI654" s="1"/>
    </row>
    <row r="655" spans="1:87" x14ac:dyDescent="0.25">
      <c r="A655" s="5">
        <f ca="1">IFERROR(__xludf.DUMMYFUNCTION("""COMPUTED_VALUE"""),45230.673778912)</f>
        <v>45230.673778912002</v>
      </c>
      <c r="B655" s="1" t="str">
        <f ca="1">IFERROR(__xludf.DUMMYFUNCTION("""COMPUTED_VALUE"""),"vandana15rastogi@gmail.com")</f>
        <v>vandana15rastogi@gmail.com</v>
      </c>
      <c r="C655" s="1" t="str">
        <f ca="1">IFERROR(__xludf.DUMMYFUNCTION("""COMPUTED_VALUE"""),"Vandana Rastogi")</f>
        <v>Vandana Rastogi</v>
      </c>
      <c r="D655" s="1">
        <f ca="1">IFERROR(__xludf.DUMMYFUNCTION("""COMPUTED_VALUE"""),9359528684)</f>
        <v>9359528684</v>
      </c>
      <c r="E655" s="1" t="str">
        <f ca="1">IFERROR(__xludf.DUMMYFUNCTION("""COMPUTED_VALUE"""),"Yes")</f>
        <v>Yes</v>
      </c>
      <c r="F655" s="1" t="str">
        <f ca="1">IFERROR(__xludf.DUMMYFUNCTION("""COMPUTED_VALUE"""),"हिन्दी")</f>
        <v>हिन्दी</v>
      </c>
      <c r="G655" s="1" t="str">
        <f ca="1">IFERROR(__xludf.DUMMYFUNCTION("""COMPUTED_VALUE"""),"परिवार निर्माण")</f>
        <v>परिवार निर्माण</v>
      </c>
      <c r="H655" s="1"/>
      <c r="I655" s="1"/>
      <c r="J655" s="1"/>
      <c r="K655" s="1"/>
      <c r="L655" s="1"/>
      <c r="M655" s="1" t="str">
        <f ca="1">IFERROR(__xludf.DUMMYFUNCTION("""COMPUTED_VALUE"""),"आनंदमय वृद्धावस्था")</f>
        <v>आनंदमय वृद्धावस्था</v>
      </c>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f ca="1">IFERROR(__xludf.DUMMYFUNCTION("""COMPUTED_VALUE"""),33)</f>
        <v>33</v>
      </c>
      <c r="BX655" s="1">
        <f ca="1">IFERROR(__xludf.DUMMYFUNCTION("""COMPUTED_VALUE"""),19)</f>
        <v>19</v>
      </c>
      <c r="BY655" s="1">
        <f ca="1">IFERROR(__xludf.DUMMYFUNCTION("""COMPUTED_VALUE"""),17)</f>
        <v>17</v>
      </c>
      <c r="BZ655" s="1">
        <f ca="1">IFERROR(__xludf.DUMMYFUNCTION("""COMPUTED_VALUE"""),14)</f>
        <v>14</v>
      </c>
      <c r="CA655" s="1"/>
      <c r="CB655" s="1"/>
      <c r="CC655" s="1" t="str">
        <f ca="1">IFERROR(__xludf.DUMMYFUNCTION("""COMPUTED_VALUE"""),"संतानउत्पादन और नृतत्व विज्ञान : H_PN_35")</f>
        <v>संतानउत्पादन और नृतत्व विज्ञान : H_PN_35</v>
      </c>
      <c r="CD655" s="3" t="str">
        <f ca="1">IFERROR(__xludf.DUMMYFUNCTION("""COMPUTED_VALUE"""),"https://vicharkrantibooks.org/productdetail?book_name=HINP0794_SANTANOTPADAN_AUR_NRUTATV_VIGYAN_xxyyyy&amp;product_id=1359")</f>
        <v>https://vicharkrantibooks.org/productdetail?book_name=HINP0794_SANTANOTPADAN_AUR_NRUTATV_VIGYAN_xxyyyy&amp;product_id=1359</v>
      </c>
      <c r="CE655" s="1" t="str">
        <f ca="1">IFERROR(__xludf.DUMMYFUNCTION("""COMPUTED_VALUE"""),"Audiobook : संतानउत्पादन और नृतत्व विज्ञान : H_PN_35 : vandana15rastogi@gmail.com : Recorded")</f>
        <v>Audiobook : संतानउत्पादन और नृतत्व विज्ञान : H_PN_35 : vandana15rastogi@gmail.com : Recorded</v>
      </c>
      <c r="CF655" s="1" t="str">
        <f ca="1">IFERROR(__xludf.DUMMYFUNCTION("""COMPUTED_VALUE"""),"#N/A")</f>
        <v>#N/A</v>
      </c>
      <c r="CG655" s="1" t="str">
        <f ca="1">IFERROR(__xludf.DUMMYFUNCTION("""COMPUTED_VALUE"""),"Adarniya Vandana Rastogi ji संतानउत्पादन और नृतत्व विज्ञान : H_PN_35 : Allocated on 31-Oct-23 Contact Number  9359528684")</f>
        <v>Adarniya Vandana Rastogi ji संतानउत्पादन और नृतत्व विज्ञान : H_PN_35 : Allocated on 31-Oct-23 Contact Number  9359528684</v>
      </c>
      <c r="CH655" s="1"/>
      <c r="CI655" s="1"/>
    </row>
    <row r="656" spans="1:87" x14ac:dyDescent="0.25">
      <c r="A656" s="5">
        <f ca="1">IFERROR(__xludf.DUMMYFUNCTION("""COMPUTED_VALUE"""),45230.4676366782)</f>
        <v>45230.467636678201</v>
      </c>
      <c r="B656" s="1" t="str">
        <f ca="1">IFERROR(__xludf.DUMMYFUNCTION("""COMPUTED_VALUE"""),"richasharma310575@gmail.com")</f>
        <v>richasharma310575@gmail.com</v>
      </c>
      <c r="C656" s="1" t="str">
        <f ca="1">IFERROR(__xludf.DUMMYFUNCTION("""COMPUTED_VALUE"""),"Richa Sharma ")</f>
        <v xml:space="preserve">Richa Sharma </v>
      </c>
      <c r="D656" s="1">
        <f ca="1">IFERROR(__xludf.DUMMYFUNCTION("""COMPUTED_VALUE"""),9479664049)</f>
        <v>9479664049</v>
      </c>
      <c r="E656" s="1" t="str">
        <f ca="1">IFERROR(__xludf.DUMMYFUNCTION("""COMPUTED_VALUE"""),"Yes")</f>
        <v>Yes</v>
      </c>
      <c r="F656" s="1" t="str">
        <f ca="1">IFERROR(__xludf.DUMMYFUNCTION("""COMPUTED_VALUE"""),"हिन्दी")</f>
        <v>हिन्दी</v>
      </c>
      <c r="G656" s="1" t="str">
        <f ca="1">IFERROR(__xludf.DUMMYFUNCTION("""COMPUTED_VALUE"""),"संस्कार, कर्मकाण्ड, पाठ, पूजा, गीत-संगीत")</f>
        <v>संस्कार, कर्मकाण्ड, पाठ, पूजा, गीत-संगीत</v>
      </c>
      <c r="H656" s="1"/>
      <c r="I656" s="1"/>
      <c r="J656" s="1"/>
      <c r="K656" s="1"/>
      <c r="L656" s="1"/>
      <c r="M656" s="1"/>
      <c r="N656" s="1"/>
      <c r="O656" s="1"/>
      <c r="P656" s="1"/>
      <c r="Q656" s="1"/>
      <c r="R656" s="1"/>
      <c r="S656" s="1"/>
      <c r="T656" s="1"/>
      <c r="U656" s="1"/>
      <c r="V656" s="1"/>
      <c r="W656" s="1" t="str">
        <f ca="1">IFERROR(__xludf.DUMMYFUNCTION("""COMPUTED_VALUE"""),"पर्व-त्यौहार, कर्मकाण्ड")</f>
        <v>पर्व-त्यौहार, कर्मकाण्ड</v>
      </c>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t="str">
        <f ca="1">IFERROR(__xludf.DUMMYFUNCTION("""COMPUTED_VALUE"""),"कर्मकांड में छिपा व्यक्तित्व निर्माण का शिक्षण")</f>
        <v>कर्मकांड में छिपा व्यक्तित्व निर्माण का शिक्षण</v>
      </c>
      <c r="BH656" s="1"/>
      <c r="BI656" s="1"/>
      <c r="BJ656" s="1"/>
      <c r="BK656" s="1"/>
      <c r="BL656" s="1"/>
      <c r="BM656" s="1"/>
      <c r="BN656" s="1"/>
      <c r="BO656" s="1"/>
      <c r="BP656" s="1"/>
      <c r="BQ656" s="1"/>
      <c r="BR656" s="1"/>
      <c r="BS656" s="1"/>
      <c r="BT656" s="1"/>
      <c r="BU656" s="1"/>
      <c r="BV656" s="1"/>
      <c r="BW656" s="1">
        <f ca="1">IFERROR(__xludf.DUMMYFUNCTION("""COMPUTED_VALUE"""),23)</f>
        <v>23</v>
      </c>
      <c r="BX656" s="1">
        <f ca="1">IFERROR(__xludf.DUMMYFUNCTION("""COMPUTED_VALUE"""),28)</f>
        <v>28</v>
      </c>
      <c r="BY656" s="1">
        <f ca="1">IFERROR(__xludf.DUMMYFUNCTION("""COMPUTED_VALUE"""),2)</f>
        <v>2</v>
      </c>
      <c r="BZ656" s="1">
        <f ca="1">IFERROR(__xludf.DUMMYFUNCTION("""COMPUTED_VALUE"""),24)</f>
        <v>24</v>
      </c>
      <c r="CA656" s="1"/>
      <c r="CB656" s="1"/>
      <c r="CC656" s="1" t="str">
        <f ca="1">IFERROR(__xludf.DUMMYFUNCTION("""COMPUTED_VALUE"""),"प्यार और सहकार भरे परिवार बसें : H_JS_69")</f>
        <v>प्यार और सहकार भरे परिवार बसें : H_JS_69</v>
      </c>
      <c r="CD656" s="3" t="str">
        <f ca="1">IFERROR(__xludf.DUMMYFUNCTION("""COMPUTED_VALUE"""),"https://vicharkrantibooks.org/productdetail?book_name=HINP0695_PYAR_AUR_SAHAKAR_BHARE_PARIWAR_BASEN_xx2011&amp;product_id=1260")</f>
        <v>https://vicharkrantibooks.org/productdetail?book_name=HINP0695_PYAR_AUR_SAHAKAR_BHARE_PARIWAR_BASEN_xx2011&amp;product_id=1260</v>
      </c>
      <c r="CE656" s="1" t="str">
        <f ca="1">IFERROR(__xludf.DUMMYFUNCTION("""COMPUTED_VALUE"""),"Audiobook : प्यार और सहकार भरे परिवार बसें : H_JS_69 : richasharma310575@gmail.com : Recorded")</f>
        <v>Audiobook : प्यार और सहकार भरे परिवार बसें : H_JS_69 : richasharma310575@gmail.com : Recorded</v>
      </c>
      <c r="CF656" s="1" t="str">
        <f ca="1">IFERROR(__xludf.DUMMYFUNCTION("""COMPUTED_VALUE"""),"Audiobook : प्यार और सहकार भरे परिवार बसें : H_JS_69 : richasharma310575@gmail.com : Recorded")</f>
        <v>Audiobook : प्यार और सहकार भरे परिवार बसें : H_JS_69 : richasharma310575@gmail.com : Recorded</v>
      </c>
      <c r="CG656" s="1" t="str">
        <f ca="1">IFERROR(__xludf.DUMMYFUNCTION("""COMPUTED_VALUE"""),"Adarniya Richa Sharma  ji प्यार और सहकार भरे परिवार बसें : H_JS_69 : Allocated on 31-Oct-23 Contact Number  9479664049")</f>
        <v>Adarniya Richa Sharma  ji प्यार और सहकार भरे परिवार बसें : H_JS_69 : Allocated on 31-Oct-23 Contact Number  9479664049</v>
      </c>
      <c r="CH656" s="1"/>
      <c r="CI656" s="1"/>
    </row>
    <row r="657" spans="1:87" x14ac:dyDescent="0.25">
      <c r="A657" s="5">
        <f ca="1">IFERROR(__xludf.DUMMYFUNCTION("""COMPUTED_VALUE"""),45229.9373700231)</f>
        <v>45229.937370023101</v>
      </c>
      <c r="B657" s="1" t="str">
        <f ca="1">IFERROR(__xludf.DUMMYFUNCTION("""COMPUTED_VALUE"""),"rajnivarma24.vns@gmail.com")</f>
        <v>rajnivarma24.vns@gmail.com</v>
      </c>
      <c r="C657" s="1" t="str">
        <f ca="1">IFERROR(__xludf.DUMMYFUNCTION("""COMPUTED_VALUE"""),"Rajni varma")</f>
        <v>Rajni varma</v>
      </c>
      <c r="D657" s="1">
        <f ca="1">IFERROR(__xludf.DUMMYFUNCTION("""COMPUTED_VALUE"""),9335661433)</f>
        <v>9335661433</v>
      </c>
      <c r="E657" s="1" t="str">
        <f ca="1">IFERROR(__xludf.DUMMYFUNCTION("""COMPUTED_VALUE"""),"No")</f>
        <v>No</v>
      </c>
      <c r="F657" s="1" t="str">
        <f ca="1">IFERROR(__xludf.DUMMYFUNCTION("""COMPUTED_VALUE"""),"हिन्दी")</f>
        <v>हिन्दी</v>
      </c>
      <c r="G657" s="1" t="str">
        <f ca="1">IFERROR(__xludf.DUMMYFUNCTION("""COMPUTED_VALUE"""),"समग्र स्वास्थ्य")</f>
        <v>समग्र स्वास्थ्य</v>
      </c>
      <c r="H657" s="1"/>
      <c r="I657" s="1"/>
      <c r="J657" s="1"/>
      <c r="K657" s="1"/>
      <c r="L657" s="1"/>
      <c r="M657" s="1"/>
      <c r="N657" s="1"/>
      <c r="O657" s="1"/>
      <c r="P657" s="1"/>
      <c r="Q657" s="1"/>
      <c r="R657" s="1"/>
      <c r="S657" s="1"/>
      <c r="T657" s="1"/>
      <c r="U657" s="1" t="str">
        <f ca="1">IFERROR(__xludf.DUMMYFUNCTION("""COMPUTED_VALUE"""),"स्वास्थ्य संवर्धन")</f>
        <v>स्वास्थ्य संवर्धन</v>
      </c>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f ca="1">IFERROR(__xludf.DUMMYFUNCTION("""COMPUTED_VALUE"""),30)</f>
        <v>30</v>
      </c>
      <c r="BX657" s="1">
        <f ca="1">IFERROR(__xludf.DUMMYFUNCTION("""COMPUTED_VALUE"""),25)</f>
        <v>25</v>
      </c>
      <c r="BY657" s="1">
        <f ca="1">IFERROR(__xludf.DUMMYFUNCTION("""COMPUTED_VALUE"""),7)</f>
        <v>7</v>
      </c>
      <c r="BZ657" s="1">
        <f ca="1">IFERROR(__xludf.DUMMYFUNCTION("""COMPUTED_VALUE"""),7)</f>
        <v>7</v>
      </c>
      <c r="CA657" s="1"/>
      <c r="CB657" s="1"/>
      <c r="CC657" s="1" t="str">
        <f ca="1">IFERROR(__xludf.DUMMYFUNCTION("""COMPUTED_VALUE"""),"कच्चा खाएँ स्वास्थ्य बनाऐं : Rare Book")</f>
        <v>कच्चा खाएँ स्वास्थ्य बनाऐं : Rare Book</v>
      </c>
      <c r="CD657" s="3" t="str">
        <f ca="1">IFERROR(__xludf.DUMMYFUNCTION("""COMPUTED_VALUE"""),"https://vicharkrantibooks.org/productdetail?product_id=361")</f>
        <v>https://vicharkrantibooks.org/productdetail?product_id=361</v>
      </c>
      <c r="CE657" s="1" t="str">
        <f ca="1">IFERROR(__xludf.DUMMYFUNCTION("""COMPUTED_VALUE"""),"Audiobook : कच्चा खाएँ स्वास्थ्य बनाऐं : Rare Book : rajnivarma24.vns@gmail.com : Recorded")</f>
        <v>Audiobook : कच्चा खाएँ स्वास्थ्य बनाऐं : Rare Book : rajnivarma24.vns@gmail.com : Recorded</v>
      </c>
      <c r="CF657" s="1" t="str">
        <f ca="1">IFERROR(__xludf.DUMMYFUNCTION("""COMPUTED_VALUE"""),"Audiobook : कच्चा खाएँ स्वास्थ्य बनाऐं : Rare Book : rajnivarma24.vns@gmail.com : Recorded")</f>
        <v>Audiobook : कच्चा खाएँ स्वास्थ्य बनाऐं : Rare Book : rajnivarma24.vns@gmail.com : Recorded</v>
      </c>
      <c r="CG657" s="1" t="str">
        <f ca="1">IFERROR(__xludf.DUMMYFUNCTION("""COMPUTED_VALUE"""),"Adarniya Rajni varma ji कच्चा खाएँ स्वास्थ्य बनाऐं : Rare Book : Allocated on 30-Oct-23 Contact Number  9335661433")</f>
        <v>Adarniya Rajni varma ji कच्चा खाएँ स्वास्थ्य बनाऐं : Rare Book : Allocated on 30-Oct-23 Contact Number  9335661433</v>
      </c>
      <c r="CH657" s="1"/>
      <c r="CI657" s="1"/>
    </row>
    <row r="658" spans="1:87" x14ac:dyDescent="0.25">
      <c r="A658" s="5">
        <f ca="1">IFERROR(__xludf.DUMMYFUNCTION("""COMPUTED_VALUE"""),45229.7245876388)</f>
        <v>45229.724587638797</v>
      </c>
      <c r="B658" s="1" t="str">
        <f ca="1">IFERROR(__xludf.DUMMYFUNCTION("""COMPUTED_VALUE"""),"rbbansalriya@gmail.com")</f>
        <v>rbbansalriya@gmail.com</v>
      </c>
      <c r="C658" s="1" t="str">
        <f ca="1">IFERROR(__xludf.DUMMYFUNCTION("""COMPUTED_VALUE"""),"Riya bansal ")</f>
        <v xml:space="preserve">Riya bansal </v>
      </c>
      <c r="D658" s="1">
        <f ca="1">IFERROR(__xludf.DUMMYFUNCTION("""COMPUTED_VALUE"""),9176361023)</f>
        <v>9176361023</v>
      </c>
      <c r="E658" s="1" t="str">
        <f ca="1">IFERROR(__xludf.DUMMYFUNCTION("""COMPUTED_VALUE"""),"Yes")</f>
        <v>Yes</v>
      </c>
      <c r="F658" s="1" t="str">
        <f ca="1">IFERROR(__xludf.DUMMYFUNCTION("""COMPUTED_VALUE"""),"हिन्दी")</f>
        <v>हिन्दी</v>
      </c>
      <c r="G658" s="1" t="str">
        <f ca="1">IFERROR(__xludf.DUMMYFUNCTION("""COMPUTED_VALUE"""),"राष्ट्र निर्माण")</f>
        <v>राष्ट्र निर्माण</v>
      </c>
      <c r="H658" s="1"/>
      <c r="I658" s="1"/>
      <c r="J658" s="1"/>
      <c r="K658" s="1"/>
      <c r="L658" s="1"/>
      <c r="M658" s="1"/>
      <c r="N658" s="1"/>
      <c r="O658" s="1"/>
      <c r="P658" s="1"/>
      <c r="Q658" s="1"/>
      <c r="R658" s="1" t="str">
        <f ca="1">IFERROR(__xludf.DUMMYFUNCTION("""COMPUTED_VALUE"""),"सार्थक एवं समग्र शिक्षा")</f>
        <v>सार्थक एवं समग्र शिक्षा</v>
      </c>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f ca="1">IFERROR(__xludf.DUMMYFUNCTION("""COMPUTED_VALUE"""),54)</f>
        <v>54</v>
      </c>
      <c r="BX658" s="1">
        <f ca="1">IFERROR(__xludf.DUMMYFUNCTION("""COMPUTED_VALUE"""),55)</f>
        <v>55</v>
      </c>
      <c r="BY658" s="1">
        <f ca="1">IFERROR(__xludf.DUMMYFUNCTION("""COMPUTED_VALUE"""),9)</f>
        <v>9</v>
      </c>
      <c r="BZ658" s="1">
        <f ca="1">IFERROR(__xludf.DUMMYFUNCTION("""COMPUTED_VALUE"""),43)</f>
        <v>43</v>
      </c>
      <c r="CA658" s="1"/>
      <c r="CB658" s="1"/>
      <c r="CC658" s="1" t="str">
        <f ca="1">IFERROR(__xludf.DUMMYFUNCTION("""COMPUTED_VALUE"""),"मालिकों को जगाओ प्रजातंत्र बचाओ : H_SN_66")</f>
        <v>मालिकों को जगाओ प्रजातंत्र बचाओ : H_SN_66</v>
      </c>
      <c r="CD658" s="3" t="str">
        <f ca="1">IFERROR(__xludf.DUMMYFUNCTION("""COMPUTED_VALUE"""),"https://vicharkrantibooks.org/productdetail?book_name=HINP0485_MALIKON_KO_JAGAO_PRAJANTR_BACHAO_xxyyyy&amp;product_id=1050")</f>
        <v>https://vicharkrantibooks.org/productdetail?book_name=HINP0485_MALIKON_KO_JAGAO_PRAJANTR_BACHAO_xxyyyy&amp;product_id=1050</v>
      </c>
      <c r="CE658" s="1" t="str">
        <f ca="1">IFERROR(__xludf.DUMMYFUNCTION("""COMPUTED_VALUE"""),"Audiobook : मालिकों को जगाओ प्रजातंत्र बचाओ : H_SN_66 : rbbansalriya@gmail.com : Recorded")</f>
        <v>Audiobook : मालिकों को जगाओ प्रजातंत्र बचाओ : H_SN_66 : rbbansalriya@gmail.com : Recorded</v>
      </c>
      <c r="CF658" s="1" t="str">
        <f ca="1">IFERROR(__xludf.DUMMYFUNCTION("""COMPUTED_VALUE"""),"Audiobook : मालिकों को जगाओ प्रजातंत्र बचाओ : H_SN_66 : rbbansalriya@gmail.com : Recorded")</f>
        <v>Audiobook : मालिकों को जगाओ प्रजातंत्र बचाओ : H_SN_66 : rbbansalriya@gmail.com : Recorded</v>
      </c>
      <c r="CG658" s="1" t="str">
        <f ca="1">IFERROR(__xludf.DUMMYFUNCTION("""COMPUTED_VALUE"""),"Adarniya Riya bansal  ji मालिकों को जगाओ प्रजातंत्र बचाओ : H_SN_66 : Allocated on 30-Oct-23 Contact Number  9176361023")</f>
        <v>Adarniya Riya bansal  ji मालिकों को जगाओ प्रजातंत्र बचाओ : H_SN_66 : Allocated on 30-Oct-23 Contact Number  9176361023</v>
      </c>
      <c r="CH658" s="1"/>
      <c r="CI658" s="1"/>
    </row>
    <row r="659" spans="1:87" x14ac:dyDescent="0.25">
      <c r="A659" s="5">
        <f ca="1">IFERROR(__xludf.DUMMYFUNCTION("""COMPUTED_VALUE"""),45229.7082417129)</f>
        <v>45229.708241712899</v>
      </c>
      <c r="B659" s="1" t="str">
        <f ca="1">IFERROR(__xludf.DUMMYFUNCTION("""COMPUTED_VALUE"""),"druma4107@gmail.com")</f>
        <v>druma4107@gmail.com</v>
      </c>
      <c r="C659" s="1" t="str">
        <f ca="1">IFERROR(__xludf.DUMMYFUNCTION("""COMPUTED_VALUE"""),"Dr Uma Agrawal ")</f>
        <v xml:space="preserve">Dr Uma Agrawal </v>
      </c>
      <c r="D659" s="1">
        <f ca="1">IFERROR(__xludf.DUMMYFUNCTION("""COMPUTED_VALUE"""),9410861182)</f>
        <v>9410861182</v>
      </c>
      <c r="E659" s="1" t="str">
        <f ca="1">IFERROR(__xludf.DUMMYFUNCTION("""COMPUTED_VALUE"""),"Yes")</f>
        <v>Yes</v>
      </c>
      <c r="F659" s="1" t="str">
        <f ca="1">IFERROR(__xludf.DUMMYFUNCTION("""COMPUTED_VALUE"""),"हिन्दी")</f>
        <v>हिन्दी</v>
      </c>
      <c r="G659" s="1" t="str">
        <f ca="1">IFERROR(__xludf.DUMMYFUNCTION("""COMPUTED_VALUE"""),"अध्यात्म, धर्म एवं दर्शन")</f>
        <v>अध्यात्म, धर्म एवं दर्शन</v>
      </c>
      <c r="H659" s="1" t="str">
        <f ca="1">IFERROR(__xludf.DUMMYFUNCTION("""COMPUTED_VALUE"""),"उपासना")</f>
        <v>उपासना</v>
      </c>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f ca="1">IFERROR(__xludf.DUMMYFUNCTION("""COMPUTED_VALUE"""),104)</f>
        <v>104</v>
      </c>
      <c r="BX659" s="1">
        <f ca="1">IFERROR(__xludf.DUMMYFUNCTION("""COMPUTED_VALUE"""),106)</f>
        <v>106</v>
      </c>
      <c r="BY659" s="1">
        <f ca="1">IFERROR(__xludf.DUMMYFUNCTION("""COMPUTED_VALUE"""),9)</f>
        <v>9</v>
      </c>
      <c r="BZ659" s="1">
        <f ca="1">IFERROR(__xludf.DUMMYFUNCTION("""COMPUTED_VALUE"""),43)</f>
        <v>43</v>
      </c>
      <c r="CA659" s="1"/>
      <c r="CB659" s="1"/>
      <c r="CC659" s="1" t="str">
        <f ca="1">IFERROR(__xludf.DUMMYFUNCTION("""COMPUTED_VALUE"""),"भगवान का काम घाटे का सौदा नहीं : H_JS_96")</f>
        <v>भगवान का काम घाटे का सौदा नहीं : H_JS_96</v>
      </c>
      <c r="CD659" s="3" t="str">
        <f ca="1">IFERROR(__xludf.DUMMYFUNCTION("""COMPUTED_VALUE"""),"https://vicharkrantibooks.org/productdetail?book_name=HINP0137_BHAGAVAN_KA_KAM_GHATE_KA_SAUDA_NAHI_xx2011&amp;product_id=702")</f>
        <v>https://vicharkrantibooks.org/productdetail?book_name=HINP0137_BHAGAVAN_KA_KAM_GHATE_KA_SAUDA_NAHI_xx2011&amp;product_id=702</v>
      </c>
      <c r="CE659" s="1" t="str">
        <f ca="1">IFERROR(__xludf.DUMMYFUNCTION("""COMPUTED_VALUE"""),"Audiobook : भगवान का काम घाटे का सौदा नहीं : H_JS_96 : druma4107@gmail.com : Recorded")</f>
        <v>Audiobook : भगवान का काम घाटे का सौदा नहीं : H_JS_96 : druma4107@gmail.com : Recorded</v>
      </c>
      <c r="CF659" s="1" t="str">
        <f ca="1">IFERROR(__xludf.DUMMYFUNCTION("""COMPUTED_VALUE"""),"Audiobook : भगवान का काम घाटे का सौदा नहीं : H_JS_96 : druma4107@gmail.com : Recorded")</f>
        <v>Audiobook : भगवान का काम घाटे का सौदा नहीं : H_JS_96 : druma4107@gmail.com : Recorded</v>
      </c>
      <c r="CG659" s="1" t="str">
        <f ca="1">IFERROR(__xludf.DUMMYFUNCTION("""COMPUTED_VALUE"""),"Adarniya Dr Uma Agrawal  ji भगवान का काम घाटे का सौदा नहीं : H_JS_96 : Allocated on 30-Oct-23 Contact Number  9410861182")</f>
        <v>Adarniya Dr Uma Agrawal  ji भगवान का काम घाटे का सौदा नहीं : H_JS_96 : Allocated on 30-Oct-23 Contact Number  9410861182</v>
      </c>
      <c r="CH659" s="1"/>
      <c r="CI659" s="1"/>
    </row>
    <row r="660" spans="1:87" x14ac:dyDescent="0.25">
      <c r="A660" s="5">
        <f ca="1">IFERROR(__xludf.DUMMYFUNCTION("""COMPUTED_VALUE"""),45228.5335028935)</f>
        <v>45228.533502893501</v>
      </c>
      <c r="B660" s="1" t="str">
        <f ca="1">IFERROR(__xludf.DUMMYFUNCTION("""COMPUTED_VALUE"""),"csprasad108@gmail.com")</f>
        <v>csprasad108@gmail.com</v>
      </c>
      <c r="C660" s="1" t="str">
        <f ca="1">IFERROR(__xludf.DUMMYFUNCTION("""COMPUTED_VALUE"""),"Kumkum prasad")</f>
        <v>Kumkum prasad</v>
      </c>
      <c r="D660" s="1">
        <f ca="1">IFERROR(__xludf.DUMMYFUNCTION("""COMPUTED_VALUE"""),7978055621)</f>
        <v>7978055621</v>
      </c>
      <c r="E660" s="1"/>
      <c r="F660" s="1" t="str">
        <f ca="1">IFERROR(__xludf.DUMMYFUNCTION("""COMPUTED_VALUE"""),"हिन्दी")</f>
        <v>हिन्दी</v>
      </c>
      <c r="G660" s="1" t="str">
        <f ca="1">IFERROR(__xludf.DUMMYFUNCTION("""COMPUTED_VALUE"""),"संस्कार, कर्मकाण्ड, पाठ, पूजा, गीत-संगीत")</f>
        <v>संस्कार, कर्मकाण्ड, पाठ, पूजा, गीत-संगीत</v>
      </c>
      <c r="H660" s="1"/>
      <c r="I660" s="1"/>
      <c r="J660" s="1"/>
      <c r="K660" s="1"/>
      <c r="L660" s="1"/>
      <c r="M660" s="1"/>
      <c r="N660" s="1"/>
      <c r="O660" s="1"/>
      <c r="P660" s="1"/>
      <c r="Q660" s="1"/>
      <c r="R660" s="1"/>
      <c r="S660" s="1"/>
      <c r="T660" s="1"/>
      <c r="U660" s="1"/>
      <c r="V660" s="1"/>
      <c r="W660" s="1" t="str">
        <f ca="1">IFERROR(__xludf.DUMMYFUNCTION("""COMPUTED_VALUE"""),"पाठ, पूजा, चालीसा, प्रार्थना,")</f>
        <v>पाठ, पूजा, चालीसा, प्रार्थना,</v>
      </c>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t="str">
        <f ca="1">IFERROR(__xludf.DUMMYFUNCTION("""COMPUTED_VALUE"""),"गायत्री चालीसा")</f>
        <v>गायत्री चालीसा</v>
      </c>
      <c r="BI660" s="1"/>
      <c r="BJ660" s="1"/>
      <c r="BK660" s="1"/>
      <c r="BL660" s="1"/>
      <c r="BM660" s="1"/>
      <c r="BN660" s="1"/>
      <c r="BO660" s="1"/>
      <c r="BP660" s="1"/>
      <c r="BQ660" s="1"/>
      <c r="BR660" s="1"/>
      <c r="BS660" s="1"/>
      <c r="BT660" s="1"/>
      <c r="BU660" s="1"/>
      <c r="BV660" s="1"/>
      <c r="BW660" s="1">
        <f ca="1">IFERROR(__xludf.DUMMYFUNCTION("""COMPUTED_VALUE"""),52)</f>
        <v>52</v>
      </c>
      <c r="BX660" s="1">
        <f ca="1">IFERROR(__xludf.DUMMYFUNCTION("""COMPUTED_VALUE"""),54)</f>
        <v>54</v>
      </c>
      <c r="BY660" s="1">
        <f ca="1">IFERROR(__xludf.DUMMYFUNCTION("""COMPUTED_VALUE"""),3)</f>
        <v>3</v>
      </c>
      <c r="BZ660" s="1">
        <f ca="1">IFERROR(__xludf.DUMMYFUNCTION("""COMPUTED_VALUE"""),24)</f>
        <v>24</v>
      </c>
      <c r="CA660" s="1"/>
      <c r="CB660" s="1"/>
      <c r="CC660" s="1" t="str">
        <f ca="1">IFERROR(__xludf.DUMMYFUNCTION("""COMPUTED_VALUE"""),"जनता के सुप्रीम कोर्ट में समस्याओं के समाधान की गुहार : H_VP_72")</f>
        <v>जनता के सुप्रीम कोर्ट में समस्याओं के समाधान की गुहार : H_VP_72</v>
      </c>
      <c r="CD660" s="3" t="str">
        <f ca="1">IFERROR(__xludf.DUMMYFUNCTION("""COMPUTED_VALUE"""),"https://vicharkrantibooks.org/productdetail?book_name=HINP1075_JANATA_KE_SUPRIM_COURT_MAIN_SAMASYAON_KE_SAMADHAN_KI_GUHAR_Re2015&amp;product_id=1640")</f>
        <v>https://vicharkrantibooks.org/productdetail?book_name=HINP1075_JANATA_KE_SUPRIM_COURT_MAIN_SAMASYAON_KE_SAMADHAN_KI_GUHAR_Re2015&amp;product_id=1640</v>
      </c>
      <c r="CE660" s="1" t="str">
        <f ca="1">IFERROR(__xludf.DUMMYFUNCTION("""COMPUTED_VALUE"""),"Audiobook : जनता के सुप्रीम कोर्ट में समस्याओं के समाधान की गुहार : H_VP_72 : csprasad108@gmail.com : Recorded")</f>
        <v>Audiobook : जनता के सुप्रीम कोर्ट में समस्याओं के समाधान की गुहार : H_VP_72 : csprasad108@gmail.com : Recorded</v>
      </c>
      <c r="CF660" s="1" t="str">
        <f ca="1">IFERROR(__xludf.DUMMYFUNCTION("""COMPUTED_VALUE"""),"Audiobook : जनता के सुप्रीम कोर्ट में समस्याओं के समाधान की गुहार : H_VP_72 : csprasad108@gmail.com : Recorded")</f>
        <v>Audiobook : जनता के सुप्रीम कोर्ट में समस्याओं के समाधान की गुहार : H_VP_72 : csprasad108@gmail.com : Recorded</v>
      </c>
      <c r="CG660" s="1" t="str">
        <f ca="1">IFERROR(__xludf.DUMMYFUNCTION("""COMPUTED_VALUE"""),"Adarniya Kumkum prasad ji जनता के सुप्रीम कोर्ट में समस्याओं के समाधान की गुहार : H_VP_72 : Allocated on 29-Oct-23 Contact Number  7978055621")</f>
        <v>Adarniya Kumkum prasad ji जनता के सुप्रीम कोर्ट में समस्याओं के समाधान की गुहार : H_VP_72 : Allocated on 29-Oct-23 Contact Number  7978055621</v>
      </c>
      <c r="CH660" s="1"/>
      <c r="CI660" s="1"/>
    </row>
    <row r="661" spans="1:87" x14ac:dyDescent="0.25">
      <c r="A661" s="5">
        <f ca="1">IFERROR(__xludf.DUMMYFUNCTION("""COMPUTED_VALUE"""),45227.4130469328)</f>
        <v>45227.413046932801</v>
      </c>
      <c r="B661" s="1" t="str">
        <f ca="1">IFERROR(__xludf.DUMMYFUNCTION("""COMPUTED_VALUE"""),"prateekbhardwaj7002@gmail.com")</f>
        <v>prateekbhardwaj7002@gmail.com</v>
      </c>
      <c r="C661" s="1" t="str">
        <f ca="1">IFERROR(__xludf.DUMMYFUNCTION("""COMPUTED_VALUE""")," Sangeeta Bhardwaj")</f>
        <v xml:space="preserve"> Sangeeta Bhardwaj</v>
      </c>
      <c r="D661" s="1">
        <f ca="1">IFERROR(__xludf.DUMMYFUNCTION("""COMPUTED_VALUE"""),9871997860)</f>
        <v>9871997860</v>
      </c>
      <c r="E661" s="1" t="str">
        <f ca="1">IFERROR(__xludf.DUMMYFUNCTION("""COMPUTED_VALUE"""),"No")</f>
        <v>No</v>
      </c>
      <c r="F661" s="1" t="str">
        <f ca="1">IFERROR(__xludf.DUMMYFUNCTION("""COMPUTED_VALUE"""),"हिन्दी")</f>
        <v>हिन्दी</v>
      </c>
      <c r="G661" s="1" t="str">
        <f ca="1">IFERROR(__xludf.DUMMYFUNCTION("""COMPUTED_VALUE"""),"परिवार निर्माण")</f>
        <v>परिवार निर्माण</v>
      </c>
      <c r="H661" s="1"/>
      <c r="I661" s="1"/>
      <c r="J661" s="1"/>
      <c r="K661" s="1"/>
      <c r="L661" s="1"/>
      <c r="M661" s="1" t="str">
        <f ca="1">IFERROR(__xludf.DUMMYFUNCTION("""COMPUTED_VALUE"""),"परिवार")</f>
        <v>परिवार</v>
      </c>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f ca="1">IFERROR(__xludf.DUMMYFUNCTION("""COMPUTED_VALUE"""),2)</f>
        <v>2</v>
      </c>
      <c r="BX661" s="1">
        <f ca="1">IFERROR(__xludf.DUMMYFUNCTION("""COMPUTED_VALUE"""),0)</f>
        <v>0</v>
      </c>
      <c r="BY661" s="1">
        <f ca="1">IFERROR(__xludf.DUMMYFUNCTION("""COMPUTED_VALUE"""),2)</f>
        <v>2</v>
      </c>
      <c r="BZ661" s="1">
        <f ca="1">IFERROR(__xludf.DUMMYFUNCTION("""COMPUTED_VALUE"""),0)</f>
        <v>0</v>
      </c>
      <c r="CA661" s="1"/>
      <c r="CB661" s="1"/>
      <c r="CC661" s="1" t="str">
        <f ca="1">IFERROR(__xludf.DUMMYFUNCTION("""COMPUTED_VALUE"""),"उपेक्षा न होती तो परिवार का स्तर यों न गिरता : Rare Book")</f>
        <v>उपेक्षा न होती तो परिवार का स्तर यों न गिरता : Rare Book</v>
      </c>
      <c r="CD661" s="3" t="str">
        <f ca="1">IFERROR(__xludf.DUMMYFUNCTION("""COMPUTED_VALUE"""),"https://vicharkrantibooks.org/productdetail?book_name=HINF0302_UPEKSHA_NA_HOTI_TO_PARIWAR_KA_STAR_YON_NA_GIRATA_xxyyyy&amp;product_id=522")</f>
        <v>https://vicharkrantibooks.org/productdetail?book_name=HINF0302_UPEKSHA_NA_HOTI_TO_PARIWAR_KA_STAR_YON_NA_GIRATA_xxyyyy&amp;product_id=522</v>
      </c>
      <c r="CE661" s="1" t="str">
        <f ca="1">IFERROR(__xludf.DUMMYFUNCTION("""COMPUTED_VALUE"""),"Audiobook : उपेक्षा न होती तो परिवार का स्तर यों न गिरता : Rare Book : prateekbhardwaj7002@gmail.com : Recorded")</f>
        <v>Audiobook : उपेक्षा न होती तो परिवार का स्तर यों न गिरता : Rare Book : prateekbhardwaj7002@gmail.com : Recorded</v>
      </c>
      <c r="CF661" s="1" t="str">
        <f ca="1">IFERROR(__xludf.DUMMYFUNCTION("""COMPUTED_VALUE"""),"#N/A")</f>
        <v>#N/A</v>
      </c>
      <c r="CG661" s="1" t="str">
        <f ca="1">IFERROR(__xludf.DUMMYFUNCTION("""COMPUTED_VALUE"""),"Adarniya  Sangeeta Bhardwaj ji उपेक्षा न होती तो परिवार का स्तर यों न गिरता : Rare Book : Allocated on 28-Oct-23 Contact Number  9871997860")</f>
        <v>Adarniya  Sangeeta Bhardwaj ji उपेक्षा न होती तो परिवार का स्तर यों न गिरता : Rare Book : Allocated on 28-Oct-23 Contact Number  9871997860</v>
      </c>
      <c r="CH661" s="1"/>
      <c r="CI661" s="1"/>
    </row>
    <row r="662" spans="1:87" x14ac:dyDescent="0.25">
      <c r="A662" s="5">
        <f ca="1">IFERROR(__xludf.DUMMYFUNCTION("""COMPUTED_VALUE"""),45225.83647978)</f>
        <v>45225.836479780002</v>
      </c>
      <c r="B662" s="1" t="str">
        <f ca="1">IFERROR(__xludf.DUMMYFUNCTION("""COMPUTED_VALUE"""),"manjusrivastava349@gmail.com")</f>
        <v>manjusrivastava349@gmail.com</v>
      </c>
      <c r="C662" s="1" t="str">
        <f ca="1">IFERROR(__xludf.DUMMYFUNCTION("""COMPUTED_VALUE"""),"Manju srivastava")</f>
        <v>Manju srivastava</v>
      </c>
      <c r="D662" s="1">
        <f ca="1">IFERROR(__xludf.DUMMYFUNCTION("""COMPUTED_VALUE"""),9450345667)</f>
        <v>9450345667</v>
      </c>
      <c r="E662" s="1" t="str">
        <f ca="1">IFERROR(__xludf.DUMMYFUNCTION("""COMPUTED_VALUE"""),"Yes")</f>
        <v>Yes</v>
      </c>
      <c r="F662" s="1" t="str">
        <f ca="1">IFERROR(__xludf.DUMMYFUNCTION("""COMPUTED_VALUE"""),"हिन्दी")</f>
        <v>हिन्दी</v>
      </c>
      <c r="G662" s="1" t="str">
        <f ca="1">IFERROR(__xludf.DUMMYFUNCTION("""COMPUTED_VALUE"""),"युग द्रष्टा पं. श्रीराम शर्मा आचार्यजी")</f>
        <v>युग द्रष्टा पं. श्रीराम शर्मा आचार्यजी</v>
      </c>
      <c r="H662" s="1"/>
      <c r="I662" s="1"/>
      <c r="J662" s="1"/>
      <c r="K662" s="1"/>
      <c r="L662" s="1"/>
      <c r="M662" s="1"/>
      <c r="N662" s="1"/>
      <c r="O662" s="1"/>
      <c r="P662" s="1" t="str">
        <f ca="1">IFERROR(__xludf.DUMMYFUNCTION("""COMPUTED_VALUE"""),"युगॠषी की अमृतवाणी")</f>
        <v>युगॠषी की अमृतवाणी</v>
      </c>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f ca="1">IFERROR(__xludf.DUMMYFUNCTION("""COMPUTED_VALUE"""),10)</f>
        <v>10</v>
      </c>
      <c r="BX662" s="1">
        <f ca="1">IFERROR(__xludf.DUMMYFUNCTION("""COMPUTED_VALUE"""),12)</f>
        <v>12</v>
      </c>
      <c r="BY662" s="1">
        <f ca="1">IFERROR(__xludf.DUMMYFUNCTION("""COMPUTED_VALUE"""),0)</f>
        <v>0</v>
      </c>
      <c r="BZ662" s="1">
        <f ca="1">IFERROR(__xludf.DUMMYFUNCTION("""COMPUTED_VALUE"""),2)</f>
        <v>2</v>
      </c>
      <c r="CA662" s="1"/>
      <c r="CB662" s="1"/>
      <c r="CC662" s="1" t="str">
        <f ca="1">IFERROR(__xludf.DUMMYFUNCTION("""COMPUTED_VALUE"""),"युग ऋषि की अमर वाणी भाग १ : Rare Book")</f>
        <v>युग ऋषि की अमर वाणी भाग १ : Rare Book</v>
      </c>
      <c r="CD662" s="3" t="str">
        <f ca="1">IFERROR(__xludf.DUMMYFUNCTION("""COMPUTED_VALUE"""),"https://vicharkrantibooks.org/productdetail?book_name=HINP1059_YUG_RUSHI_KI_AMAR_VANI_BHAG_1_xxyyyy&amp;product_id=1624")</f>
        <v>https://vicharkrantibooks.org/productdetail?book_name=HINP1059_YUG_RUSHI_KI_AMAR_VANI_BHAG_1_xxyyyy&amp;product_id=1624</v>
      </c>
      <c r="CE662" s="1" t="str">
        <f ca="1">IFERROR(__xludf.DUMMYFUNCTION("""COMPUTED_VALUE"""),"Audiobook : युग ऋषि की अमर वाणी भाग १ : Rare Book : manjusrivastava349@gmail.com : Recorded")</f>
        <v>Audiobook : युग ऋषि की अमर वाणी भाग १ : Rare Book : manjusrivastava349@gmail.com : Recorded</v>
      </c>
      <c r="CF662" s="1" t="str">
        <f ca="1">IFERROR(__xludf.DUMMYFUNCTION("""COMPUTED_VALUE"""),"Audiobook : युग ऋषि की अमर वाणी भाग १ : Rare Book : manjusrivastava349@gmail.com : Recorded")</f>
        <v>Audiobook : युग ऋषि की अमर वाणी भाग १ : Rare Book : manjusrivastava349@gmail.com : Recorded</v>
      </c>
      <c r="CG662" s="1" t="str">
        <f ca="1">IFERROR(__xludf.DUMMYFUNCTION("""COMPUTED_VALUE"""),"Adarniya Manju srivastava ji युग ऋषि की अमर वाणी भाग १ : Rare Book : Allocated on 26-Oct-23 Contact Number  9450345667")</f>
        <v>Adarniya Manju srivastava ji युग ऋषि की अमर वाणी भाग १ : Rare Book : Allocated on 26-Oct-23 Contact Number  9450345667</v>
      </c>
      <c r="CH662" s="1"/>
      <c r="CI662" s="1"/>
    </row>
    <row r="663" spans="1:87" x14ac:dyDescent="0.25">
      <c r="A663" s="5">
        <f ca="1">IFERROR(__xludf.DUMMYFUNCTION("""COMPUTED_VALUE"""),45225.5083081134)</f>
        <v>45225.5083081134</v>
      </c>
      <c r="B663" s="1" t="str">
        <f ca="1">IFERROR(__xludf.DUMMYFUNCTION("""COMPUTED_VALUE"""),"amrita_dube@yahoo.com")</f>
        <v>amrita_dube@yahoo.com</v>
      </c>
      <c r="C663" s="1" t="str">
        <f ca="1">IFERROR(__xludf.DUMMYFUNCTION("""COMPUTED_VALUE"""),"Amrita")</f>
        <v>Amrita</v>
      </c>
      <c r="D663" s="1"/>
      <c r="E663" s="1" t="str">
        <f ca="1">IFERROR(__xludf.DUMMYFUNCTION("""COMPUTED_VALUE"""),"No")</f>
        <v>No</v>
      </c>
      <c r="F663" s="1" t="str">
        <f ca="1">IFERROR(__xludf.DUMMYFUNCTION("""COMPUTED_VALUE"""),"English")</f>
        <v>English</v>
      </c>
      <c r="G663" s="1" t="str">
        <f ca="1">IFERROR(__xludf.DUMMYFUNCTION("""COMPUTED_VALUE"""),"English")</f>
        <v>English</v>
      </c>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f ca="1">IFERROR(__xludf.DUMMYFUNCTION("""COMPUTED_VALUE"""),17)</f>
        <v>17</v>
      </c>
      <c r="BX663" s="1">
        <f ca="1">IFERROR(__xludf.DUMMYFUNCTION("""COMPUTED_VALUE"""),14)</f>
        <v>14</v>
      </c>
      <c r="BY663" s="1">
        <f ca="1">IFERROR(__xludf.DUMMYFUNCTION("""COMPUTED_VALUE"""),6)</f>
        <v>6</v>
      </c>
      <c r="BZ663" s="1">
        <f ca="1">IFERROR(__xludf.DUMMYFUNCTION("""COMPUTED_VALUE"""),5)</f>
        <v>5</v>
      </c>
      <c r="CA663" s="1"/>
      <c r="CB663" s="1"/>
      <c r="CC663" s="1" t="str">
        <f ca="1">IFERROR(__xludf.DUMMYFUNCTION("""COMPUTED_VALUE"""),"Assign Your Goals In Student Life : EP_122")</f>
        <v>Assign Your Goals In Student Life : EP_122</v>
      </c>
      <c r="CD663" s="3" t="str">
        <f ca="1">IFERROR(__xludf.DUMMYFUNCTION("""COMPUTED_VALUE"""),"https://vicharkrantibooks.org/productdetail?book_name=ENGP0968_ASSIGN_YOUR_GOALS_IN_STUDENT_LIFE_xxyyyy&amp;product_id=3507")</f>
        <v>https://vicharkrantibooks.org/productdetail?book_name=ENGP0968_ASSIGN_YOUR_GOALS_IN_STUDENT_LIFE_xxyyyy&amp;product_id=3507</v>
      </c>
      <c r="CE663" s="1" t="str">
        <f ca="1">IFERROR(__xludf.DUMMYFUNCTION("""COMPUTED_VALUE"""),"Audiobook : Assign Your Goals In Student Life : EP_122 : amrita_dube@yahoo.com : Recorded")</f>
        <v>Audiobook : Assign Your Goals In Student Life : EP_122 : amrita_dube@yahoo.com : Recorded</v>
      </c>
      <c r="CF663" s="1" t="str">
        <f ca="1">IFERROR(__xludf.DUMMYFUNCTION("""COMPUTED_VALUE"""),"#N/A")</f>
        <v>#N/A</v>
      </c>
      <c r="CG663" s="1" t="str">
        <f ca="1">IFERROR(__xludf.DUMMYFUNCTION("""COMPUTED_VALUE"""),"Adarniya Amrita ji Assign Your Goals In Student Life : EP_122 : Allocated on 26-Oct-23 Contact Number  ")</f>
        <v xml:space="preserve">Adarniya Amrita ji Assign Your Goals In Student Life : EP_122 : Allocated on 26-Oct-23 Contact Number  </v>
      </c>
      <c r="CH663" s="1"/>
      <c r="CI663" s="1"/>
    </row>
    <row r="664" spans="1:87" x14ac:dyDescent="0.25">
      <c r="A664" s="5">
        <f ca="1">IFERROR(__xludf.DUMMYFUNCTION("""COMPUTED_VALUE"""),45225.4489085995)</f>
        <v>45225.448908599501</v>
      </c>
      <c r="B664" s="1" t="str">
        <f ca="1">IFERROR(__xludf.DUMMYFUNCTION("""COMPUTED_VALUE"""),"purnima.bharadwaj.24@gmail.com")</f>
        <v>purnima.bharadwaj.24@gmail.com</v>
      </c>
      <c r="C664" s="1" t="str">
        <f ca="1">IFERROR(__xludf.DUMMYFUNCTION("""COMPUTED_VALUE"""),"पूर्णिमा भारद्वाज ")</f>
        <v xml:space="preserve">पूर्णिमा भारद्वाज </v>
      </c>
      <c r="D664" s="1">
        <f ca="1">IFERROR(__xludf.DUMMYFUNCTION("""COMPUTED_VALUE"""),9415389032)</f>
        <v>9415389032</v>
      </c>
      <c r="E664" s="1" t="str">
        <f ca="1">IFERROR(__xludf.DUMMYFUNCTION("""COMPUTED_VALUE"""),"Yes")</f>
        <v>Yes</v>
      </c>
      <c r="F664" s="1" t="str">
        <f ca="1">IFERROR(__xludf.DUMMYFUNCTION("""COMPUTED_VALUE"""),"हिन्दी")</f>
        <v>हिन्दी</v>
      </c>
      <c r="G664" s="1" t="str">
        <f ca="1">IFERROR(__xludf.DUMMYFUNCTION("""COMPUTED_VALUE"""),"युग द्रष्टा पं. श्रीराम शर्मा आचार्यजी")</f>
        <v>युग द्रष्टा पं. श्रीराम शर्मा आचार्यजी</v>
      </c>
      <c r="H664" s="1"/>
      <c r="I664" s="1"/>
      <c r="J664" s="1"/>
      <c r="K664" s="1"/>
      <c r="L664" s="1"/>
      <c r="M664" s="1"/>
      <c r="N664" s="1"/>
      <c r="O664" s="1"/>
      <c r="P664" s="1" t="str">
        <f ca="1">IFERROR(__xludf.DUMMYFUNCTION("""COMPUTED_VALUE"""),"युगॠषी की अमृतवाणी")</f>
        <v>युगॠषी की अमृतवाणी</v>
      </c>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f ca="1">IFERROR(__xludf.DUMMYFUNCTION("""COMPUTED_VALUE"""),43)</f>
        <v>43</v>
      </c>
      <c r="BX664" s="1">
        <f ca="1">IFERROR(__xludf.DUMMYFUNCTION("""COMPUTED_VALUE"""),36)</f>
        <v>36</v>
      </c>
      <c r="BY664" s="1">
        <f ca="1">IFERROR(__xludf.DUMMYFUNCTION("""COMPUTED_VALUE"""),9)</f>
        <v>9</v>
      </c>
      <c r="BZ664" s="1">
        <f ca="1">IFERROR(__xludf.DUMMYFUNCTION("""COMPUTED_VALUE"""),30)</f>
        <v>30</v>
      </c>
      <c r="CA664" s="1"/>
      <c r="CB664" s="1"/>
      <c r="CC664" s="1" t="str">
        <f ca="1">IFERROR(__xludf.DUMMYFUNCTION("""COMPUTED_VALUE"""),"परम पूज्य गुरुदेव की सूक्ष्मीकृत जीवन चर्या : Rare Book")</f>
        <v>परम पूज्य गुरुदेव की सूक्ष्मीकृत जीवन चर्या : Rare Book</v>
      </c>
      <c r="CD664" s="3" t="str">
        <f ca="1">IFERROR(__xludf.DUMMYFUNCTION("""COMPUTED_VALUE"""),"https://vicharkrantibooks.org/productdetail?product_id=413")</f>
        <v>https://vicharkrantibooks.org/productdetail?product_id=413</v>
      </c>
      <c r="CE664" s="1" t="str">
        <f ca="1">IFERROR(__xludf.DUMMYFUNCTION("""COMPUTED_VALUE"""),"Audiobook : परम पूज्य गुरुदेव की सूक्ष्मीकृत जीवन चर्या : Rare Book : purnima.bharadwaj.24@gmail.com : Recorded")</f>
        <v>Audiobook : परम पूज्य गुरुदेव की सूक्ष्मीकृत जीवन चर्या : Rare Book : purnima.bharadwaj.24@gmail.com : Recorded</v>
      </c>
      <c r="CF664" s="1" t="str">
        <f ca="1">IFERROR(__xludf.DUMMYFUNCTION("""COMPUTED_VALUE"""),"Audiobook : परम पूज्य गुरुदेव की सूक्ष्मीकृत जीवन चर्या : Rare Book : purnima.bharadwaj.24@gmail.com : Recorded")</f>
        <v>Audiobook : परम पूज्य गुरुदेव की सूक्ष्मीकृत जीवन चर्या : Rare Book : purnima.bharadwaj.24@gmail.com : Recorded</v>
      </c>
      <c r="CG664" s="1" t="str">
        <f ca="1">IFERROR(__xludf.DUMMYFUNCTION("""COMPUTED_VALUE"""),"Adarniya पूर्णिमा भारद्वाज  ji परम पूज्य गुरुदेव की सूक्ष्मीकृत जीवन चर्या : Rare Book : Allocated on 26-Oct-23 Contact Number  9415389032")</f>
        <v>Adarniya पूर्णिमा भारद्वाज  ji परम पूज्य गुरुदेव की सूक्ष्मीकृत जीवन चर्या : Rare Book : Allocated on 26-Oct-23 Contact Number  9415389032</v>
      </c>
      <c r="CH664" s="1"/>
      <c r="CI664" s="1"/>
    </row>
    <row r="665" spans="1:87" x14ac:dyDescent="0.25">
      <c r="A665" s="5">
        <f ca="1">IFERROR(__xludf.DUMMYFUNCTION("""COMPUTED_VALUE"""),45225.3363236226)</f>
        <v>45225.3363236226</v>
      </c>
      <c r="B665" s="1" t="str">
        <f ca="1">IFERROR(__xludf.DUMMYFUNCTION("""COMPUTED_VALUE"""),"bh.sangeeta85@gmail.com")</f>
        <v>bh.sangeeta85@gmail.com</v>
      </c>
      <c r="C665" s="1" t="str">
        <f ca="1">IFERROR(__xludf.DUMMYFUNCTION("""COMPUTED_VALUE"""),"Sangeeta Bhardwaj ")</f>
        <v xml:space="preserve">Sangeeta Bhardwaj </v>
      </c>
      <c r="D665" s="1">
        <f ca="1">IFERROR(__xludf.DUMMYFUNCTION("""COMPUTED_VALUE"""),9871997860)</f>
        <v>9871997860</v>
      </c>
      <c r="E665" s="1" t="str">
        <f ca="1">IFERROR(__xludf.DUMMYFUNCTION("""COMPUTED_VALUE"""),"No")</f>
        <v>No</v>
      </c>
      <c r="F665" s="1" t="str">
        <f ca="1">IFERROR(__xludf.DUMMYFUNCTION("""COMPUTED_VALUE"""),"हिन्दी")</f>
        <v>हिन्दी</v>
      </c>
      <c r="G665" s="1" t="str">
        <f ca="1">IFERROR(__xludf.DUMMYFUNCTION("""COMPUTED_VALUE"""),"परिवार निर्माण")</f>
        <v>परिवार निर्माण</v>
      </c>
      <c r="H665" s="1"/>
      <c r="I665" s="1"/>
      <c r="J665" s="1"/>
      <c r="K665" s="1"/>
      <c r="L665" s="1"/>
      <c r="M665" s="1" t="str">
        <f ca="1">IFERROR(__xludf.DUMMYFUNCTION("""COMPUTED_VALUE"""),"परिवार")</f>
        <v>परिवार</v>
      </c>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f ca="1">IFERROR(__xludf.DUMMYFUNCTION("""COMPUTED_VALUE"""),2)</f>
        <v>2</v>
      </c>
      <c r="BX665" s="1">
        <f ca="1">IFERROR(__xludf.DUMMYFUNCTION("""COMPUTED_VALUE"""),0)</f>
        <v>0</v>
      </c>
      <c r="BY665" s="1">
        <f ca="1">IFERROR(__xludf.DUMMYFUNCTION("""COMPUTED_VALUE"""),2)</f>
        <v>2</v>
      </c>
      <c r="BZ665" s="1">
        <f ca="1">IFERROR(__xludf.DUMMYFUNCTION("""COMPUTED_VALUE"""),0)</f>
        <v>0</v>
      </c>
      <c r="CA665" s="1"/>
      <c r="CB665" s="1"/>
      <c r="CC665" s="1" t="str">
        <f ca="1">IFERROR(__xludf.DUMMYFUNCTION("""COMPUTED_VALUE"""),"अभीष्ट क्षमता हो तो ही प्रजनन का साहस करें : Rare Book")</f>
        <v>अभीष्ट क्षमता हो तो ही प्रजनन का साहस करें : Rare Book</v>
      </c>
      <c r="CD665" s="3" t="str">
        <f ca="1">IFERROR(__xludf.DUMMYFUNCTION("""COMPUTED_VALUE"""),"https://vicharkrantibooks.org/productdetail?book_name=HINF0001_ABHIST_KSHAMATA_HO_TO_HI_PRAJANAN_KA_SAHAS_KAREN_xxyyyy&amp;product_id=221")</f>
        <v>https://vicharkrantibooks.org/productdetail?book_name=HINF0001_ABHIST_KSHAMATA_HO_TO_HI_PRAJANAN_KA_SAHAS_KAREN_xxyyyy&amp;product_id=221</v>
      </c>
      <c r="CE665" s="1" t="str">
        <f ca="1">IFERROR(__xludf.DUMMYFUNCTION("""COMPUTED_VALUE"""),"Audiobook : अभीष्ट क्षमता हो तो ही प्रजनन का साहस करें : Rare Book : bh.sangeeta85@gmail.com : Recorded")</f>
        <v>Audiobook : अभीष्ट क्षमता हो तो ही प्रजनन का साहस करें : Rare Book : bh.sangeeta85@gmail.com : Recorded</v>
      </c>
      <c r="CF665" s="1" t="str">
        <f ca="1">IFERROR(__xludf.DUMMYFUNCTION("""COMPUTED_VALUE"""),"#N/A")</f>
        <v>#N/A</v>
      </c>
      <c r="CG665" s="1" t="str">
        <f ca="1">IFERROR(__xludf.DUMMYFUNCTION("""COMPUTED_VALUE"""),"Adarniya Sangeeta Bhardwaj  ji अभीष्ट क्षमता हो तो ही प्रजनन का साहस करें : Rare Book : Allocated on 26-Oct-23 Contact Number  9871997860")</f>
        <v>Adarniya Sangeeta Bhardwaj  ji अभीष्ट क्षमता हो तो ही प्रजनन का साहस करें : Rare Book : Allocated on 26-Oct-23 Contact Number  9871997860</v>
      </c>
      <c r="CH665" s="1"/>
      <c r="CI665" s="1"/>
    </row>
    <row r="666" spans="1:87" x14ac:dyDescent="0.25">
      <c r="A666" s="5">
        <f ca="1">IFERROR(__xludf.DUMMYFUNCTION("""COMPUTED_VALUE"""),45224.547766331)</f>
        <v>45224.547766331001</v>
      </c>
      <c r="B666" s="1" t="str">
        <f ca="1">IFERROR(__xludf.DUMMYFUNCTION("""COMPUTED_VALUE"""),"jamunashukla17@gmail.com")</f>
        <v>jamunashukla17@gmail.com</v>
      </c>
      <c r="C666" s="1" t="str">
        <f ca="1">IFERROR(__xludf.DUMMYFUNCTION("""COMPUTED_VALUE"""),"Smt J S Shukla ")</f>
        <v xml:space="preserve">Smt J S Shukla </v>
      </c>
      <c r="D666" s="1">
        <f ca="1">IFERROR(__xludf.DUMMYFUNCTION("""COMPUTED_VALUE"""),8390353167)</f>
        <v>8390353167</v>
      </c>
      <c r="E666" s="1" t="str">
        <f ca="1">IFERROR(__xludf.DUMMYFUNCTION("""COMPUTED_VALUE"""),"Yes")</f>
        <v>Yes</v>
      </c>
      <c r="F666" s="1" t="str">
        <f ca="1">IFERROR(__xludf.DUMMYFUNCTION("""COMPUTED_VALUE"""),"हिन्दी")</f>
        <v>हिन्दी</v>
      </c>
      <c r="G666" s="1" t="str">
        <f ca="1">IFERROR(__xludf.DUMMYFUNCTION("""COMPUTED_VALUE"""),"अध्यात्म, धर्म एवं दर्शन")</f>
        <v>अध्यात्म, धर्म एवं दर्शन</v>
      </c>
      <c r="H666" s="1" t="str">
        <f ca="1">IFERROR(__xludf.DUMMYFUNCTION("""COMPUTED_VALUE"""),"अध्यात्म, धर्म एवं आस्तिकता")</f>
        <v>अध्यात्म, धर्म एवं आस्तिकता</v>
      </c>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f ca="1">IFERROR(__xludf.DUMMYFUNCTION("""COMPUTED_VALUE"""),53)</f>
        <v>53</v>
      </c>
      <c r="BX666" s="1">
        <f ca="1">IFERROR(__xludf.DUMMYFUNCTION("""COMPUTED_VALUE"""),53)</f>
        <v>53</v>
      </c>
      <c r="BY666" s="1">
        <f ca="1">IFERROR(__xludf.DUMMYFUNCTION("""COMPUTED_VALUE"""),9)</f>
        <v>9</v>
      </c>
      <c r="BZ666" s="1">
        <f ca="1">IFERROR(__xludf.DUMMYFUNCTION("""COMPUTED_VALUE"""),25)</f>
        <v>25</v>
      </c>
      <c r="CA666" s="1"/>
      <c r="CB666" s="1"/>
      <c r="CC666" s="1" t="str">
        <f ca="1">IFERROR(__xludf.DUMMYFUNCTION("""COMPUTED_VALUE"""),"ईश्वरीय अनुशासन के अनुबंध : Rare Book")</f>
        <v>ईश्वरीय अनुशासन के अनुबंध : Rare Book</v>
      </c>
      <c r="CD666" s="3" t="str">
        <f ca="1">IFERROR(__xludf.DUMMYFUNCTION("""COMPUTED_VALUE"""),"https://vicharkrantibooks.org/productdetail?book_name=HINP0367_ISHWARIY_ANUSHASAN_KE_ANUBANDH_xxyyyy&amp;product_id=932")</f>
        <v>https://vicharkrantibooks.org/productdetail?book_name=HINP0367_ISHWARIY_ANUSHASAN_KE_ANUBANDH_xxyyyy&amp;product_id=932</v>
      </c>
      <c r="CE666" s="1" t="str">
        <f ca="1">IFERROR(__xludf.DUMMYFUNCTION("""COMPUTED_VALUE"""),"Audiobook : ईश्वरीय अनुशासन के अनुबंध : Rare Book : jamunashukla17@gmail.com : Recorded")</f>
        <v>Audiobook : ईश्वरीय अनुशासन के अनुबंध : Rare Book : jamunashukla17@gmail.com : Recorded</v>
      </c>
      <c r="CF666" s="1" t="str">
        <f ca="1">IFERROR(__xludf.DUMMYFUNCTION("""COMPUTED_VALUE"""),"Audiobook : ईश्वरीय अनुशासन के अनुबंध : Rare Book : jamunashukla17@gmail.com : Recorded")</f>
        <v>Audiobook : ईश्वरीय अनुशासन के अनुबंध : Rare Book : jamunashukla17@gmail.com : Recorded</v>
      </c>
      <c r="CG666" s="1" t="str">
        <f ca="1">IFERROR(__xludf.DUMMYFUNCTION("""COMPUTED_VALUE"""),"Adarniya Smt J S Shukla  ji ईश्वरीय अनुशासन के अनुबंध : Rare Book : Allocated on 25-Oct-23 Contact Number  8390353167")</f>
        <v>Adarniya Smt J S Shukla  ji ईश्वरीय अनुशासन के अनुबंध : Rare Book : Allocated on 25-Oct-23 Contact Number  8390353167</v>
      </c>
      <c r="CH666" s="1"/>
      <c r="CI666" s="1"/>
    </row>
    <row r="667" spans="1:87" x14ac:dyDescent="0.25">
      <c r="A667" s="5">
        <f ca="1">IFERROR(__xludf.DUMMYFUNCTION("""COMPUTED_VALUE"""),45224.3601047222)</f>
        <v>45224.360104722196</v>
      </c>
      <c r="B667" s="1" t="str">
        <f ca="1">IFERROR(__xludf.DUMMYFUNCTION("""COMPUTED_VALUE"""),"purnima.bharadwaj.24@gmail.com")</f>
        <v>purnima.bharadwaj.24@gmail.com</v>
      </c>
      <c r="C667" s="1" t="str">
        <f ca="1">IFERROR(__xludf.DUMMYFUNCTION("""COMPUTED_VALUE"""),"पूर्णिमा भारद्वाज ")</f>
        <v xml:space="preserve">पूर्णिमा भारद्वाज </v>
      </c>
      <c r="D667" s="1">
        <f ca="1">IFERROR(__xludf.DUMMYFUNCTION("""COMPUTED_VALUE"""),9415389032)</f>
        <v>9415389032</v>
      </c>
      <c r="E667" s="1" t="str">
        <f ca="1">IFERROR(__xludf.DUMMYFUNCTION("""COMPUTED_VALUE"""),"Yes")</f>
        <v>Yes</v>
      </c>
      <c r="F667" s="1" t="str">
        <f ca="1">IFERROR(__xludf.DUMMYFUNCTION("""COMPUTED_VALUE"""),"हिन्दी")</f>
        <v>हिन्दी</v>
      </c>
      <c r="G667" s="1" t="str">
        <f ca="1">IFERROR(__xludf.DUMMYFUNCTION("""COMPUTED_VALUE"""),"युग द्रष्टा पं. श्रीराम शर्मा आचार्यजी")</f>
        <v>युग द्रष्टा पं. श्रीराम शर्मा आचार्यजी</v>
      </c>
      <c r="H667" s="1"/>
      <c r="I667" s="1"/>
      <c r="J667" s="1"/>
      <c r="K667" s="1"/>
      <c r="L667" s="1"/>
      <c r="M667" s="1"/>
      <c r="N667" s="1"/>
      <c r="O667" s="1"/>
      <c r="P667" s="1" t="str">
        <f ca="1">IFERROR(__xludf.DUMMYFUNCTION("""COMPUTED_VALUE"""),"युगॠषी की अमृतवाणी")</f>
        <v>युगॠषी की अमृतवाणी</v>
      </c>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f ca="1">IFERROR(__xludf.DUMMYFUNCTION("""COMPUTED_VALUE"""),43)</f>
        <v>43</v>
      </c>
      <c r="BX667" s="1">
        <f ca="1">IFERROR(__xludf.DUMMYFUNCTION("""COMPUTED_VALUE"""),36)</f>
        <v>36</v>
      </c>
      <c r="BY667" s="1">
        <f ca="1">IFERROR(__xludf.DUMMYFUNCTION("""COMPUTED_VALUE"""),9)</f>
        <v>9</v>
      </c>
      <c r="BZ667" s="1">
        <f ca="1">IFERROR(__xludf.DUMMYFUNCTION("""COMPUTED_VALUE"""),30)</f>
        <v>30</v>
      </c>
      <c r="CA667" s="1"/>
      <c r="CB667" s="1"/>
      <c r="CC667" s="1" t="str">
        <f ca="1">IFERROR(__xludf.DUMMYFUNCTION("""COMPUTED_VALUE"""),"कृत्य किसी का श्रेय किसी को : Rare Book")</f>
        <v>कृत्य किसी का श्रेय किसी को : Rare Book</v>
      </c>
      <c r="CD667" s="3" t="str">
        <f ca="1">IFERROR(__xludf.DUMMYFUNCTION("""COMPUTED_VALUE"""),"https://vicharkrantibooks.org/productdetail?book_name=HINF0153_KRUTY_KISI_KA_SHREY_KISI_KO_xxyyyy&amp;product_id=373")</f>
        <v>https://vicharkrantibooks.org/productdetail?book_name=HINF0153_KRUTY_KISI_KA_SHREY_KISI_KO_xxyyyy&amp;product_id=373</v>
      </c>
      <c r="CE667" s="1" t="str">
        <f ca="1">IFERROR(__xludf.DUMMYFUNCTION("""COMPUTED_VALUE"""),"Audiobook : कृत्य किसी का श्रेय किसी को : Rare Book : purnima.bharadwaj.24@gmail.com : Recorded")</f>
        <v>Audiobook : कृत्य किसी का श्रेय किसी को : Rare Book : purnima.bharadwaj.24@gmail.com : Recorded</v>
      </c>
      <c r="CF667" s="1" t="str">
        <f ca="1">IFERROR(__xludf.DUMMYFUNCTION("""COMPUTED_VALUE"""),"Audiobook : कृत्य किसी का श्रेय किसी को : Rare Book : purnima.bharadwaj.24@gmail.com : Recorded")</f>
        <v>Audiobook : कृत्य किसी का श्रेय किसी को : Rare Book : purnima.bharadwaj.24@gmail.com : Recorded</v>
      </c>
      <c r="CG667" s="1" t="str">
        <f ca="1">IFERROR(__xludf.DUMMYFUNCTION("""COMPUTED_VALUE"""),"Adarniya पूर्णिमा भारद्वाज  ji कृत्य किसी का श्रेय किसी को : Rare Book : Allocated on 25-Oct-23 Contact Number  9415389032")</f>
        <v>Adarniya पूर्णिमा भारद्वाज  ji कृत्य किसी का श्रेय किसी को : Rare Book : Allocated on 25-Oct-23 Contact Number  9415389032</v>
      </c>
      <c r="CH667" s="1"/>
      <c r="CI667" s="1"/>
    </row>
    <row r="668" spans="1:87" x14ac:dyDescent="0.25">
      <c r="A668" s="5">
        <f ca="1">IFERROR(__xludf.DUMMYFUNCTION("""COMPUTED_VALUE"""),45223.8380548032)</f>
        <v>45223.8380548032</v>
      </c>
      <c r="B668" s="1" t="str">
        <f ca="1">IFERROR(__xludf.DUMMYFUNCTION("""COMPUTED_VALUE"""),"ns0399144@gmail.com")</f>
        <v>ns0399144@gmail.com</v>
      </c>
      <c r="C668" s="1" t="str">
        <f ca="1">IFERROR(__xludf.DUMMYFUNCTION("""COMPUTED_VALUE"""),"Neelam Singh")</f>
        <v>Neelam Singh</v>
      </c>
      <c r="D668" s="1">
        <f ca="1">IFERROR(__xludf.DUMMYFUNCTION("""COMPUTED_VALUE"""),8416977922)</f>
        <v>8416977922</v>
      </c>
      <c r="E668" s="1" t="str">
        <f ca="1">IFERROR(__xludf.DUMMYFUNCTION("""COMPUTED_VALUE"""),"Not Relevant")</f>
        <v>Not Relevant</v>
      </c>
      <c r="F668" s="1" t="str">
        <f ca="1">IFERROR(__xludf.DUMMYFUNCTION("""COMPUTED_VALUE"""),"हिन्दी")</f>
        <v>हिन्दी</v>
      </c>
      <c r="G668" s="1" t="str">
        <f ca="1">IFERROR(__xludf.DUMMYFUNCTION("""COMPUTED_VALUE"""),"भारतीय संस्कृति")</f>
        <v>भारतीय संस्कृति</v>
      </c>
      <c r="H668" s="1"/>
      <c r="I668" s="1"/>
      <c r="J668" s="1"/>
      <c r="K668" s="1"/>
      <c r="L668" s="1"/>
      <c r="M668" s="1"/>
      <c r="N668" s="1"/>
      <c r="O668" s="1" t="str">
        <f ca="1">IFERROR(__xludf.DUMMYFUNCTION("""COMPUTED_VALUE"""),"भारतीय संस्कृति")</f>
        <v>भारतीय संस्कृति</v>
      </c>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f ca="1">IFERROR(__xludf.DUMMYFUNCTION("""COMPUTED_VALUE"""),1)</f>
        <v>1</v>
      </c>
      <c r="BX668" s="1">
        <f ca="1">IFERROR(__xludf.DUMMYFUNCTION("""COMPUTED_VALUE"""),0)</f>
        <v>0</v>
      </c>
      <c r="BY668" s="1">
        <f ca="1">IFERROR(__xludf.DUMMYFUNCTION("""COMPUTED_VALUE"""),1)</f>
        <v>1</v>
      </c>
      <c r="BZ668" s="1">
        <f ca="1">IFERROR(__xludf.DUMMYFUNCTION("""COMPUTED_VALUE"""),0)</f>
        <v>0</v>
      </c>
      <c r="CA668" s="1"/>
      <c r="CB668" s="1"/>
      <c r="CC668" s="1" t="str">
        <f ca="1">IFERROR(__xludf.DUMMYFUNCTION("""COMPUTED_VALUE"""),"उत्कॄष्टता की स्थापना हेतु ऋषि परम्परा का पुनर्जीवन : Rare Book")</f>
        <v>उत्कॄष्टता की स्थापना हेतु ऋषि परम्परा का पुनर्जीवन : Rare Book</v>
      </c>
      <c r="CD668" s="3" t="str">
        <f ca="1">IFERROR(__xludf.DUMMYFUNCTION("""COMPUTED_VALUE"""),"https://vicharkrantibooks.org/productdetail?product_id=526")</f>
        <v>https://vicharkrantibooks.org/productdetail?product_id=526</v>
      </c>
      <c r="CE668" s="1" t="str">
        <f ca="1">IFERROR(__xludf.DUMMYFUNCTION("""COMPUTED_VALUE"""),"Audiobook : उत्कॄष्टता की स्थापना हेतु ऋषि परम्परा का पुनर्जीवन : Rare Book : ns0399144@gmail.com : Recorded")</f>
        <v>Audiobook : उत्कॄष्टता की स्थापना हेतु ऋषि परम्परा का पुनर्जीवन : Rare Book : ns0399144@gmail.com : Recorded</v>
      </c>
      <c r="CF668" s="1" t="str">
        <f ca="1">IFERROR(__xludf.DUMMYFUNCTION("""COMPUTED_VALUE"""),"#N/A")</f>
        <v>#N/A</v>
      </c>
      <c r="CG668" s="1" t="str">
        <f ca="1">IFERROR(__xludf.DUMMYFUNCTION("""COMPUTED_VALUE"""),"Adarniya Neelam Singh ji उत्कॄष्टता की स्थापना हेतु ऋषि परम्परा का पुनर्जीवन : Rare Book : Allocated on 24-Oct-23 Contact Number  8416977922")</f>
        <v>Adarniya Neelam Singh ji उत्कॄष्टता की स्थापना हेतु ऋषि परम्परा का पुनर्जीवन : Rare Book : Allocated on 24-Oct-23 Contact Number  8416977922</v>
      </c>
      <c r="CH668" s="1"/>
      <c r="CI668" s="1"/>
    </row>
    <row r="669" spans="1:87" x14ac:dyDescent="0.25">
      <c r="A669" s="5">
        <f ca="1">IFERROR(__xludf.DUMMYFUNCTION("""COMPUTED_VALUE"""),45223.7043962152)</f>
        <v>45223.704396215202</v>
      </c>
      <c r="B669" s="1" t="str">
        <f ca="1">IFERROR(__xludf.DUMMYFUNCTION("""COMPUTED_VALUE"""),"csprasad108@gmail.com")</f>
        <v>csprasad108@gmail.com</v>
      </c>
      <c r="C669" s="1" t="str">
        <f ca="1">IFERROR(__xludf.DUMMYFUNCTION("""COMPUTED_VALUE"""),"Kumkum prasad")</f>
        <v>Kumkum prasad</v>
      </c>
      <c r="D669" s="1">
        <f ca="1">IFERROR(__xludf.DUMMYFUNCTION("""COMPUTED_VALUE"""),7978055621)</f>
        <v>7978055621</v>
      </c>
      <c r="E669" s="1"/>
      <c r="F669" s="1" t="str">
        <f ca="1">IFERROR(__xludf.DUMMYFUNCTION("""COMPUTED_VALUE"""),"हिन्दी")</f>
        <v>हिन्दी</v>
      </c>
      <c r="G669" s="1" t="str">
        <f ca="1">IFERROR(__xludf.DUMMYFUNCTION("""COMPUTED_VALUE"""),"अध्यात्म, धर्म एवं दर्शन")</f>
        <v>अध्यात्म, धर्म एवं दर्शन</v>
      </c>
      <c r="H669" s="1" t="str">
        <f ca="1">IFERROR(__xludf.DUMMYFUNCTION("""COMPUTED_VALUE"""),"अध्यात्म, धर्म एवं आस्तिकता")</f>
        <v>अध्यात्म, धर्म एवं आस्तिकता</v>
      </c>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f ca="1">IFERROR(__xludf.DUMMYFUNCTION("""COMPUTED_VALUE"""),52)</f>
        <v>52</v>
      </c>
      <c r="BX669" s="1">
        <f ca="1">IFERROR(__xludf.DUMMYFUNCTION("""COMPUTED_VALUE"""),54)</f>
        <v>54</v>
      </c>
      <c r="BY669" s="1">
        <f ca="1">IFERROR(__xludf.DUMMYFUNCTION("""COMPUTED_VALUE"""),3)</f>
        <v>3</v>
      </c>
      <c r="BZ669" s="1">
        <f ca="1">IFERROR(__xludf.DUMMYFUNCTION("""COMPUTED_VALUE"""),24)</f>
        <v>24</v>
      </c>
      <c r="CA669" s="1"/>
      <c r="CB669" s="1"/>
      <c r="CC669" s="1" t="str">
        <f ca="1">IFERROR(__xludf.DUMMYFUNCTION("""COMPUTED_VALUE"""),"आत्मोत्कर्ष का साधना मार्ग : Rare Book")</f>
        <v>आत्मोत्कर्ष का साधना मार्ग : Rare Book</v>
      </c>
      <c r="CD669" s="3" t="str">
        <f ca="1">IFERROR(__xludf.DUMMYFUNCTION("""COMPUTED_VALUE"""),"https://vicharkrantibooks.org/productdetail?book_name=HINP0108_ATMOTKARSH_KA_SADHANA_MARG_xx1978&amp;product_id=673")</f>
        <v>https://vicharkrantibooks.org/productdetail?book_name=HINP0108_ATMOTKARSH_KA_SADHANA_MARG_xx1978&amp;product_id=673</v>
      </c>
      <c r="CE669" s="1" t="str">
        <f ca="1">IFERROR(__xludf.DUMMYFUNCTION("""COMPUTED_VALUE"""),"Audiobook : आत्मोत्कर्ष का साधना मार्ग : Rare Book : csprasad108@gmail.com : Recorded")</f>
        <v>Audiobook : आत्मोत्कर्ष का साधना मार्ग : Rare Book : csprasad108@gmail.com : Recorded</v>
      </c>
      <c r="CF669" s="1" t="str">
        <f ca="1">IFERROR(__xludf.DUMMYFUNCTION("""COMPUTED_VALUE"""),"Audiobook : आत्मोत्कर्ष का साधना मार्ग : Rare Book : csprasad108@gmail.com : Recorded")</f>
        <v>Audiobook : आत्मोत्कर्ष का साधना मार्ग : Rare Book : csprasad108@gmail.com : Recorded</v>
      </c>
      <c r="CG669" s="1" t="str">
        <f ca="1">IFERROR(__xludf.DUMMYFUNCTION("""COMPUTED_VALUE"""),"Adarniya Kumkum prasad ji आत्मोत्कर्ष का साधना मार्ग : Rare Book : Allocated on 24-Oct-23 Contact Number  7978055621")</f>
        <v>Adarniya Kumkum prasad ji आत्मोत्कर्ष का साधना मार्ग : Rare Book : Allocated on 24-Oct-23 Contact Number  7978055621</v>
      </c>
      <c r="CH669" s="1"/>
      <c r="CI669" s="1"/>
    </row>
    <row r="670" spans="1:87" x14ac:dyDescent="0.25">
      <c r="A670" s="5">
        <f ca="1">IFERROR(__xludf.DUMMYFUNCTION("""COMPUTED_VALUE"""),45223.2402052199)</f>
        <v>45223.240205219903</v>
      </c>
      <c r="B670" s="1" t="str">
        <f ca="1">IFERROR(__xludf.DUMMYFUNCTION("""COMPUTED_VALUE"""),"Pragyapaliwal78@gmail.com")</f>
        <v>Pragyapaliwal78@gmail.com</v>
      </c>
      <c r="C670" s="1" t="str">
        <f ca="1">IFERROR(__xludf.DUMMYFUNCTION("""COMPUTED_VALUE"""),"Pragya paliwal ")</f>
        <v xml:space="preserve">Pragya paliwal </v>
      </c>
      <c r="D670" s="1" t="str">
        <f ca="1">IFERROR(__xludf.DUMMYFUNCTION("""COMPUTED_VALUE"""),"08696296388")</f>
        <v>08696296388</v>
      </c>
      <c r="E670" s="1" t="str">
        <f ca="1">IFERROR(__xludf.DUMMYFUNCTION("""COMPUTED_VALUE"""),"Yes")</f>
        <v>Yes</v>
      </c>
      <c r="F670" s="1" t="str">
        <f ca="1">IFERROR(__xludf.DUMMYFUNCTION("""COMPUTED_VALUE"""),"हिन्दी")</f>
        <v>हिन्दी</v>
      </c>
      <c r="G670" s="1" t="str">
        <f ca="1">IFERROR(__xludf.DUMMYFUNCTION("""COMPUTED_VALUE"""),"जीवन प्रबंध")</f>
        <v>जीवन प्रबंध</v>
      </c>
      <c r="H670" s="1"/>
      <c r="I670" s="1"/>
      <c r="J670" s="1"/>
      <c r="K670" s="1"/>
      <c r="L670" s="1" t="str">
        <f ca="1">IFERROR(__xludf.DUMMYFUNCTION("""COMPUTED_VALUE"""),"मन की शक्ति एवं मनोविज्ञान")</f>
        <v>मन की शक्ति एवं मनोविज्ञान</v>
      </c>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f ca="1">IFERROR(__xludf.DUMMYFUNCTION("""COMPUTED_VALUE"""),11)</f>
        <v>11</v>
      </c>
      <c r="BX670" s="1">
        <f ca="1">IFERROR(__xludf.DUMMYFUNCTION("""COMPUTED_VALUE"""),3)</f>
        <v>3</v>
      </c>
      <c r="BY670" s="1">
        <f ca="1">IFERROR(__xludf.DUMMYFUNCTION("""COMPUTED_VALUE"""),8)</f>
        <v>8</v>
      </c>
      <c r="BZ670" s="1">
        <f ca="1">IFERROR(__xludf.DUMMYFUNCTION("""COMPUTED_VALUE"""),0)</f>
        <v>0</v>
      </c>
      <c r="CA670" s="1"/>
      <c r="CB670" s="1"/>
      <c r="CC670" s="1" t="str">
        <f ca="1">IFERROR(__xludf.DUMMYFUNCTION("""COMPUTED_VALUE"""),"महाकाल की भविष्यवाणी : Rare Book")</f>
        <v>महाकाल की भविष्यवाणी : Rare Book</v>
      </c>
      <c r="CD670" s="3" t="str">
        <f ca="1">IFERROR(__xludf.DUMMYFUNCTION("""COMPUTED_VALUE"""),"https://vicharkrantibooks.org/productdetail?book_name=HINP1117_MAHAKAL_KI_BHAVISHYAVANI_xxyyyy&amp;product_id=1682")</f>
        <v>https://vicharkrantibooks.org/productdetail?book_name=HINP1117_MAHAKAL_KI_BHAVISHYAVANI_xxyyyy&amp;product_id=1682</v>
      </c>
      <c r="CE670" s="1" t="str">
        <f ca="1">IFERROR(__xludf.DUMMYFUNCTION("""COMPUTED_VALUE"""),"Audiobook : महाकाल की भविष्यवाणी : Rare Book : Pragyapaliwal78@gmail.com : Recorded")</f>
        <v>Audiobook : महाकाल की भविष्यवाणी : Rare Book : Pragyapaliwal78@gmail.com : Recorded</v>
      </c>
      <c r="CF670" s="1" t="str">
        <f ca="1">IFERROR(__xludf.DUMMYFUNCTION("""COMPUTED_VALUE"""),"#N/A")</f>
        <v>#N/A</v>
      </c>
      <c r="CG670" s="1" t="str">
        <f ca="1">IFERROR(__xludf.DUMMYFUNCTION("""COMPUTED_VALUE"""),"Adarniya Pragya paliwal  ji महाकाल की भविष्यवाणी : Rare Book : Allocated on 24-Oct-23 Contact Number  08696296388")</f>
        <v>Adarniya Pragya paliwal  ji महाकाल की भविष्यवाणी : Rare Book : Allocated on 24-Oct-23 Contact Number  08696296388</v>
      </c>
      <c r="CH670" s="1"/>
      <c r="CI670" s="1"/>
    </row>
    <row r="671" spans="1:87" x14ac:dyDescent="0.25">
      <c r="A671" s="5">
        <f ca="1">IFERROR(__xludf.DUMMYFUNCTION("""COMPUTED_VALUE"""),45222.6533673726)</f>
        <v>45222.653367372601</v>
      </c>
      <c r="B671" s="1" t="str">
        <f ca="1">IFERROR(__xludf.DUMMYFUNCTION("""COMPUTED_VALUE"""),"brphodmba@gmail.com")</f>
        <v>brphodmba@gmail.com</v>
      </c>
      <c r="C671" s="1" t="str">
        <f ca="1">IFERROR(__xludf.DUMMYFUNCTION("""COMPUTED_VALUE"""),"Dr.Baidyanath Ram Prajapati ")</f>
        <v xml:space="preserve">Dr.Baidyanath Ram Prajapati </v>
      </c>
      <c r="D671" s="1">
        <f ca="1">IFERROR(__xludf.DUMMYFUNCTION("""COMPUTED_VALUE"""),9811724821)</f>
        <v>9811724821</v>
      </c>
      <c r="E671" s="1" t="str">
        <f ca="1">IFERROR(__xludf.DUMMYFUNCTION("""COMPUTED_VALUE"""),"Yes")</f>
        <v>Yes</v>
      </c>
      <c r="F671" s="1" t="str">
        <f ca="1">IFERROR(__xludf.DUMMYFUNCTION("""COMPUTED_VALUE"""),"हिन्दी")</f>
        <v>हिन्दी</v>
      </c>
      <c r="G671" s="1" t="str">
        <f ca="1">IFERROR(__xludf.DUMMYFUNCTION("""COMPUTED_VALUE"""),"अध्यात्म, धर्म एवं दर्शन")</f>
        <v>अध्यात्म, धर्म एवं दर्शन</v>
      </c>
      <c r="H671" s="1" t="str">
        <f ca="1">IFERROR(__xludf.DUMMYFUNCTION("""COMPUTED_VALUE"""),"अध्यात्म, धर्म एवं आस्तिकता")</f>
        <v>अध्यात्म, धर्म एवं आस्तिकता</v>
      </c>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f ca="1">IFERROR(__xludf.DUMMYFUNCTION("""COMPUTED_VALUE"""),12)</f>
        <v>12</v>
      </c>
      <c r="BX671" s="1">
        <f ca="1">IFERROR(__xludf.DUMMYFUNCTION("""COMPUTED_VALUE"""),10)</f>
        <v>10</v>
      </c>
      <c r="BY671" s="1">
        <f ca="1">IFERROR(__xludf.DUMMYFUNCTION("""COMPUTED_VALUE"""),4)</f>
        <v>4</v>
      </c>
      <c r="BZ671" s="1">
        <f ca="1">IFERROR(__xludf.DUMMYFUNCTION("""COMPUTED_VALUE"""),0)</f>
        <v>0</v>
      </c>
      <c r="CA671" s="1"/>
      <c r="CB671" s="1"/>
      <c r="CC671" s="1" t="str">
        <f ca="1">IFERROR(__xludf.DUMMYFUNCTION("""COMPUTED_VALUE"""),"अध्यात्म उर्जा के प्रकटीकरण की साधना : Rare Book")</f>
        <v>अध्यात्म उर्जा के प्रकटीकरण की साधना : Rare Book</v>
      </c>
      <c r="CD671" s="3" t="str">
        <f ca="1">IFERROR(__xludf.DUMMYFUNCTION("""COMPUTED_VALUE"""),"https://vicharkrantibooks.org/productdetail?book_name=HINP0020_ADHYATM_URJA_KE_PRAKATIKARAN_KI_SADHANA_xx1981&amp;product_id=585")</f>
        <v>https://vicharkrantibooks.org/productdetail?book_name=HINP0020_ADHYATM_URJA_KE_PRAKATIKARAN_KI_SADHANA_xx1981&amp;product_id=585</v>
      </c>
      <c r="CE671" s="1" t="str">
        <f ca="1">IFERROR(__xludf.DUMMYFUNCTION("""COMPUTED_VALUE"""),"Audiobook : अध्यात्म उर्जा के प्रकटीकरण की साधना : Rare Book : brphodmba@gmail.com : Recorded")</f>
        <v>Audiobook : अध्यात्म उर्जा के प्रकटीकरण की साधना : Rare Book : brphodmba@gmail.com : Recorded</v>
      </c>
      <c r="CF671" s="1" t="str">
        <f ca="1">IFERROR(__xludf.DUMMYFUNCTION("""COMPUTED_VALUE"""),"#N/A")</f>
        <v>#N/A</v>
      </c>
      <c r="CG671" s="1" t="str">
        <f ca="1">IFERROR(__xludf.DUMMYFUNCTION("""COMPUTED_VALUE"""),"Adarniya Dr.Baidyanath Ram Prajapati  ji अध्यात्म उर्जा के प्रकटीकरण की साधना : Rare Book : Allocated on 23-Oct-23 Contact Number  9811724821")</f>
        <v>Adarniya Dr.Baidyanath Ram Prajapati  ji अध्यात्म उर्जा के प्रकटीकरण की साधना : Rare Book : Allocated on 23-Oct-23 Contact Number  9811724821</v>
      </c>
      <c r="CH671" s="1"/>
      <c r="CI671" s="1"/>
    </row>
    <row r="672" spans="1:87" x14ac:dyDescent="0.25">
      <c r="A672" s="5">
        <f ca="1">IFERROR(__xludf.DUMMYFUNCTION("""COMPUTED_VALUE"""),45220.3502680902)</f>
        <v>45220.350268090202</v>
      </c>
      <c r="B672" s="1" t="str">
        <f ca="1">IFERROR(__xludf.DUMMYFUNCTION("""COMPUTED_VALUE"""),"prateekbhardwaj7002@gmail.com")</f>
        <v>prateekbhardwaj7002@gmail.com</v>
      </c>
      <c r="C672" s="1" t="str">
        <f ca="1">IFERROR(__xludf.DUMMYFUNCTION("""COMPUTED_VALUE"""),"Prateek Bhardwaj")</f>
        <v>Prateek Bhardwaj</v>
      </c>
      <c r="D672" s="1">
        <f ca="1">IFERROR(__xludf.DUMMYFUNCTION("""COMPUTED_VALUE"""),9871997860)</f>
        <v>9871997860</v>
      </c>
      <c r="E672" s="1" t="str">
        <f ca="1">IFERROR(__xludf.DUMMYFUNCTION("""COMPUTED_VALUE"""),"Yes")</f>
        <v>Yes</v>
      </c>
      <c r="F672" s="1" t="str">
        <f ca="1">IFERROR(__xludf.DUMMYFUNCTION("""COMPUTED_VALUE"""),"English")</f>
        <v>English</v>
      </c>
      <c r="G672" s="1" t="str">
        <f ca="1">IFERROR(__xludf.DUMMYFUNCTION("""COMPUTED_VALUE"""),"जीवन प्रबंध")</f>
        <v>जीवन प्रबंध</v>
      </c>
      <c r="H672" s="1"/>
      <c r="I672" s="1"/>
      <c r="J672" s="1"/>
      <c r="K672" s="1"/>
      <c r="L672" s="1" t="str">
        <f ca="1">IFERROR(__xludf.DUMMYFUNCTION("""COMPUTED_VALUE"""),"मानव जीवन की गरिमा")</f>
        <v>मानव जीवन की गरिमा</v>
      </c>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f ca="1">IFERROR(__xludf.DUMMYFUNCTION("""COMPUTED_VALUE"""),2)</f>
        <v>2</v>
      </c>
      <c r="BX672" s="1">
        <f ca="1">IFERROR(__xludf.DUMMYFUNCTION("""COMPUTED_VALUE"""),0)</f>
        <v>0</v>
      </c>
      <c r="BY672" s="1">
        <f ca="1">IFERROR(__xludf.DUMMYFUNCTION("""COMPUTED_VALUE"""),2)</f>
        <v>2</v>
      </c>
      <c r="BZ672" s="1">
        <f ca="1">IFERROR(__xludf.DUMMYFUNCTION("""COMPUTED_VALUE"""),0)</f>
        <v>0</v>
      </c>
      <c r="CA672" s="1"/>
      <c r="CB672" s="1"/>
      <c r="CC672" s="1" t="str">
        <f ca="1">IFERROR(__xludf.DUMMYFUNCTION("""COMPUTED_VALUE"""),"Loose Not Your Heart Colour : EP_78")</f>
        <v>Loose Not Your Heart Colour : EP_78</v>
      </c>
      <c r="CD672" s="3" t="str">
        <f ca="1">IFERROR(__xludf.DUMMYFUNCTION("""COMPUTED_VALUE"""),"https://vicharkrantibooks.org/productdetail?book_name=ENGPE078_LOOSE_NOT_YOUR_HEART_COLOUR_RE2012&amp;product_id=3473")</f>
        <v>https://vicharkrantibooks.org/productdetail?book_name=ENGPE078_LOOSE_NOT_YOUR_HEART_COLOUR_RE2012&amp;product_id=3473</v>
      </c>
      <c r="CE672" s="1" t="str">
        <f ca="1">IFERROR(__xludf.DUMMYFUNCTION("""COMPUTED_VALUE"""),"Audiobook : Loose Not Your Heart Colour : EP_78 : prateekbhardwaj7002@gmail.com : Recorded")</f>
        <v>Audiobook : Loose Not Your Heart Colour : EP_78 : prateekbhardwaj7002@gmail.com : Recorded</v>
      </c>
      <c r="CF672" s="1" t="str">
        <f ca="1">IFERROR(__xludf.DUMMYFUNCTION("""COMPUTED_VALUE"""),"#N/A")</f>
        <v>#N/A</v>
      </c>
      <c r="CG672" s="1" t="str">
        <f ca="1">IFERROR(__xludf.DUMMYFUNCTION("""COMPUTED_VALUE"""),"Adarniya Prateek Bhardwaj ji Loose Not Your Heart Colour : EP_78 : Allocated on 21-Oct-23 Contact Number  9871997860")</f>
        <v>Adarniya Prateek Bhardwaj ji Loose Not Your Heart Colour : EP_78 : Allocated on 21-Oct-23 Contact Number  9871997860</v>
      </c>
      <c r="CH672" s="1"/>
      <c r="CI672" s="1"/>
    </row>
    <row r="673" spans="1:87" x14ac:dyDescent="0.25">
      <c r="A673" s="5">
        <f ca="1">IFERROR(__xludf.DUMMYFUNCTION("""COMPUTED_VALUE"""),45219.8412544097)</f>
        <v>45219.841254409701</v>
      </c>
      <c r="B673" s="1" t="str">
        <f ca="1">IFERROR(__xludf.DUMMYFUNCTION("""COMPUTED_VALUE"""),"shweta.r.gupta79@gmail.com")</f>
        <v>shweta.r.gupta79@gmail.com</v>
      </c>
      <c r="C673" s="1" t="str">
        <f ca="1">IFERROR(__xludf.DUMMYFUNCTION("""COMPUTED_VALUE"""),"Shweta Gupta ")</f>
        <v xml:space="preserve">Shweta Gupta </v>
      </c>
      <c r="D673" s="1">
        <f ca="1">IFERROR(__xludf.DUMMYFUNCTION("""COMPUTED_VALUE"""),8369516724)</f>
        <v>8369516724</v>
      </c>
      <c r="E673" s="1" t="str">
        <f ca="1">IFERROR(__xludf.DUMMYFUNCTION("""COMPUTED_VALUE"""),"Yes")</f>
        <v>Yes</v>
      </c>
      <c r="F673" s="1" t="str">
        <f ca="1">IFERROR(__xludf.DUMMYFUNCTION("""COMPUTED_VALUE"""),"हिन्दी")</f>
        <v>हिन्दी</v>
      </c>
      <c r="G673" s="1" t="str">
        <f ca="1">IFERROR(__xludf.DUMMYFUNCTION("""COMPUTED_VALUE"""),"समग्र स्वास्थ्य")</f>
        <v>समग्र स्वास्थ्य</v>
      </c>
      <c r="H673" s="1"/>
      <c r="I673" s="1"/>
      <c r="J673" s="1"/>
      <c r="K673" s="1"/>
      <c r="L673" s="1"/>
      <c r="M673" s="1"/>
      <c r="N673" s="1"/>
      <c r="O673" s="1"/>
      <c r="P673" s="1"/>
      <c r="Q673" s="1"/>
      <c r="R673" s="1"/>
      <c r="S673" s="1"/>
      <c r="T673" s="1"/>
      <c r="U673" s="1" t="str">
        <f ca="1">IFERROR(__xludf.DUMMYFUNCTION("""COMPUTED_VALUE"""),"आहार-विहार एवं उपवास")</f>
        <v>आहार-विहार एवं उपवास</v>
      </c>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f ca="1">IFERROR(__xludf.DUMMYFUNCTION("""COMPUTED_VALUE"""),31)</f>
        <v>31</v>
      </c>
      <c r="BX673" s="1">
        <f ca="1">IFERROR(__xludf.DUMMYFUNCTION("""COMPUTED_VALUE"""),45)</f>
        <v>45</v>
      </c>
      <c r="BY673" s="1">
        <f ca="1">IFERROR(__xludf.DUMMYFUNCTION("""COMPUTED_VALUE"""),3)</f>
        <v>3</v>
      </c>
      <c r="BZ673" s="1">
        <f ca="1">IFERROR(__xludf.DUMMYFUNCTION("""COMPUTED_VALUE"""),40)</f>
        <v>40</v>
      </c>
      <c r="CA673" s="1"/>
      <c r="CB673" s="1"/>
      <c r="CC673" s="1" t="str">
        <f ca="1">IFERROR(__xludf.DUMMYFUNCTION("""COMPUTED_VALUE"""),"दीर्घ जीवन की प्राप्ति : H_SV_52")</f>
        <v>दीर्घ जीवन की प्राप्ति : H_SV_52</v>
      </c>
      <c r="CD673" s="3" t="str">
        <f ca="1">IFERROR(__xludf.DUMMYFUNCTION("""COMPUTED_VALUE"""),"https://vicharkrantibooks.org/productdetail?book_name=HINP0253_DIRGH_JIVAN_KI_PRAPTI_xxyyyy&amp;product_id=818")</f>
        <v>https://vicharkrantibooks.org/productdetail?book_name=HINP0253_DIRGH_JIVAN_KI_PRAPTI_xxyyyy&amp;product_id=818</v>
      </c>
      <c r="CE673" s="1" t="str">
        <f ca="1">IFERROR(__xludf.DUMMYFUNCTION("""COMPUTED_VALUE"""),"Audiobook : दीर्घ जीवन की प्राप्ति : H_SV_52 : shweta.r.gupta79@gmail.com : Recorded")</f>
        <v>Audiobook : दीर्घ जीवन की प्राप्ति : H_SV_52 : shweta.r.gupta79@gmail.com : Recorded</v>
      </c>
      <c r="CF673" s="1" t="str">
        <f ca="1">IFERROR(__xludf.DUMMYFUNCTION("""COMPUTED_VALUE"""),"Audiobook : दीर्घ जीवन की प्राप्ति : H_SV_52 : shweta.r.gupta79@gmail.com : Recorded")</f>
        <v>Audiobook : दीर्घ जीवन की प्राप्ति : H_SV_52 : shweta.r.gupta79@gmail.com : Recorded</v>
      </c>
      <c r="CG673" s="1" t="str">
        <f ca="1">IFERROR(__xludf.DUMMYFUNCTION("""COMPUTED_VALUE"""),"Adarniya Shweta Gupta  ji दीर्घ जीवन की प्राप्ति : H_SV_52 : Allocated on 20-Oct-23 Contact Number  8369516724")</f>
        <v>Adarniya Shweta Gupta  ji दीर्घ जीवन की प्राप्ति : H_SV_52 : Allocated on 20-Oct-23 Contact Number  8369516724</v>
      </c>
      <c r="CH673" s="1"/>
      <c r="CI673" s="1"/>
    </row>
    <row r="674" spans="1:87" x14ac:dyDescent="0.25">
      <c r="A674" s="5">
        <f ca="1">IFERROR(__xludf.DUMMYFUNCTION("""COMPUTED_VALUE"""),45219.4948515162)</f>
        <v>45219.494851516203</v>
      </c>
      <c r="B674" s="1" t="str">
        <f ca="1">IFERROR(__xludf.DUMMYFUNCTION("""COMPUTED_VALUE"""),"ashish_in_nagpur@yahoo.com")</f>
        <v>ashish_in_nagpur@yahoo.com</v>
      </c>
      <c r="C674" s="1" t="str">
        <f ca="1">IFERROR(__xludf.DUMMYFUNCTION("""COMPUTED_VALUE"""),"Ashish Shrivastava ")</f>
        <v xml:space="preserve">Ashish Shrivastava </v>
      </c>
      <c r="D674" s="1">
        <f ca="1">IFERROR(__xludf.DUMMYFUNCTION("""COMPUTED_VALUE"""),8275970236)</f>
        <v>8275970236</v>
      </c>
      <c r="E674" s="1" t="str">
        <f ca="1">IFERROR(__xludf.DUMMYFUNCTION("""COMPUTED_VALUE"""),"Yes")</f>
        <v>Yes</v>
      </c>
      <c r="F674" s="1" t="str">
        <f ca="1">IFERROR(__xludf.DUMMYFUNCTION("""COMPUTED_VALUE"""),"हिन्दी or English")</f>
        <v>हिन्दी or English</v>
      </c>
      <c r="G674" s="1" t="str">
        <f ca="1">IFERROR(__xludf.DUMMYFUNCTION("""COMPUTED_VALUE"""),"Rishi chintan k sannidhhy me")</f>
        <v>Rishi chintan k sannidhhy me</v>
      </c>
      <c r="H674" s="1" t="str">
        <f ca="1">IFERROR(__xludf.DUMMYFUNCTION("""COMPUTED_VALUE"""),"आत्मज्ञान एवं आत्मनिर्माण")</f>
        <v>आत्मज्ञान एवं आत्मनिर्माण</v>
      </c>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f ca="1">IFERROR(__xludf.DUMMYFUNCTION("""COMPUTED_VALUE"""),5)</f>
        <v>5</v>
      </c>
      <c r="BX674" s="1">
        <f ca="1">IFERROR(__xludf.DUMMYFUNCTION("""COMPUTED_VALUE"""),3)</f>
        <v>3</v>
      </c>
      <c r="BY674" s="1">
        <f ca="1">IFERROR(__xludf.DUMMYFUNCTION("""COMPUTED_VALUE"""),2)</f>
        <v>2</v>
      </c>
      <c r="BZ674" s="1">
        <f ca="1">IFERROR(__xludf.DUMMYFUNCTION("""COMPUTED_VALUE"""),1)</f>
        <v>1</v>
      </c>
      <c r="CA674" s="1"/>
      <c r="CB674" s="5">
        <f ca="1">IFERROR(__xludf.DUMMYFUNCTION("""COMPUTED_VALUE"""),45229.4948515162)</f>
        <v>45229.494851516203</v>
      </c>
      <c r="CC674" s="1" t="str">
        <f ca="1">IFERROR(__xludf.DUMMYFUNCTION("""COMPUTED_VALUE"""),"अध्यात्म मानवता का प्राण-संस्कृति का मेरुद्ण्ड : Rare Book")</f>
        <v>अध्यात्म मानवता का प्राण-संस्कृति का मेरुद्ण्ड : Rare Book</v>
      </c>
      <c r="CD674" s="3" t="str">
        <f ca="1">IFERROR(__xludf.DUMMYFUNCTION("""COMPUTED_VALUE"""),"https://vicharkrantibooks.org/productdetail?book_name=HINF0011_ADHYATM_MANAVATA_KA_PRAN-SANSKRUTI_KA_MERUDAND_xxyyyy&amp;product_id=231")</f>
        <v>https://vicharkrantibooks.org/productdetail?book_name=HINF0011_ADHYATM_MANAVATA_KA_PRAN-SANSKRUTI_KA_MERUDAND_xxyyyy&amp;product_id=231</v>
      </c>
      <c r="CE674" s="1" t="str">
        <f ca="1">IFERROR(__xludf.DUMMYFUNCTION("""COMPUTED_VALUE"""),"Audiobook : अध्यात्म मानवता का प्राण-संस्कृति का मेरुद्ण्ड : Rare Book : ashish_in_nagpur@yahoo.com : Recorded")</f>
        <v>Audiobook : अध्यात्म मानवता का प्राण-संस्कृति का मेरुद्ण्ड : Rare Book : ashish_in_nagpur@yahoo.com : Recorded</v>
      </c>
      <c r="CF674" s="1" t="str">
        <f ca="1">IFERROR(__xludf.DUMMYFUNCTION("""COMPUTED_VALUE"""),"Audiobook : अध्यात्म मानवता का प्राण-संस्कृति का मेरुद्ण्ड : Rare Book : ashish_in_nagpur@yahoo.com : Recorded")</f>
        <v>Audiobook : अध्यात्म मानवता का प्राण-संस्कृति का मेरुद्ण्ड : Rare Book : ashish_in_nagpur@yahoo.com : Recorded</v>
      </c>
      <c r="CG674" s="1" t="str">
        <f ca="1">IFERROR(__xludf.DUMMYFUNCTION("""COMPUTED_VALUE"""),"Adarniya Ashish Shrivastava  ji अध्यात्म मानवता का प्राण-संस्कृति का मेरुद्ण्ड : Rare Book : Allocated on 20-Oct-23 Contact Number  8275970236")</f>
        <v>Adarniya Ashish Shrivastava  ji अध्यात्म मानवता का प्राण-संस्कृति का मेरुद्ण्ड : Rare Book : Allocated on 20-Oct-23 Contact Number  8275970236</v>
      </c>
      <c r="CH674" s="1"/>
      <c r="CI674" s="1"/>
    </row>
    <row r="675" spans="1:87" x14ac:dyDescent="0.25">
      <c r="A675" s="5">
        <f ca="1">IFERROR(__xludf.DUMMYFUNCTION("""COMPUTED_VALUE"""),45218.942850868)</f>
        <v>45218.942850867999</v>
      </c>
      <c r="B675" s="1" t="str">
        <f ca="1">IFERROR(__xludf.DUMMYFUNCTION("""COMPUTED_VALUE"""),"purnima.bharadwaj.24@gmail.com")</f>
        <v>purnima.bharadwaj.24@gmail.com</v>
      </c>
      <c r="C675" s="1" t="str">
        <f ca="1">IFERROR(__xludf.DUMMYFUNCTION("""COMPUTED_VALUE"""),"पूर्णिमा भारद्वाज ")</f>
        <v xml:space="preserve">पूर्णिमा भारद्वाज </v>
      </c>
      <c r="D675" s="1">
        <f ca="1">IFERROR(__xludf.DUMMYFUNCTION("""COMPUTED_VALUE"""),9415389032)</f>
        <v>9415389032</v>
      </c>
      <c r="E675" s="1" t="str">
        <f ca="1">IFERROR(__xludf.DUMMYFUNCTION("""COMPUTED_VALUE"""),"Yes")</f>
        <v>Yes</v>
      </c>
      <c r="F675" s="1" t="str">
        <f ca="1">IFERROR(__xludf.DUMMYFUNCTION("""COMPUTED_VALUE"""),"हिन्दी")</f>
        <v>हिन्दी</v>
      </c>
      <c r="G675" s="1" t="str">
        <f ca="1">IFERROR(__xludf.DUMMYFUNCTION("""COMPUTED_VALUE"""),"युग द्रष्टा पं. श्रीराम शर्मा आचार्यजी")</f>
        <v>युग द्रष्टा पं. श्रीराम शर्मा आचार्यजी</v>
      </c>
      <c r="H675" s="1"/>
      <c r="I675" s="1"/>
      <c r="J675" s="1"/>
      <c r="K675" s="1"/>
      <c r="L675" s="1"/>
      <c r="M675" s="1"/>
      <c r="N675" s="1"/>
      <c r="O675" s="1"/>
      <c r="P675" s="1" t="str">
        <f ca="1">IFERROR(__xludf.DUMMYFUNCTION("""COMPUTED_VALUE"""),"युगॠषी का जीवनदर्शन")</f>
        <v>युगॠषी का जीवनदर्शन</v>
      </c>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f ca="1">IFERROR(__xludf.DUMMYFUNCTION("""COMPUTED_VALUE"""),43)</f>
        <v>43</v>
      </c>
      <c r="BX675" s="1">
        <f ca="1">IFERROR(__xludf.DUMMYFUNCTION("""COMPUTED_VALUE"""),36)</f>
        <v>36</v>
      </c>
      <c r="BY675" s="1">
        <f ca="1">IFERROR(__xludf.DUMMYFUNCTION("""COMPUTED_VALUE"""),9)</f>
        <v>9</v>
      </c>
      <c r="BZ675" s="1">
        <f ca="1">IFERROR(__xludf.DUMMYFUNCTION("""COMPUTED_VALUE"""),30)</f>
        <v>30</v>
      </c>
      <c r="CA675" s="1"/>
      <c r="CB675" s="1"/>
      <c r="CC675" s="1" t="str">
        <f ca="1">IFERROR(__xludf.DUMMYFUNCTION("""COMPUTED_VALUE"""),"हमारे आचार्यजी- एक परिचय : Rare Book")</f>
        <v>हमारे आचार्यजी- एक परिचय : Rare Book</v>
      </c>
      <c r="CD675" s="3" t="str">
        <f ca="1">IFERROR(__xludf.DUMMYFUNCTION("""COMPUTED_VALUE"""),"https://vicharkrantibooks.org/productdetail?book_name=HINF0107_HAMARE_ACHARYAJI_EK_PARICHAY_xxyyyy&amp;product_id=327")</f>
        <v>https://vicharkrantibooks.org/productdetail?book_name=HINF0107_HAMARE_ACHARYAJI_EK_PARICHAY_xxyyyy&amp;product_id=327</v>
      </c>
      <c r="CE675" s="1" t="str">
        <f ca="1">IFERROR(__xludf.DUMMYFUNCTION("""COMPUTED_VALUE"""),"Audiobook : हमारे आचार्यजी- एक परिचय : Rare Book : purnima.bharadwaj.24@gmail.com : Recorded")</f>
        <v>Audiobook : हमारे आचार्यजी- एक परिचय : Rare Book : purnima.bharadwaj.24@gmail.com : Recorded</v>
      </c>
      <c r="CF675" s="1" t="str">
        <f ca="1">IFERROR(__xludf.DUMMYFUNCTION("""COMPUTED_VALUE"""),"Audiobook : हमारे आचार्यजी- एक परिचय : Rare Book : purnima.bharadwaj.24@gmail.com : Recorded")</f>
        <v>Audiobook : हमारे आचार्यजी- एक परिचय : Rare Book : purnima.bharadwaj.24@gmail.com : Recorded</v>
      </c>
      <c r="CG675" s="1" t="str">
        <f ca="1">IFERROR(__xludf.DUMMYFUNCTION("""COMPUTED_VALUE"""),"Adarniya पूर्णिमा भारद्वाज  ji हमारे आचार्यजी- एक परिचय : Rare Book : Allocated on 19-Oct-23 Contact Number  9415389032")</f>
        <v>Adarniya पूर्णिमा भारद्वाज  ji हमारे आचार्यजी- एक परिचय : Rare Book : Allocated on 19-Oct-23 Contact Number  9415389032</v>
      </c>
      <c r="CH675" s="1"/>
      <c r="CI675" s="1"/>
    </row>
    <row r="676" spans="1:87" x14ac:dyDescent="0.25">
      <c r="A676" s="5">
        <f ca="1">IFERROR(__xludf.DUMMYFUNCTION("""COMPUTED_VALUE"""),45218.3990979398)</f>
        <v>45218.3990979398</v>
      </c>
      <c r="B676" s="1" t="str">
        <f ca="1">IFERROR(__xludf.DUMMYFUNCTION("""COMPUTED_VALUE"""),"shuklapihu999@gmail.com")</f>
        <v>shuklapihu999@gmail.com</v>
      </c>
      <c r="C676" s="1" t="str">
        <f ca="1">IFERROR(__xludf.DUMMYFUNCTION("""COMPUTED_VALUE"""),"Pihu Shukla ")</f>
        <v xml:space="preserve">Pihu Shukla </v>
      </c>
      <c r="D676" s="1">
        <f ca="1">IFERROR(__xludf.DUMMYFUNCTION("""COMPUTED_VALUE"""),9310148721)</f>
        <v>9310148721</v>
      </c>
      <c r="E676" s="1"/>
      <c r="F676" s="1" t="str">
        <f ca="1">IFERROR(__xludf.DUMMYFUNCTION("""COMPUTED_VALUE"""),"हिन्दी")</f>
        <v>हिन्दी</v>
      </c>
      <c r="G676" s="1" t="str">
        <f ca="1">IFERROR(__xludf.DUMMYFUNCTION("""COMPUTED_VALUE"""),"पर्यावरण संरक्षण")</f>
        <v>पर्यावरण संरक्षण</v>
      </c>
      <c r="H676" s="1"/>
      <c r="I676" s="1"/>
      <c r="J676" s="1"/>
      <c r="K676" s="1"/>
      <c r="L676" s="1"/>
      <c r="M676" s="1"/>
      <c r="N676" s="1" t="str">
        <f ca="1">IFERROR(__xludf.DUMMYFUNCTION("""COMPUTED_VALUE"""),"पर्यावरण संरक्षण")</f>
        <v>पर्यावरण संरक्षण</v>
      </c>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f ca="1">IFERROR(__xludf.DUMMYFUNCTION("""COMPUTED_VALUE"""),1)</f>
        <v>1</v>
      </c>
      <c r="BX676" s="1">
        <f ca="1">IFERROR(__xludf.DUMMYFUNCTION("""COMPUTED_VALUE"""),0)</f>
        <v>0</v>
      </c>
      <c r="BY676" s="1">
        <f ca="1">IFERROR(__xludf.DUMMYFUNCTION("""COMPUTED_VALUE"""),1)</f>
        <v>1</v>
      </c>
      <c r="BZ676" s="1">
        <f ca="1">IFERROR(__xludf.DUMMYFUNCTION("""COMPUTED_VALUE"""),0)</f>
        <v>0</v>
      </c>
      <c r="CA676" s="1"/>
      <c r="CB676" s="5">
        <f ca="1">IFERROR(__xludf.DUMMYFUNCTION("""COMPUTED_VALUE"""),45228.3990979398)</f>
        <v>45228.3990979398</v>
      </c>
      <c r="CC676" s="1" t="str">
        <f ca="1">IFERROR(__xludf.DUMMYFUNCTION("""COMPUTED_VALUE"""),"वृक्ष हमारे जीवन प्राण : Rare Book")</f>
        <v>वृक्ष हमारे जीवन प्राण : Rare Book</v>
      </c>
      <c r="CD676" s="3" t="str">
        <f ca="1">IFERROR(__xludf.DUMMYFUNCTION("""COMPUTED_VALUE"""),"https://vicharkrantibooks.org/productdetail?book_name=HINP1002_VRUKSH_HAMARE_JIVAN_PRAN_xxyyyy&amp;product_id=1567")</f>
        <v>https://vicharkrantibooks.org/productdetail?book_name=HINP1002_VRUKSH_HAMARE_JIVAN_PRAN_xxyyyy&amp;product_id=1567</v>
      </c>
      <c r="CE676" s="1" t="str">
        <f ca="1">IFERROR(__xludf.DUMMYFUNCTION("""COMPUTED_VALUE"""),"Audiobook : वृक्ष हमारे जीवन प्राण : Rare Book : shuklapihu999@gmail.com : Recorded")</f>
        <v>Audiobook : वृक्ष हमारे जीवन प्राण : Rare Book : shuklapihu999@gmail.com : Recorded</v>
      </c>
      <c r="CF676" s="1" t="str">
        <f ca="1">IFERROR(__xludf.DUMMYFUNCTION("""COMPUTED_VALUE"""),"#N/A")</f>
        <v>#N/A</v>
      </c>
      <c r="CG676" s="1" t="str">
        <f ca="1">IFERROR(__xludf.DUMMYFUNCTION("""COMPUTED_VALUE"""),"Adarniya Pihu Shukla  ji वृक्ष हमारे जीवन प्राण : Rare Book : Allocated on 19-Oct-23 Contact Number  9310148721")</f>
        <v>Adarniya Pihu Shukla  ji वृक्ष हमारे जीवन प्राण : Rare Book : Allocated on 19-Oct-23 Contact Number  9310148721</v>
      </c>
      <c r="CH676" s="1"/>
      <c r="CI676" s="1"/>
    </row>
    <row r="677" spans="1:87" x14ac:dyDescent="0.25">
      <c r="A677" s="5">
        <f ca="1">IFERROR(__xludf.DUMMYFUNCTION("""COMPUTED_VALUE"""),45217.5577894212)</f>
        <v>45217.557789421197</v>
      </c>
      <c r="B677" s="1" t="str">
        <f ca="1">IFERROR(__xludf.DUMMYFUNCTION("""COMPUTED_VALUE"""),"khushboosharma09@gmail.com")</f>
        <v>khushboosharma09@gmail.com</v>
      </c>
      <c r="C677" s="1" t="str">
        <f ca="1">IFERROR(__xludf.DUMMYFUNCTION("""COMPUTED_VALUE"""),"Khushboo sharma ")</f>
        <v xml:space="preserve">Khushboo sharma </v>
      </c>
      <c r="D677" s="1">
        <f ca="1">IFERROR(__xludf.DUMMYFUNCTION("""COMPUTED_VALUE"""),2243108027)</f>
        <v>2243108027</v>
      </c>
      <c r="E677" s="1" t="str">
        <f ca="1">IFERROR(__xludf.DUMMYFUNCTION("""COMPUTED_VALUE"""),"No")</f>
        <v>No</v>
      </c>
      <c r="F677" s="1" t="str">
        <f ca="1">IFERROR(__xludf.DUMMYFUNCTION("""COMPUTED_VALUE"""),"हिन्दी")</f>
        <v>हिन्दी</v>
      </c>
      <c r="G677" s="1" t="str">
        <f ca="1">IFERROR(__xludf.DUMMYFUNCTION("""COMPUTED_VALUE"""),"जीवन प्रबंध")</f>
        <v>जीवन प्रबंध</v>
      </c>
      <c r="H677" s="1"/>
      <c r="I677" s="1"/>
      <c r="J677" s="1"/>
      <c r="K677" s="1"/>
      <c r="L677" s="1" t="str">
        <f ca="1">IFERROR(__xludf.DUMMYFUNCTION("""COMPUTED_VALUE"""),"मन की शक्ति एवं मनोविज्ञान")</f>
        <v>मन की शक्ति एवं मनोविज्ञान</v>
      </c>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f ca="1">IFERROR(__xludf.DUMMYFUNCTION("""COMPUTED_VALUE"""),1)</f>
        <v>1</v>
      </c>
      <c r="BX677" s="1">
        <f ca="1">IFERROR(__xludf.DUMMYFUNCTION("""COMPUTED_VALUE"""),0)</f>
        <v>0</v>
      </c>
      <c r="BY677" s="1">
        <f ca="1">IFERROR(__xludf.DUMMYFUNCTION("""COMPUTED_VALUE"""),1)</f>
        <v>1</v>
      </c>
      <c r="BZ677" s="1">
        <f ca="1">IFERROR(__xludf.DUMMYFUNCTION("""COMPUTED_VALUE"""),0)</f>
        <v>0</v>
      </c>
      <c r="CA677" s="1"/>
      <c r="CB677" s="5">
        <f ca="1">IFERROR(__xludf.DUMMYFUNCTION("""COMPUTED_VALUE"""),45227.5577894212)</f>
        <v>45227.557789421197</v>
      </c>
      <c r="CC677" s="1" t="str">
        <f ca="1">IFERROR(__xludf.DUMMYFUNCTION("""COMPUTED_VALUE"""),"कल्प-साधना अर्थात्‌ स्तर और स्थिति का परिवर्तन : Rare Book")</f>
        <v>कल्प-साधना अर्थात्‌ स्तर और स्थिति का परिवर्तन : Rare Book</v>
      </c>
      <c r="CD677" s="3" t="str">
        <f ca="1">IFERROR(__xludf.DUMMYFUNCTION("""COMPUTED_VALUE"""),"https://vicharkrantibooks.org/productdetail?product_id=363")</f>
        <v>https://vicharkrantibooks.org/productdetail?product_id=363</v>
      </c>
      <c r="CE677" s="1" t="str">
        <f ca="1">IFERROR(__xludf.DUMMYFUNCTION("""COMPUTED_VALUE"""),"Audiobook : कल्प-साधना अर्थात्‌ स्तर और स्थिति का परिवर्तन : Rare Book : khushboosharma09@gmail.com : Recorded")</f>
        <v>Audiobook : कल्प-साधना अर्थात्‌ स्तर और स्थिति का परिवर्तन : Rare Book : khushboosharma09@gmail.com : Recorded</v>
      </c>
      <c r="CF677" s="1" t="str">
        <f ca="1">IFERROR(__xludf.DUMMYFUNCTION("""COMPUTED_VALUE"""),"#N/A")</f>
        <v>#N/A</v>
      </c>
      <c r="CG677" s="1" t="str">
        <f ca="1">IFERROR(__xludf.DUMMYFUNCTION("""COMPUTED_VALUE"""),"Adarniya Khushboo sharma  ji कल्प-साधना अर्थात्‌ स्तर और स्थिति का परिवर्तन : Rare Book : Allocated on 18-Oct-23 Contact Number  2243108027")</f>
        <v>Adarniya Khushboo sharma  ji कल्प-साधना अर्थात्‌ स्तर और स्थिति का परिवर्तन : Rare Book : Allocated on 18-Oct-23 Contact Number  2243108027</v>
      </c>
      <c r="CH677" s="1"/>
      <c r="CI677" s="1"/>
    </row>
    <row r="678" spans="1:87" x14ac:dyDescent="0.25">
      <c r="A678" s="5">
        <f ca="1">IFERROR(__xludf.DUMMYFUNCTION("""COMPUTED_VALUE"""),45216.9251391088)</f>
        <v>45216.925139108796</v>
      </c>
      <c r="B678" s="1" t="str">
        <f ca="1">IFERROR(__xludf.DUMMYFUNCTION("""COMPUTED_VALUE"""),"vjatul025@gmail.com")</f>
        <v>vjatul025@gmail.com</v>
      </c>
      <c r="C678" s="1" t="str">
        <f ca="1">IFERROR(__xludf.DUMMYFUNCTION("""COMPUTED_VALUE"""),"Vandana Joshi ")</f>
        <v xml:space="preserve">Vandana Joshi </v>
      </c>
      <c r="D678" s="1">
        <f ca="1">IFERROR(__xludf.DUMMYFUNCTION("""COMPUTED_VALUE"""),9174756367)</f>
        <v>9174756367</v>
      </c>
      <c r="E678" s="1" t="str">
        <f ca="1">IFERROR(__xludf.DUMMYFUNCTION("""COMPUTED_VALUE"""),"Yes")</f>
        <v>Yes</v>
      </c>
      <c r="F678" s="1" t="str">
        <f ca="1">IFERROR(__xludf.DUMMYFUNCTION("""COMPUTED_VALUE"""),"हिन्दी")</f>
        <v>हिन्दी</v>
      </c>
      <c r="G678" s="1" t="str">
        <f ca="1">IFERROR(__xludf.DUMMYFUNCTION("""COMPUTED_VALUE"""),"अध्यात्म, धर्म एवं दर्शन")</f>
        <v>अध्यात्म, धर्म एवं दर्शन</v>
      </c>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f ca="1">IFERROR(__xludf.DUMMYFUNCTION("""COMPUTED_VALUE"""),8)</f>
        <v>8</v>
      </c>
      <c r="BX678" s="1">
        <f ca="1">IFERROR(__xludf.DUMMYFUNCTION("""COMPUTED_VALUE"""),6)</f>
        <v>6</v>
      </c>
      <c r="BY678" s="1">
        <f ca="1">IFERROR(__xludf.DUMMYFUNCTION("""COMPUTED_VALUE"""),2)</f>
        <v>2</v>
      </c>
      <c r="BZ678" s="1">
        <f ca="1">IFERROR(__xludf.DUMMYFUNCTION("""COMPUTED_VALUE"""),0)</f>
        <v>0</v>
      </c>
      <c r="CA678" s="1"/>
      <c r="CB678" s="1"/>
      <c r="CC678" s="1" t="str">
        <f ca="1">IFERROR(__xludf.DUMMYFUNCTION("""COMPUTED_VALUE"""),"कर्मयोग और जीवन साधना की सिद्धि : Rare Book")</f>
        <v>कर्मयोग और जीवन साधना की सिद्धि : Rare Book</v>
      </c>
      <c r="CD678" s="3" t="str">
        <f ca="1">IFERROR(__xludf.DUMMYFUNCTION("""COMPUTED_VALUE"""),"https://vicharkrantibooks.org/productdetail?book_name=HINP0428_KARMAYOG_AUR_JIVAN_SADHANA_KI_SADDHI_xx1981&amp;product_id=993")</f>
        <v>https://vicharkrantibooks.org/productdetail?book_name=HINP0428_KARMAYOG_AUR_JIVAN_SADHANA_KI_SADDHI_xx1981&amp;product_id=993</v>
      </c>
      <c r="CE678" s="1" t="str">
        <f ca="1">IFERROR(__xludf.DUMMYFUNCTION("""COMPUTED_VALUE"""),"Audiobook : कर्मयोग और जीवन साधना की सिद्धि : Rare Book : vjatul025@gmail.com : Recorded")</f>
        <v>Audiobook : कर्मयोग और जीवन साधना की सिद्धि : Rare Book : vjatul025@gmail.com : Recorded</v>
      </c>
      <c r="CF678" s="1" t="str">
        <f ca="1">IFERROR(__xludf.DUMMYFUNCTION("""COMPUTED_VALUE"""),"Audiobook : कर्मयोग और जीवन साधना की सिद्धि : Rare Book : vjatul025@gmail.com : Recorded")</f>
        <v>Audiobook : कर्मयोग और जीवन साधना की सिद्धि : Rare Book : vjatul025@gmail.com : Recorded</v>
      </c>
      <c r="CG678" s="1" t="str">
        <f ca="1">IFERROR(__xludf.DUMMYFUNCTION("""COMPUTED_VALUE"""),"Adarniya Vandana Joshi  ji कर्मयोग और जीवन साधना की सिद्धि : Rare Book : Allocated on 17-Oct-23 Contact Number  9174756367")</f>
        <v>Adarniya Vandana Joshi  ji कर्मयोग और जीवन साधना की सिद्धि : Rare Book : Allocated on 17-Oct-23 Contact Number  9174756367</v>
      </c>
      <c r="CH678" s="1"/>
      <c r="CI678" s="1"/>
    </row>
    <row r="679" spans="1:87" x14ac:dyDescent="0.25">
      <c r="A679" s="5">
        <f ca="1">IFERROR(__xludf.DUMMYFUNCTION("""COMPUTED_VALUE"""),45216.8894494097)</f>
        <v>45216.889449409697</v>
      </c>
      <c r="B679" s="1" t="str">
        <f ca="1">IFERROR(__xludf.DUMMYFUNCTION("""COMPUTED_VALUE"""),"jamunashukla17@gmail.com")</f>
        <v>jamunashukla17@gmail.com</v>
      </c>
      <c r="C679" s="1" t="str">
        <f ca="1">IFERROR(__xludf.DUMMYFUNCTION("""COMPUTED_VALUE"""),"जमुना शुक्ला ")</f>
        <v xml:space="preserve">जमुना शुक्ला </v>
      </c>
      <c r="D679" s="1">
        <f ca="1">IFERROR(__xludf.DUMMYFUNCTION("""COMPUTED_VALUE"""),8390353167)</f>
        <v>8390353167</v>
      </c>
      <c r="E679" s="1" t="str">
        <f ca="1">IFERROR(__xludf.DUMMYFUNCTION("""COMPUTED_VALUE"""),"Yes")</f>
        <v>Yes</v>
      </c>
      <c r="F679" s="1" t="str">
        <f ca="1">IFERROR(__xludf.DUMMYFUNCTION("""COMPUTED_VALUE"""),"हिन्दी")</f>
        <v>हिन्दी</v>
      </c>
      <c r="G679" s="1" t="str">
        <f ca="1">IFERROR(__xludf.DUMMYFUNCTION("""COMPUTED_VALUE"""),"अध्यात्म, धर्म एवं दर्शन")</f>
        <v>अध्यात्म, धर्म एवं दर्शन</v>
      </c>
      <c r="H679" s="1" t="str">
        <f ca="1">IFERROR(__xludf.DUMMYFUNCTION("""COMPUTED_VALUE"""),"अध्यात्म, धर्म एवं आस्तिकता")</f>
        <v>अध्यात्म, धर्म एवं आस्तिकता</v>
      </c>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f ca="1">IFERROR(__xludf.DUMMYFUNCTION("""COMPUTED_VALUE"""),53)</f>
        <v>53</v>
      </c>
      <c r="BX679" s="1">
        <f ca="1">IFERROR(__xludf.DUMMYFUNCTION("""COMPUTED_VALUE"""),53)</f>
        <v>53</v>
      </c>
      <c r="BY679" s="1">
        <f ca="1">IFERROR(__xludf.DUMMYFUNCTION("""COMPUTED_VALUE"""),9)</f>
        <v>9</v>
      </c>
      <c r="BZ679" s="1">
        <f ca="1">IFERROR(__xludf.DUMMYFUNCTION("""COMPUTED_VALUE"""),25)</f>
        <v>25</v>
      </c>
      <c r="CA679" s="1"/>
      <c r="CB679" s="1"/>
      <c r="CC679" s="1" t="str">
        <f ca="1">IFERROR(__xludf.DUMMYFUNCTION("""COMPUTED_VALUE"""),"भगवान का काम करने का यही समय : H_JS_53")</f>
        <v>भगवान का काम करने का यही समय : H_JS_53</v>
      </c>
      <c r="CD679" s="3" t="str">
        <f ca="1">IFERROR(__xludf.DUMMYFUNCTION("""COMPUTED_VALUE"""),"https://vicharkrantibooks.org/productdetail?book_name=HINP0138_BHAGAVAN_KA_KAM_KARANE_KA_YAHI_SAMAY_xx2011&amp;product_id=703")</f>
        <v>https://vicharkrantibooks.org/productdetail?book_name=HINP0138_BHAGAVAN_KA_KAM_KARANE_KA_YAHI_SAMAY_xx2011&amp;product_id=703</v>
      </c>
      <c r="CE679" s="1" t="str">
        <f ca="1">IFERROR(__xludf.DUMMYFUNCTION("""COMPUTED_VALUE"""),"Audiobook : भगवान का काम करने का यही समय : H_JS_53 : jamunashukla17@gmail.com : Recorded")</f>
        <v>Audiobook : भगवान का काम करने का यही समय : H_JS_53 : jamunashukla17@gmail.com : Recorded</v>
      </c>
      <c r="CF679" s="1" t="str">
        <f ca="1">IFERROR(__xludf.DUMMYFUNCTION("""COMPUTED_VALUE"""),"Audiobook : भगवान का काम करने का यही समय : H_JS_53 : jamunashukla17@gmail.com : Recorded")</f>
        <v>Audiobook : भगवान का काम करने का यही समय : H_JS_53 : jamunashukla17@gmail.com : Recorded</v>
      </c>
      <c r="CG679" s="1" t="str">
        <f ca="1">IFERROR(__xludf.DUMMYFUNCTION("""COMPUTED_VALUE"""),"Adarniya जमुना शुक्ला  ji भगवान का काम करने का यही समय : H_JS_53 : Allocated on 17-Oct-23 Contact Number  8390353167")</f>
        <v>Adarniya जमुना शुक्ला  ji भगवान का काम करने का यही समय : H_JS_53 : Allocated on 17-Oct-23 Contact Number  8390353167</v>
      </c>
      <c r="CH679" s="1"/>
      <c r="CI679" s="1"/>
    </row>
    <row r="680" spans="1:87" x14ac:dyDescent="0.25">
      <c r="A680" s="5">
        <f ca="1">IFERROR(__xludf.DUMMYFUNCTION("""COMPUTED_VALUE"""),45216.7583936805)</f>
        <v>45216.758393680502</v>
      </c>
      <c r="B680" s="1" t="str">
        <f ca="1">IFERROR(__xludf.DUMMYFUNCTION("""COMPUTED_VALUE"""),"brphodmba@gmail.com")</f>
        <v>brphodmba@gmail.com</v>
      </c>
      <c r="C680" s="1" t="str">
        <f ca="1">IFERROR(__xludf.DUMMYFUNCTION("""COMPUTED_VALUE"""),"Dr.Baidyanath Ram Prajapati")</f>
        <v>Dr.Baidyanath Ram Prajapati</v>
      </c>
      <c r="D680" s="1">
        <f ca="1">IFERROR(__xludf.DUMMYFUNCTION("""COMPUTED_VALUE"""),9811724821)</f>
        <v>9811724821</v>
      </c>
      <c r="E680" s="1" t="str">
        <f ca="1">IFERROR(__xludf.DUMMYFUNCTION("""COMPUTED_VALUE"""),"Yes")</f>
        <v>Yes</v>
      </c>
      <c r="F680" s="1" t="str">
        <f ca="1">IFERROR(__xludf.DUMMYFUNCTION("""COMPUTED_VALUE"""),"हिन्दी")</f>
        <v>हिन्दी</v>
      </c>
      <c r="G680" s="1" t="str">
        <f ca="1">IFERROR(__xludf.DUMMYFUNCTION("""COMPUTED_VALUE"""),"अध्यात्म, धर्म एवं दर्शन")</f>
        <v>अध्यात्म, धर्म एवं दर्शन</v>
      </c>
      <c r="H680" s="1" t="str">
        <f ca="1">IFERROR(__xludf.DUMMYFUNCTION("""COMPUTED_VALUE"""),"अध्यात्म, धर्म एवं आस्तिकता")</f>
        <v>अध्यात्म, धर्म एवं आस्तिकता</v>
      </c>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f ca="1">IFERROR(__xludf.DUMMYFUNCTION("""COMPUTED_VALUE"""),12)</f>
        <v>12</v>
      </c>
      <c r="BX680" s="1">
        <f ca="1">IFERROR(__xludf.DUMMYFUNCTION("""COMPUTED_VALUE"""),10)</f>
        <v>10</v>
      </c>
      <c r="BY680" s="1">
        <f ca="1">IFERROR(__xludf.DUMMYFUNCTION("""COMPUTED_VALUE"""),4)</f>
        <v>4</v>
      </c>
      <c r="BZ680" s="1">
        <f ca="1">IFERROR(__xludf.DUMMYFUNCTION("""COMPUTED_VALUE"""),0)</f>
        <v>0</v>
      </c>
      <c r="CA680" s="1"/>
      <c r="CB680" s="1"/>
      <c r="CC680" s="1" t="str">
        <f ca="1">IFERROR(__xludf.DUMMYFUNCTION("""COMPUTED_VALUE"""),"अन्त:करण का परिष्कार प्रखर उपासना से ही सम्भव : Rare Book")</f>
        <v>अन्त:करण का परिष्कार प्रखर उपासना से ही सम्भव : Rare Book</v>
      </c>
      <c r="CD680" s="3" t="str">
        <f ca="1">IFERROR(__xludf.DUMMYFUNCTION("""COMPUTED_VALUE"""),"https://vicharkrantibooks.org/productdetail?book_name=HINF0026_ANTAHKARAN_KA_PARISHKAR_PRAKHAR_UPASANA_SE_HI_SAMBHAV_xxyyyy&amp;product_id=246")</f>
        <v>https://vicharkrantibooks.org/productdetail?book_name=HINF0026_ANTAHKARAN_KA_PARISHKAR_PRAKHAR_UPASANA_SE_HI_SAMBHAV_xxyyyy&amp;product_id=246</v>
      </c>
      <c r="CE680" s="1" t="str">
        <f ca="1">IFERROR(__xludf.DUMMYFUNCTION("""COMPUTED_VALUE"""),"Audiobook : अन्त:करण का परिष्कार प्रखर उपासना से ही सम्भव : Rare Book : brphodmba@gmail.com : Recorded")</f>
        <v>Audiobook : अन्त:करण का परिष्कार प्रखर उपासना से ही सम्भव : Rare Book : brphodmba@gmail.com : Recorded</v>
      </c>
      <c r="CF680" s="1" t="str">
        <f ca="1">IFERROR(__xludf.DUMMYFUNCTION("""COMPUTED_VALUE"""),"#N/A")</f>
        <v>#N/A</v>
      </c>
      <c r="CG680" s="1" t="str">
        <f ca="1">IFERROR(__xludf.DUMMYFUNCTION("""COMPUTED_VALUE"""),"Adarniya Dr.Baidyanath Ram Prajapati ji अन्त:करण का परिष्कार प्रखर उपासना से ही सम्भव : Rare Book : Allocated on 17-Oct-23 Contact Number  9811724821")</f>
        <v>Adarniya Dr.Baidyanath Ram Prajapati ji अन्त:करण का परिष्कार प्रखर उपासना से ही सम्भव : Rare Book : Allocated on 17-Oct-23 Contact Number  9811724821</v>
      </c>
      <c r="CH680" s="1"/>
      <c r="CI680" s="1"/>
    </row>
    <row r="681" spans="1:87" x14ac:dyDescent="0.25">
      <c r="A681" s="5">
        <f ca="1">IFERROR(__xludf.DUMMYFUNCTION("""COMPUTED_VALUE"""),45216.7420676157)</f>
        <v>45216.742067615698</v>
      </c>
      <c r="B681" s="1" t="str">
        <f ca="1">IFERROR(__xludf.DUMMYFUNCTION("""COMPUTED_VALUE"""),"sharma91261@gmail.com")</f>
        <v>sharma91261@gmail.com</v>
      </c>
      <c r="C681" s="1" t="str">
        <f ca="1">IFERROR(__xludf.DUMMYFUNCTION("""COMPUTED_VALUE"""),"Sunita sharma ")</f>
        <v xml:space="preserve">Sunita sharma </v>
      </c>
      <c r="D681" s="1">
        <f ca="1">IFERROR(__xludf.DUMMYFUNCTION("""COMPUTED_VALUE"""),9324252890)</f>
        <v>9324252890</v>
      </c>
      <c r="E681" s="1" t="str">
        <f ca="1">IFERROR(__xludf.DUMMYFUNCTION("""COMPUTED_VALUE"""),"No")</f>
        <v>No</v>
      </c>
      <c r="F681" s="1" t="str">
        <f ca="1">IFERROR(__xludf.DUMMYFUNCTION("""COMPUTED_VALUE"""),"हिन्दी")</f>
        <v>हिन्दी</v>
      </c>
      <c r="G681" s="1" t="str">
        <f ca="1">IFERROR(__xludf.DUMMYFUNCTION("""COMPUTED_VALUE"""),"अध्यात्म, धर्म एवं दर्शन")</f>
        <v>अध्यात्म, धर्म एवं दर्शन</v>
      </c>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f ca="1">IFERROR(__xludf.DUMMYFUNCTION("""COMPUTED_VALUE"""),2)</f>
        <v>2</v>
      </c>
      <c r="BX681" s="1">
        <f ca="1">IFERROR(__xludf.DUMMYFUNCTION("""COMPUTED_VALUE"""),0)</f>
        <v>0</v>
      </c>
      <c r="BY681" s="1">
        <f ca="1">IFERROR(__xludf.DUMMYFUNCTION("""COMPUTED_VALUE"""),2)</f>
        <v>2</v>
      </c>
      <c r="BZ681" s="1">
        <f ca="1">IFERROR(__xludf.DUMMYFUNCTION("""COMPUTED_VALUE"""),0)</f>
        <v>0</v>
      </c>
      <c r="CA681" s="1"/>
      <c r="CB681" s="5">
        <f ca="1">IFERROR(__xludf.DUMMYFUNCTION("""COMPUTED_VALUE"""),45226.7420676157)</f>
        <v>45226.742067615698</v>
      </c>
      <c r="CC681" s="1" t="str">
        <f ca="1">IFERROR(__xludf.DUMMYFUNCTION("""COMPUTED_VALUE"""),"अध्यात्म के अवलम्बन से नर का नारायण में परिवर्तन : Rare Book")</f>
        <v>अध्यात्म के अवलम्बन से नर का नारायण में परिवर्तन : Rare Book</v>
      </c>
      <c r="CD681" s="3" t="str">
        <f ca="1">IFERROR(__xludf.DUMMYFUNCTION("""COMPUTED_VALUE"""),"https://vicharkrantibooks.org/productdetail?book_name=HINF0010_ADHYATM_KE_AVALAMBAN_SE_NAR_KA_NARAYAN_MEIN_PARIWARTAN_xxyyyy&amp;product_id=230")</f>
        <v>https://vicharkrantibooks.org/productdetail?book_name=HINF0010_ADHYATM_KE_AVALAMBAN_SE_NAR_KA_NARAYAN_MEIN_PARIWARTAN_xxyyyy&amp;product_id=230</v>
      </c>
      <c r="CE681" s="1" t="str">
        <f ca="1">IFERROR(__xludf.DUMMYFUNCTION("""COMPUTED_VALUE"""),"Audiobook : अध्यात्म के अवलम्बन से नर का नारायण में परिवर्तन : Rare Book : sharma91261@gmail.com : Recorded")</f>
        <v>Audiobook : अध्यात्म के अवलम्बन से नर का नारायण में परिवर्तन : Rare Book : sharma91261@gmail.com : Recorded</v>
      </c>
      <c r="CF681" s="1" t="str">
        <f ca="1">IFERROR(__xludf.DUMMYFUNCTION("""COMPUTED_VALUE"""),"#N/A")</f>
        <v>#N/A</v>
      </c>
      <c r="CG681" s="1" t="str">
        <f ca="1">IFERROR(__xludf.DUMMYFUNCTION("""COMPUTED_VALUE"""),"Adarniya Sunita sharma  ji अध्यात्म के अवलम्बन से नर का नारायण में परिवर्तन : Rare Book : Allocated on 17-Oct-23 Contact Number  9324252890")</f>
        <v>Adarniya Sunita sharma  ji अध्यात्म के अवलम्बन से नर का नारायण में परिवर्तन : Rare Book : Allocated on 17-Oct-23 Contact Number  9324252890</v>
      </c>
      <c r="CH681" s="1"/>
      <c r="CI681" s="1"/>
    </row>
    <row r="682" spans="1:87" x14ac:dyDescent="0.25">
      <c r="A682" s="5">
        <f ca="1">IFERROR(__xludf.DUMMYFUNCTION("""COMPUTED_VALUE"""),45216.4808544328)</f>
        <v>45216.480854432797</v>
      </c>
      <c r="B682" s="1" t="str">
        <f ca="1">IFERROR(__xludf.DUMMYFUNCTION("""COMPUTED_VALUE"""),"mayuri.satpute629@gmail.com")</f>
        <v>mayuri.satpute629@gmail.com</v>
      </c>
      <c r="C682" s="1" t="str">
        <f ca="1">IFERROR(__xludf.DUMMYFUNCTION("""COMPUTED_VALUE"""),"Mayuri")</f>
        <v>Mayuri</v>
      </c>
      <c r="D682" s="1">
        <f ca="1">IFERROR(__xludf.DUMMYFUNCTION("""COMPUTED_VALUE"""),9096013760)</f>
        <v>9096013760</v>
      </c>
      <c r="E682" s="1" t="str">
        <f ca="1">IFERROR(__xludf.DUMMYFUNCTION("""COMPUTED_VALUE"""),"Yes")</f>
        <v>Yes</v>
      </c>
      <c r="F682" s="1" t="str">
        <f ca="1">IFERROR(__xludf.DUMMYFUNCTION("""COMPUTED_VALUE"""),"हिन्दी or English")</f>
        <v>हिन्दी or English</v>
      </c>
      <c r="G682" s="1" t="str">
        <f ca="1">IFERROR(__xludf.DUMMYFUNCTION("""COMPUTED_VALUE"""),"परिवार निर्माण")</f>
        <v>परिवार निर्माण</v>
      </c>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f ca="1">IFERROR(__xludf.DUMMYFUNCTION("""COMPUTED_VALUE"""),1)</f>
        <v>1</v>
      </c>
      <c r="BX682" s="1">
        <f ca="1">IFERROR(__xludf.DUMMYFUNCTION("""COMPUTED_VALUE"""),0)</f>
        <v>0</v>
      </c>
      <c r="BY682" s="1">
        <f ca="1">IFERROR(__xludf.DUMMYFUNCTION("""COMPUTED_VALUE"""),1)</f>
        <v>1</v>
      </c>
      <c r="BZ682" s="1">
        <f ca="1">IFERROR(__xludf.DUMMYFUNCTION("""COMPUTED_VALUE"""),0)</f>
        <v>0</v>
      </c>
      <c r="CA682" s="1"/>
      <c r="CB682" s="5">
        <f ca="1">IFERROR(__xludf.DUMMYFUNCTION("""COMPUTED_VALUE"""),45226.4808544328)</f>
        <v>45226.480854432797</v>
      </c>
      <c r="CC682" s="1" t="str">
        <f ca="1">IFERROR(__xludf.DUMMYFUNCTION("""COMPUTED_VALUE"""),"इन दिनों का प्रजनन विपत्ति का आमंत्रण : Rare Book")</f>
        <v>इन दिनों का प्रजनन विपत्ति का आमंत्रण : Rare Book</v>
      </c>
      <c r="CD682" s="3" t="str">
        <f ca="1">IFERROR(__xludf.DUMMYFUNCTION("""COMPUTED_VALUE"""),"https://vicharkrantibooks.org/productdetail?book_name=HINF0123_IN_DINON_KA_PRAJANAN_VIPATTI_KA_AMANTRAN_xxyyyy&amp;product_id=343")</f>
        <v>https://vicharkrantibooks.org/productdetail?book_name=HINF0123_IN_DINON_KA_PRAJANAN_VIPATTI_KA_AMANTRAN_xxyyyy&amp;product_id=343</v>
      </c>
      <c r="CE682" s="1" t="str">
        <f ca="1">IFERROR(__xludf.DUMMYFUNCTION("""COMPUTED_VALUE"""),"Audiobook : इन दिनों का प्रजनन विपत्ति का आमंत्रण : Rare Book : mayuri.satpute629@gmail.com : Recorded")</f>
        <v>Audiobook : इन दिनों का प्रजनन विपत्ति का आमंत्रण : Rare Book : mayuri.satpute629@gmail.com : Recorded</v>
      </c>
      <c r="CF682" s="1" t="str">
        <f ca="1">IFERROR(__xludf.DUMMYFUNCTION("""COMPUTED_VALUE"""),"#N/A")</f>
        <v>#N/A</v>
      </c>
      <c r="CG682" s="1" t="str">
        <f ca="1">IFERROR(__xludf.DUMMYFUNCTION("""COMPUTED_VALUE"""),"Adarniya Mayuri ji इन दिनों का प्रजनन विपत्ति का आमंत्रण : Rare Book : Allocated on 17-Oct-23 Contact Number  9096013760")</f>
        <v>Adarniya Mayuri ji इन दिनों का प्रजनन विपत्ति का आमंत्रण : Rare Book : Allocated on 17-Oct-23 Contact Number  9096013760</v>
      </c>
      <c r="CH682" s="1"/>
      <c r="CI682" s="1"/>
    </row>
    <row r="683" spans="1:87" x14ac:dyDescent="0.25">
      <c r="A683" s="5">
        <f ca="1">IFERROR(__xludf.DUMMYFUNCTION("""COMPUTED_VALUE"""),45216.4773256944)</f>
        <v>45216.477325694403</v>
      </c>
      <c r="B683" s="1" t="str">
        <f ca="1">IFERROR(__xludf.DUMMYFUNCTION("""COMPUTED_VALUE"""),"suryakriti18@gmail.com")</f>
        <v>suryakriti18@gmail.com</v>
      </c>
      <c r="C683" s="1" t="str">
        <f ca="1">IFERROR(__xludf.DUMMYFUNCTION("""COMPUTED_VALUE"""),"संजीव कुमार ")</f>
        <v xml:space="preserve">संजीव कुमार </v>
      </c>
      <c r="D683" s="1">
        <f ca="1">IFERROR(__xludf.DUMMYFUNCTION("""COMPUTED_VALUE"""),9873714108)</f>
        <v>9873714108</v>
      </c>
      <c r="E683" s="1" t="str">
        <f ca="1">IFERROR(__xludf.DUMMYFUNCTION("""COMPUTED_VALUE"""),"Yes")</f>
        <v>Yes</v>
      </c>
      <c r="F683" s="1" t="str">
        <f ca="1">IFERROR(__xludf.DUMMYFUNCTION("""COMPUTED_VALUE"""),"हिन्दी")</f>
        <v>हिन्दी</v>
      </c>
      <c r="G683" s="1" t="str">
        <f ca="1">IFERROR(__xludf.DUMMYFUNCTION("""COMPUTED_VALUE"""),"युग द्रष्टा पं. श्रीराम शर्मा आचार्यजी")</f>
        <v>युग द्रष्टा पं. श्रीराम शर्मा आचार्यजी</v>
      </c>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f ca="1">IFERROR(__xludf.DUMMYFUNCTION("""COMPUTED_VALUE"""),4)</f>
        <v>4</v>
      </c>
      <c r="BX683" s="1">
        <f ca="1">IFERROR(__xludf.DUMMYFUNCTION("""COMPUTED_VALUE"""),1)</f>
        <v>1</v>
      </c>
      <c r="BY683" s="1">
        <f ca="1">IFERROR(__xludf.DUMMYFUNCTION("""COMPUTED_VALUE"""),3)</f>
        <v>3</v>
      </c>
      <c r="BZ683" s="1">
        <f ca="1">IFERROR(__xludf.DUMMYFUNCTION("""COMPUTED_VALUE"""),0)</f>
        <v>0</v>
      </c>
      <c r="CA683" s="1"/>
      <c r="CB683" s="5">
        <f ca="1">IFERROR(__xludf.DUMMYFUNCTION("""COMPUTED_VALUE"""),45226.4773256944)</f>
        <v>45226.477325694403</v>
      </c>
      <c r="CC683" s="1" t="str">
        <f ca="1">IFERROR(__xludf.DUMMYFUNCTION("""COMPUTED_VALUE"""),"वसंत पर्व पर महाकाल का संदेश : Rare Book")</f>
        <v>वसंत पर्व पर महाकाल का संदेश : Rare Book</v>
      </c>
      <c r="CD683" s="3" t="str">
        <f ca="1">IFERROR(__xludf.DUMMYFUNCTION("""COMPUTED_VALUE"""),"https://vicharkrantibooks.org/productdetail?book_name=HINF0311_VASANT_PARV_PAR_MAHAKAL_KA_SANDESH_xxyyyy&amp;product_id=531")</f>
        <v>https://vicharkrantibooks.org/productdetail?book_name=HINF0311_VASANT_PARV_PAR_MAHAKAL_KA_SANDESH_xxyyyy&amp;product_id=531</v>
      </c>
      <c r="CE683" s="1" t="str">
        <f ca="1">IFERROR(__xludf.DUMMYFUNCTION("""COMPUTED_VALUE"""),"Audiobook : वसंत पर्व पर महाकाल का संदेश : Rare Book : suryakriti18@gmail.com : Recorded")</f>
        <v>Audiobook : वसंत पर्व पर महाकाल का संदेश : Rare Book : suryakriti18@gmail.com : Recorded</v>
      </c>
      <c r="CF683" s="1" t="str">
        <f ca="1">IFERROR(__xludf.DUMMYFUNCTION("""COMPUTED_VALUE"""),"Audiobook : वसंत पर्व पर महाकाल का संदेश : Rare Book : suryakriti18@gmail.com : Recorded")</f>
        <v>Audiobook : वसंत पर्व पर महाकाल का संदेश : Rare Book : suryakriti18@gmail.com : Recorded</v>
      </c>
      <c r="CG683" s="1" t="str">
        <f ca="1">IFERROR(__xludf.DUMMYFUNCTION("""COMPUTED_VALUE"""),"Adarniya संजीव कुमार  ji वसंत पर्व पर महाकाल का संदेश : Rare Book : Allocated on 17-Oct-23 Contact Number  9873714108")</f>
        <v>Adarniya संजीव कुमार  ji वसंत पर्व पर महाकाल का संदेश : Rare Book : Allocated on 17-Oct-23 Contact Number  9873714108</v>
      </c>
      <c r="CH683" s="1"/>
      <c r="CI683" s="1"/>
    </row>
    <row r="684" spans="1:87" x14ac:dyDescent="0.25">
      <c r="A684" s="5">
        <f ca="1">IFERROR(__xludf.DUMMYFUNCTION("""COMPUTED_VALUE"""),45216.4725660185)</f>
        <v>45216.472566018499</v>
      </c>
      <c r="B684" s="1" t="str">
        <f ca="1">IFERROR(__xludf.DUMMYFUNCTION("""COMPUTED_VALUE"""),"meenumalhotra2000@yahoo.com")</f>
        <v>meenumalhotra2000@yahoo.com</v>
      </c>
      <c r="C684" s="1" t="str">
        <f ca="1">IFERROR(__xludf.DUMMYFUNCTION("""COMPUTED_VALUE"""),"Meenu malhotra")</f>
        <v>Meenu malhotra</v>
      </c>
      <c r="D684" s="1">
        <f ca="1">IFERROR(__xludf.DUMMYFUNCTION("""COMPUTED_VALUE"""),9322516044)</f>
        <v>9322516044</v>
      </c>
      <c r="E684" s="1" t="str">
        <f ca="1">IFERROR(__xludf.DUMMYFUNCTION("""COMPUTED_VALUE"""),"No")</f>
        <v>No</v>
      </c>
      <c r="F684" s="1" t="str">
        <f ca="1">IFERROR(__xludf.DUMMYFUNCTION("""COMPUTED_VALUE"""),"हिन्दी")</f>
        <v>हिन्दी</v>
      </c>
      <c r="G684" s="1" t="str">
        <f ca="1">IFERROR(__xludf.DUMMYFUNCTION("""COMPUTED_VALUE"""),"व्यक्ति निर्माण, युवा/विद्यार्थी एवं शिक्षक")</f>
        <v>व्यक्ति निर्माण, युवा/विद्यार्थी एवं शिक्षक</v>
      </c>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f ca="1">IFERROR(__xludf.DUMMYFUNCTION("""COMPUTED_VALUE"""),1)</f>
        <v>1</v>
      </c>
      <c r="BX684" s="1">
        <f ca="1">IFERROR(__xludf.DUMMYFUNCTION("""COMPUTED_VALUE"""),0)</f>
        <v>0</v>
      </c>
      <c r="BY684" s="1">
        <f ca="1">IFERROR(__xludf.DUMMYFUNCTION("""COMPUTED_VALUE"""),1)</f>
        <v>1</v>
      </c>
      <c r="BZ684" s="1">
        <f ca="1">IFERROR(__xludf.DUMMYFUNCTION("""COMPUTED_VALUE"""),0)</f>
        <v>0</v>
      </c>
      <c r="CA684" s="1"/>
      <c r="CB684" s="5">
        <f ca="1">IFERROR(__xludf.DUMMYFUNCTION("""COMPUTED_VALUE"""),45226.4725660185)</f>
        <v>45226.472566018499</v>
      </c>
      <c r="CC684" s="1" t="str">
        <f ca="1">IFERROR(__xludf.DUMMYFUNCTION("""COMPUTED_VALUE"""),"अपूर्णता से पूर्णता की ओर : Rare Book")</f>
        <v>अपूर्णता से पूर्णता की ओर : Rare Book</v>
      </c>
      <c r="CD684" s="3" t="str">
        <f ca="1">IFERROR(__xludf.DUMMYFUNCTION("""COMPUTED_VALUE"""),"https://vicharkrantibooks.org/productdetail?book_name=HINR0107_APURNATA_SE_PURNATA_KI_OR_xx2012&amp;product_id=1792")</f>
        <v>https://vicharkrantibooks.org/productdetail?book_name=HINR0107_APURNATA_SE_PURNATA_KI_OR_xx2012&amp;product_id=1792</v>
      </c>
      <c r="CE684" s="1" t="str">
        <f ca="1">IFERROR(__xludf.DUMMYFUNCTION("""COMPUTED_VALUE"""),"Audiobook : अपूर्णता से पूर्णता की ओर : Rare Book : meenumalhotra2000@yahoo.com : Recorded")</f>
        <v>Audiobook : अपूर्णता से पूर्णता की ओर : Rare Book : meenumalhotra2000@yahoo.com : Recorded</v>
      </c>
      <c r="CF684" s="1" t="str">
        <f ca="1">IFERROR(__xludf.DUMMYFUNCTION("""COMPUTED_VALUE"""),"#N/A")</f>
        <v>#N/A</v>
      </c>
      <c r="CG684" s="1" t="str">
        <f ca="1">IFERROR(__xludf.DUMMYFUNCTION("""COMPUTED_VALUE"""),"Adarniya Meenu malhotra ji अपूर्णता से पूर्णता की ओर : Rare Book : Allocated on 17-Oct-23 Contact Number  9322516044")</f>
        <v>Adarniya Meenu malhotra ji अपूर्णता से पूर्णता की ओर : Rare Book : Allocated on 17-Oct-23 Contact Number  9322516044</v>
      </c>
      <c r="CH684" s="1"/>
      <c r="CI684" s="1"/>
    </row>
    <row r="685" spans="1:87" x14ac:dyDescent="0.25">
      <c r="A685" s="5">
        <f ca="1">IFERROR(__xludf.DUMMYFUNCTION("""COMPUTED_VALUE"""),45216.4298605208)</f>
        <v>45216.429860520802</v>
      </c>
      <c r="B685" s="1" t="str">
        <f ca="1">IFERROR(__xludf.DUMMYFUNCTION("""COMPUTED_VALUE"""),"meenu.jangra78@gmail.com")</f>
        <v>meenu.jangra78@gmail.com</v>
      </c>
      <c r="C685" s="1" t="str">
        <f ca="1">IFERROR(__xludf.DUMMYFUNCTION("""COMPUTED_VALUE"""),"Suman Jangra ")</f>
        <v xml:space="preserve">Suman Jangra </v>
      </c>
      <c r="D685" s="1">
        <f ca="1">IFERROR(__xludf.DUMMYFUNCTION("""COMPUTED_VALUE"""),9987866424)</f>
        <v>9987866424</v>
      </c>
      <c r="E685" s="1" t="str">
        <f ca="1">IFERROR(__xludf.DUMMYFUNCTION("""COMPUTED_VALUE"""),"No")</f>
        <v>No</v>
      </c>
      <c r="F685" s="1" t="str">
        <f ca="1">IFERROR(__xludf.DUMMYFUNCTION("""COMPUTED_VALUE"""),"हिन्दी")</f>
        <v>हिन्दी</v>
      </c>
      <c r="G685" s="1" t="str">
        <f ca="1">IFERROR(__xludf.DUMMYFUNCTION("""COMPUTED_VALUE"""),"अध्यात्म, धर्म एवं दर्शन")</f>
        <v>अध्यात्म, धर्म एवं दर्शन</v>
      </c>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f ca="1">IFERROR(__xludf.DUMMYFUNCTION("""COMPUTED_VALUE"""),1)</f>
        <v>1</v>
      </c>
      <c r="BX685" s="1">
        <f ca="1">IFERROR(__xludf.DUMMYFUNCTION("""COMPUTED_VALUE"""),0)</f>
        <v>0</v>
      </c>
      <c r="BY685" s="1">
        <f ca="1">IFERROR(__xludf.DUMMYFUNCTION("""COMPUTED_VALUE"""),1)</f>
        <v>1</v>
      </c>
      <c r="BZ685" s="1">
        <f ca="1">IFERROR(__xludf.DUMMYFUNCTION("""COMPUTED_VALUE"""),0)</f>
        <v>0</v>
      </c>
      <c r="CA685" s="1"/>
      <c r="CB685" s="5">
        <f ca="1">IFERROR(__xludf.DUMMYFUNCTION("""COMPUTED_VALUE"""),45226.4298605208)</f>
        <v>45226.429860520802</v>
      </c>
      <c r="CC685" s="1" t="str">
        <f ca="1">IFERROR(__xludf.DUMMYFUNCTION("""COMPUTED_VALUE"""),"अध्यात्म का लक्ष्य आधार और प्रयोग : Rare Book")</f>
        <v>अध्यात्म का लक्ष्य आधार और प्रयोग : Rare Book</v>
      </c>
      <c r="CD685" s="3" t="str">
        <f ca="1">IFERROR(__xludf.DUMMYFUNCTION("""COMPUTED_VALUE"""),"https://vicharkrantibooks.org/productdetail?book_name=HINF0009_ADHYATM_KA_LAKSHY_ADHAR_AUR_PRAYOG_xxyyyy&amp;product_id=229")</f>
        <v>https://vicharkrantibooks.org/productdetail?book_name=HINF0009_ADHYATM_KA_LAKSHY_ADHAR_AUR_PRAYOG_xxyyyy&amp;product_id=229</v>
      </c>
      <c r="CE685" s="1" t="str">
        <f ca="1">IFERROR(__xludf.DUMMYFUNCTION("""COMPUTED_VALUE"""),"Audiobook : अध्यात्म का लक्ष्य आधार और प्रयोग : Rare Book : meenu.jangra78@gmail.com : Recorded")</f>
        <v>Audiobook : अध्यात्म का लक्ष्य आधार और प्रयोग : Rare Book : meenu.jangra78@gmail.com : Recorded</v>
      </c>
      <c r="CF685" s="1" t="str">
        <f ca="1">IFERROR(__xludf.DUMMYFUNCTION("""COMPUTED_VALUE"""),"#N/A")</f>
        <v>#N/A</v>
      </c>
      <c r="CG685" s="1" t="str">
        <f ca="1">IFERROR(__xludf.DUMMYFUNCTION("""COMPUTED_VALUE"""),"Adarniya Suman Jangra  ji अध्यात्म का लक्ष्य आधार और प्रयोग : Rare Book : Allocated on 17-Oct-23 Contact Number  9987866424")</f>
        <v>Adarniya Suman Jangra  ji अध्यात्म का लक्ष्य आधार और प्रयोग : Rare Book : Allocated on 17-Oct-23 Contact Number  9987866424</v>
      </c>
      <c r="CH685" s="1"/>
      <c r="CI685" s="1"/>
    </row>
    <row r="686" spans="1:87" x14ac:dyDescent="0.25">
      <c r="A686" s="5">
        <f ca="1">IFERROR(__xludf.DUMMYFUNCTION("""COMPUTED_VALUE"""),45216.3806847222)</f>
        <v>45216.3806847222</v>
      </c>
      <c r="B686" s="1" t="str">
        <f ca="1">IFERROR(__xludf.DUMMYFUNCTION("""COMPUTED_VALUE"""),"Sangeetapatidar76166@gmail.com")</f>
        <v>Sangeetapatidar76166@gmail.com</v>
      </c>
      <c r="C686" s="1" t="str">
        <f ca="1">IFERROR(__xludf.DUMMYFUNCTION("""COMPUTED_VALUE"""),"Sangeeta Patidar ")</f>
        <v xml:space="preserve">Sangeeta Patidar </v>
      </c>
      <c r="D686" s="1">
        <f ca="1">IFERROR(__xludf.DUMMYFUNCTION("""COMPUTED_VALUE"""),7566860914)</f>
        <v>7566860914</v>
      </c>
      <c r="E686" s="1" t="str">
        <f ca="1">IFERROR(__xludf.DUMMYFUNCTION("""COMPUTED_VALUE"""),"Yes")</f>
        <v>Yes</v>
      </c>
      <c r="F686" s="1" t="str">
        <f ca="1">IFERROR(__xludf.DUMMYFUNCTION("""COMPUTED_VALUE"""),"हिन्दी")</f>
        <v>हिन्दी</v>
      </c>
      <c r="G686" s="1" t="str">
        <f ca="1">IFERROR(__xludf.DUMMYFUNCTION("""COMPUTED_VALUE"""),"जीवन प्रबंध")</f>
        <v>जीवन प्रबंध</v>
      </c>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f ca="1">IFERROR(__xludf.DUMMYFUNCTION("""COMPUTED_VALUE"""),1)</f>
        <v>1</v>
      </c>
      <c r="BX686" s="1">
        <f ca="1">IFERROR(__xludf.DUMMYFUNCTION("""COMPUTED_VALUE"""),0)</f>
        <v>0</v>
      </c>
      <c r="BY686" s="1">
        <f ca="1">IFERROR(__xludf.DUMMYFUNCTION("""COMPUTED_VALUE"""),1)</f>
        <v>1</v>
      </c>
      <c r="BZ686" s="1">
        <f ca="1">IFERROR(__xludf.DUMMYFUNCTION("""COMPUTED_VALUE"""),0)</f>
        <v>0</v>
      </c>
      <c r="CA686" s="1"/>
      <c r="CB686" s="5">
        <f ca="1">IFERROR(__xludf.DUMMYFUNCTION("""COMPUTED_VALUE"""),45226.3806847222)</f>
        <v>45226.3806847222</v>
      </c>
      <c r="CC686" s="1" t="str">
        <f ca="1">IFERROR(__xludf.DUMMYFUNCTION("""COMPUTED_VALUE"""),"कर्तव्य परायणता मानव जीवन की आधारशिला : Rare Book")</f>
        <v>कर्तव्य परायणता मानव जीवन की आधारशिला : Rare Book</v>
      </c>
      <c r="CD686" s="3" t="str">
        <f ca="1">IFERROR(__xludf.DUMMYFUNCTION("""COMPUTED_VALUE"""),"https://vicharkrantibooks.org/productdetail?product_id=367")</f>
        <v>https://vicharkrantibooks.org/productdetail?product_id=367</v>
      </c>
      <c r="CE686" s="1" t="str">
        <f ca="1">IFERROR(__xludf.DUMMYFUNCTION("""COMPUTED_VALUE"""),"Audiobook : कर्तव्य परायणता मानव जीवन की आधारशिला : Rare Book : Sangeetapatidar76166@gmail.com : Recorded")</f>
        <v>Audiobook : कर्तव्य परायणता मानव जीवन की आधारशिला : Rare Book : Sangeetapatidar76166@gmail.com : Recorded</v>
      </c>
      <c r="CF686" s="1" t="str">
        <f ca="1">IFERROR(__xludf.DUMMYFUNCTION("""COMPUTED_VALUE"""),"#N/A")</f>
        <v>#N/A</v>
      </c>
      <c r="CG686" s="1" t="str">
        <f ca="1">IFERROR(__xludf.DUMMYFUNCTION("""COMPUTED_VALUE"""),"Adarniya Sangeeta Patidar  ji कर्तव्य परायणता मानव जीवन की आधारशिला : Rare Book : Allocated on 17-Oct-23 Contact Number  7566860914")</f>
        <v>Adarniya Sangeeta Patidar  ji कर्तव्य परायणता मानव जीवन की आधारशिला : Rare Book : Allocated on 17-Oct-23 Contact Number  7566860914</v>
      </c>
      <c r="CH686" s="1"/>
      <c r="CI686" s="1"/>
    </row>
    <row r="687" spans="1:87" x14ac:dyDescent="0.25">
      <c r="A687" s="5">
        <f ca="1">IFERROR(__xludf.DUMMYFUNCTION("""COMPUTED_VALUE"""),45216.3187734027)</f>
        <v>45216.318773402701</v>
      </c>
      <c r="B687" s="1" t="str">
        <f ca="1">IFERROR(__xludf.DUMMYFUNCTION("""COMPUTED_VALUE"""),"bh.sangeeta85@gmail.com")</f>
        <v>bh.sangeeta85@gmail.com</v>
      </c>
      <c r="C687" s="1" t="str">
        <f ca="1">IFERROR(__xludf.DUMMYFUNCTION("""COMPUTED_VALUE"""),"Sangeeta Bhardwaj ")</f>
        <v xml:space="preserve">Sangeeta Bhardwaj </v>
      </c>
      <c r="D687" s="1">
        <f ca="1">IFERROR(__xludf.DUMMYFUNCTION("""COMPUTED_VALUE"""),9871997860)</f>
        <v>9871997860</v>
      </c>
      <c r="E687" s="1" t="str">
        <f ca="1">IFERROR(__xludf.DUMMYFUNCTION("""COMPUTED_VALUE"""),"No")</f>
        <v>No</v>
      </c>
      <c r="F687" s="1" t="str">
        <f ca="1">IFERROR(__xludf.DUMMYFUNCTION("""COMPUTED_VALUE"""),"हिन्दी")</f>
        <v>हिन्दी</v>
      </c>
      <c r="G687" s="1" t="str">
        <f ca="1">IFERROR(__xludf.DUMMYFUNCTION("""COMPUTED_VALUE"""),"परिवार निर्माण")</f>
        <v>परिवार निर्माण</v>
      </c>
      <c r="H687" s="1"/>
      <c r="I687" s="1"/>
      <c r="J687" s="1"/>
      <c r="K687" s="1"/>
      <c r="L687" s="1"/>
      <c r="M687" s="1" t="str">
        <f ca="1">IFERROR(__xludf.DUMMYFUNCTION("""COMPUTED_VALUE"""),"परिवार")</f>
        <v>परिवार</v>
      </c>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f ca="1">IFERROR(__xludf.DUMMYFUNCTION("""COMPUTED_VALUE"""),2)</f>
        <v>2</v>
      </c>
      <c r="BX687" s="1">
        <f ca="1">IFERROR(__xludf.DUMMYFUNCTION("""COMPUTED_VALUE"""),0)</f>
        <v>0</v>
      </c>
      <c r="BY687" s="1">
        <f ca="1">IFERROR(__xludf.DUMMYFUNCTION("""COMPUTED_VALUE"""),2)</f>
        <v>2</v>
      </c>
      <c r="BZ687" s="1">
        <f ca="1">IFERROR(__xludf.DUMMYFUNCTION("""COMPUTED_VALUE"""),0)</f>
        <v>0</v>
      </c>
      <c r="CA687" s="1"/>
      <c r="CB687" s="5">
        <f ca="1">IFERROR(__xludf.DUMMYFUNCTION("""COMPUTED_VALUE"""),45226.3187734027)</f>
        <v>45226.318773402701</v>
      </c>
      <c r="CC687" s="1" t="str">
        <f ca="1">IFERROR(__xludf.DUMMYFUNCTION("""COMPUTED_VALUE"""),"अभीष्ट क्षमता हो तो ही प्रजनन का साहस करें : Rare Book")</f>
        <v>अभीष्ट क्षमता हो तो ही प्रजनन का साहस करें : Rare Book</v>
      </c>
      <c r="CD687" s="3" t="str">
        <f ca="1">IFERROR(__xludf.DUMMYFUNCTION("""COMPUTED_VALUE"""),"https://vicharkrantibooks.org/productdetail?book_name=HINF0001_ABHIST_KSHAMATA_HO_TO_HI_PRAJANAN_KA_SAHAS_KAREN_xxyyyy&amp;product_id=221")</f>
        <v>https://vicharkrantibooks.org/productdetail?book_name=HINF0001_ABHIST_KSHAMATA_HO_TO_HI_PRAJANAN_KA_SAHAS_KAREN_xxyyyy&amp;product_id=221</v>
      </c>
      <c r="CE687" s="1" t="str">
        <f ca="1">IFERROR(__xludf.DUMMYFUNCTION("""COMPUTED_VALUE"""),"Audiobook : अभीष्ट क्षमता हो तो ही प्रजनन का साहस करें : Rare Book : bh.sangeeta85@gmail.com : Recorded")</f>
        <v>Audiobook : अभीष्ट क्षमता हो तो ही प्रजनन का साहस करें : Rare Book : bh.sangeeta85@gmail.com : Recorded</v>
      </c>
      <c r="CF687" s="1" t="str">
        <f ca="1">IFERROR(__xludf.DUMMYFUNCTION("""COMPUTED_VALUE"""),"#N/A")</f>
        <v>#N/A</v>
      </c>
      <c r="CG687" s="1" t="str">
        <f ca="1">IFERROR(__xludf.DUMMYFUNCTION("""COMPUTED_VALUE"""),"Adarniya Sangeeta Bhardwaj  ji अभीष्ट क्षमता हो तो ही प्रजनन का साहस करें : Rare Book : Allocated on 17-Oct-23 Contact Number  9871997860")</f>
        <v>Adarniya Sangeeta Bhardwaj  ji अभीष्ट क्षमता हो तो ही प्रजनन का साहस करें : Rare Book : Allocated on 17-Oct-23 Contact Number  9871997860</v>
      </c>
      <c r="CH687" s="1"/>
      <c r="CI687" s="1"/>
    </row>
    <row r="688" spans="1:87" x14ac:dyDescent="0.25">
      <c r="A688" s="5">
        <f ca="1">IFERROR(__xludf.DUMMYFUNCTION("""COMPUTED_VALUE"""),45216.3184609259)</f>
        <v>45216.318460925897</v>
      </c>
      <c r="B688" s="1" t="str">
        <f ca="1">IFERROR(__xludf.DUMMYFUNCTION("""COMPUTED_VALUE"""),"iamleenasinha@gmail.com")</f>
        <v>iamleenasinha@gmail.com</v>
      </c>
      <c r="C688" s="1" t="str">
        <f ca="1">IFERROR(__xludf.DUMMYFUNCTION("""COMPUTED_VALUE"""),"Dr Leena Sinha")</f>
        <v>Dr Leena Sinha</v>
      </c>
      <c r="D688" s="1" t="str">
        <f ca="1">IFERROR(__xludf.DUMMYFUNCTION("""COMPUTED_VALUE"""),"+919312571448")</f>
        <v>+919312571448</v>
      </c>
      <c r="E688" s="1" t="str">
        <f ca="1">IFERROR(__xludf.DUMMYFUNCTION("""COMPUTED_VALUE"""),"Yes")</f>
        <v>Yes</v>
      </c>
      <c r="F688" s="1" t="str">
        <f ca="1">IFERROR(__xludf.DUMMYFUNCTION("""COMPUTED_VALUE"""),"हिन्दी")</f>
        <v>हिन्दी</v>
      </c>
      <c r="G688" s="1" t="str">
        <f ca="1">IFERROR(__xludf.DUMMYFUNCTION("""COMPUTED_VALUE"""),"वैज्ञानिक अध्यात्मवाद का प्रतिपादन")</f>
        <v>वैज्ञानिक अध्यात्मवाद का प्रतिपादन</v>
      </c>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f ca="1">IFERROR(__xludf.DUMMYFUNCTION("""COMPUTED_VALUE"""),1)</f>
        <v>1</v>
      </c>
      <c r="BX688" s="1">
        <f ca="1">IFERROR(__xludf.DUMMYFUNCTION("""COMPUTED_VALUE"""),0)</f>
        <v>0</v>
      </c>
      <c r="BY688" s="1">
        <f ca="1">IFERROR(__xludf.DUMMYFUNCTION("""COMPUTED_VALUE"""),1)</f>
        <v>1</v>
      </c>
      <c r="BZ688" s="1">
        <f ca="1">IFERROR(__xludf.DUMMYFUNCTION("""COMPUTED_VALUE"""),0)</f>
        <v>0</v>
      </c>
      <c r="CA688" s="1"/>
      <c r="CB688" s="5">
        <f ca="1">IFERROR(__xludf.DUMMYFUNCTION("""COMPUTED_VALUE"""),45226.3184609259)</f>
        <v>45226.318460925897</v>
      </c>
      <c r="CC688" s="1" t="str">
        <f ca="1">IFERROR(__xludf.DUMMYFUNCTION("""COMPUTED_VALUE"""),"अध्यात्म और विज्ञान के समन्वय की शोध प्रक्रिया : Rare Book")</f>
        <v>अध्यात्म और विज्ञान के समन्वय की शोध प्रक्रिया : Rare Book</v>
      </c>
      <c r="CD688" s="3" t="str">
        <f ca="1">IFERROR(__xludf.DUMMYFUNCTION("""COMPUTED_VALUE"""),"https://vicharkrantibooks.org/productdetail?book_name=HINF0007_ADHYATM_AUR_VIGYAN_KE_SAMANVAY_KI_SHODH_PRAKRIYA_xxyyyy&amp;product_id=227")</f>
        <v>https://vicharkrantibooks.org/productdetail?book_name=HINF0007_ADHYATM_AUR_VIGYAN_KE_SAMANVAY_KI_SHODH_PRAKRIYA_xxyyyy&amp;product_id=227</v>
      </c>
      <c r="CE688" s="1" t="str">
        <f ca="1">IFERROR(__xludf.DUMMYFUNCTION("""COMPUTED_VALUE"""),"Audiobook : अध्यात्म और विज्ञान के समन्वय की शोध प्रक्रिया : Rare Book : iamleenasinha@gmail.com : Recorded")</f>
        <v>Audiobook : अध्यात्म और विज्ञान के समन्वय की शोध प्रक्रिया : Rare Book : iamleenasinha@gmail.com : Recorded</v>
      </c>
      <c r="CF688" s="1" t="str">
        <f ca="1">IFERROR(__xludf.DUMMYFUNCTION("""COMPUTED_VALUE"""),"#N/A")</f>
        <v>#N/A</v>
      </c>
      <c r="CG688" s="1" t="str">
        <f ca="1">IFERROR(__xludf.DUMMYFUNCTION("""COMPUTED_VALUE"""),"Adarniya Dr Leena Sinha ji अध्यात्म और विज्ञान के समन्वय की शोध प्रक्रिया : Rare Book : Allocated on 17-Oct-23 Contact Number  +919312571448")</f>
        <v>Adarniya Dr Leena Sinha ji अध्यात्म और विज्ञान के समन्वय की शोध प्रक्रिया : Rare Book : Allocated on 17-Oct-23 Contact Number  +919312571448</v>
      </c>
      <c r="CH688" s="1"/>
      <c r="CI688" s="1"/>
    </row>
    <row r="689" spans="1:87" x14ac:dyDescent="0.25">
      <c r="A689" s="5">
        <f ca="1">IFERROR(__xludf.DUMMYFUNCTION("""COMPUTED_VALUE"""),45216.3148529861)</f>
        <v>45216.314852986099</v>
      </c>
      <c r="B689" s="1" t="str">
        <f ca="1">IFERROR(__xludf.DUMMYFUNCTION("""COMPUTED_VALUE"""),"dharvasoni@gmail.com")</f>
        <v>dharvasoni@gmail.com</v>
      </c>
      <c r="C689" s="1" t="str">
        <f ca="1">IFERROR(__xludf.DUMMYFUNCTION("""COMPUTED_VALUE"""),"Soni ")</f>
        <v xml:space="preserve">Soni </v>
      </c>
      <c r="D689" s="1">
        <f ca="1">IFERROR(__xludf.DUMMYFUNCTION("""COMPUTED_VALUE"""),8319428199)</f>
        <v>8319428199</v>
      </c>
      <c r="E689" s="1" t="str">
        <f ca="1">IFERROR(__xludf.DUMMYFUNCTION("""COMPUTED_VALUE"""),"Yes")</f>
        <v>Yes</v>
      </c>
      <c r="F689" s="1" t="str">
        <f ca="1">IFERROR(__xludf.DUMMYFUNCTION("""COMPUTED_VALUE"""),"हिन्दी")</f>
        <v>हिन्दी</v>
      </c>
      <c r="G689" s="1" t="str">
        <f ca="1">IFERROR(__xludf.DUMMYFUNCTION("""COMPUTED_VALUE"""),"समग्र स्वास्थ्य")</f>
        <v>समग्र स्वास्थ्य</v>
      </c>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f ca="1">IFERROR(__xludf.DUMMYFUNCTION("""COMPUTED_VALUE"""),1)</f>
        <v>1</v>
      </c>
      <c r="BX689" s="1">
        <f ca="1">IFERROR(__xludf.DUMMYFUNCTION("""COMPUTED_VALUE"""),0)</f>
        <v>0</v>
      </c>
      <c r="BY689" s="1">
        <f ca="1">IFERROR(__xludf.DUMMYFUNCTION("""COMPUTED_VALUE"""),1)</f>
        <v>1</v>
      </c>
      <c r="BZ689" s="1">
        <f ca="1">IFERROR(__xludf.DUMMYFUNCTION("""COMPUTED_VALUE"""),0)</f>
        <v>0</v>
      </c>
      <c r="CA689" s="1"/>
      <c r="CB689" s="5">
        <f ca="1">IFERROR(__xludf.DUMMYFUNCTION("""COMPUTED_VALUE"""),45226.3148529861)</f>
        <v>45226.314852986099</v>
      </c>
      <c r="CC689" s="1" t="str">
        <f ca="1">IFERROR(__xludf.DUMMYFUNCTION("""COMPUTED_VALUE"""),"उत्कृष्ट चिन्तन ही समग्र प्रगति का एक मात्र आधार : Rare Book")</f>
        <v>उत्कृष्ट चिन्तन ही समग्र प्रगति का एक मात्र आधार : Rare Book</v>
      </c>
      <c r="CD689" s="3" t="str">
        <f ca="1">IFERROR(__xludf.DUMMYFUNCTION("""COMPUTED_VALUE"""),"https://vicharkrantibooks.org/productdetail?book_name=HINF0305_UTKRUSHT_CHINTAN_HI_SAMAGR_PRAGATI_KA_EK_MATR_ADHAR_xxyyyy&amp;product_id=525")</f>
        <v>https://vicharkrantibooks.org/productdetail?book_name=HINF0305_UTKRUSHT_CHINTAN_HI_SAMAGR_PRAGATI_KA_EK_MATR_ADHAR_xxyyyy&amp;product_id=525</v>
      </c>
      <c r="CE689" s="1" t="str">
        <f ca="1">IFERROR(__xludf.DUMMYFUNCTION("""COMPUTED_VALUE"""),"Audiobook : उत्कृष्ट चिन्तन ही समग्र प्रगति का एक मात्र आधार : Rare Book : dharvasoni@gmail.com : Recorded")</f>
        <v>Audiobook : उत्कृष्ट चिन्तन ही समग्र प्रगति का एक मात्र आधार : Rare Book : dharvasoni@gmail.com : Recorded</v>
      </c>
      <c r="CF689" s="1" t="str">
        <f ca="1">IFERROR(__xludf.DUMMYFUNCTION("""COMPUTED_VALUE"""),"#N/A")</f>
        <v>#N/A</v>
      </c>
      <c r="CG689" s="1" t="str">
        <f ca="1">IFERROR(__xludf.DUMMYFUNCTION("""COMPUTED_VALUE"""),"Adarniya Soni  ji उत्कृष्ट चिन्तन ही समग्र प्रगति का एक मात्र आधार : Rare Book : Allocated on 17-Oct-23 Contact Number  8319428199")</f>
        <v>Adarniya Soni  ji उत्कृष्ट चिन्तन ही समग्र प्रगति का एक मात्र आधार : Rare Book : Allocated on 17-Oct-23 Contact Number  8319428199</v>
      </c>
      <c r="CH689" s="1"/>
      <c r="CI689" s="1"/>
    </row>
    <row r="690" spans="1:87" x14ac:dyDescent="0.25">
      <c r="A690" s="5">
        <f ca="1">IFERROR(__xludf.DUMMYFUNCTION("""COMPUTED_VALUE"""),45215.723486956)</f>
        <v>45215.723486955998</v>
      </c>
      <c r="B690" s="1" t="str">
        <f ca="1">IFERROR(__xludf.DUMMYFUNCTION("""COMPUTED_VALUE"""),"druma4107@gmail.com")</f>
        <v>druma4107@gmail.com</v>
      </c>
      <c r="C690" s="1" t="str">
        <f ca="1">IFERROR(__xludf.DUMMYFUNCTION("""COMPUTED_VALUE"""),"Dr Uma Agrawal ")</f>
        <v xml:space="preserve">Dr Uma Agrawal </v>
      </c>
      <c r="D690" s="1">
        <f ca="1">IFERROR(__xludf.DUMMYFUNCTION("""COMPUTED_VALUE"""),9410861182)</f>
        <v>9410861182</v>
      </c>
      <c r="E690" s="1" t="str">
        <f ca="1">IFERROR(__xludf.DUMMYFUNCTION("""COMPUTED_VALUE"""),"Yes")</f>
        <v>Yes</v>
      </c>
      <c r="F690" s="1" t="str">
        <f ca="1">IFERROR(__xludf.DUMMYFUNCTION("""COMPUTED_VALUE"""),"हिन्दी")</f>
        <v>हिन्दी</v>
      </c>
      <c r="G690" s="1" t="str">
        <f ca="1">IFERROR(__xludf.DUMMYFUNCTION("""COMPUTED_VALUE"""),"समाज निर्माण")</f>
        <v>समाज निर्माण</v>
      </c>
      <c r="H690" s="1"/>
      <c r="I690" s="1"/>
      <c r="J690" s="1"/>
      <c r="K690" s="1"/>
      <c r="L690" s="1"/>
      <c r="M690" s="1"/>
      <c r="N690" s="1"/>
      <c r="O690" s="1"/>
      <c r="P690" s="1"/>
      <c r="Q690" s="1"/>
      <c r="R690" s="1"/>
      <c r="S690" s="1"/>
      <c r="T690" s="1"/>
      <c r="U690" s="1"/>
      <c r="V690" s="1" t="str">
        <f ca="1">IFERROR(__xludf.DUMMYFUNCTION("""COMPUTED_VALUE"""),"लोकसेवियों के लिए दिशाबोध")</f>
        <v>लोकसेवियों के लिए दिशाबोध</v>
      </c>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f ca="1">IFERROR(__xludf.DUMMYFUNCTION("""COMPUTED_VALUE"""),104)</f>
        <v>104</v>
      </c>
      <c r="BX690" s="1">
        <f ca="1">IFERROR(__xludf.DUMMYFUNCTION("""COMPUTED_VALUE"""),106)</f>
        <v>106</v>
      </c>
      <c r="BY690" s="1">
        <f ca="1">IFERROR(__xludf.DUMMYFUNCTION("""COMPUTED_VALUE"""),9)</f>
        <v>9</v>
      </c>
      <c r="BZ690" s="1">
        <f ca="1">IFERROR(__xludf.DUMMYFUNCTION("""COMPUTED_VALUE"""),43)</f>
        <v>43</v>
      </c>
      <c r="CA690" s="1"/>
      <c r="CB690" s="1"/>
      <c r="CC690" s="1" t="str">
        <f ca="1">IFERROR(__xludf.DUMMYFUNCTION("""COMPUTED_VALUE"""),"अंधविश्वास से लाभ कुछ नहीं हानि अपार है : H_SN_49")</f>
        <v>अंधविश्वास से लाभ कुछ नहीं हानि अपार है : H_SN_49</v>
      </c>
      <c r="CD690" s="3" t="str">
        <f ca="1">IFERROR(__xludf.DUMMYFUNCTION("""COMPUTED_VALUE"""),"https://vicharkrantibooks.org/productdetail?product_id=1750")</f>
        <v>https://vicharkrantibooks.org/productdetail?product_id=1750</v>
      </c>
      <c r="CE690" s="1" t="str">
        <f ca="1">IFERROR(__xludf.DUMMYFUNCTION("""COMPUTED_VALUE"""),"Audiobook : अंधविश्वास से लाभ कुछ नहीं हानि अपार है : H_SN_49 : druma4107@gmail.com : Recorded")</f>
        <v>Audiobook : अंधविश्वास से लाभ कुछ नहीं हानि अपार है : H_SN_49 : druma4107@gmail.com : Recorded</v>
      </c>
      <c r="CF690" s="1" t="str">
        <f ca="1">IFERROR(__xludf.DUMMYFUNCTION("""COMPUTED_VALUE"""),"Audiobook : अंधविश्वास से लाभ कुछ नहीं हानि अपार है : H_SN_49 : druma4107@gmail.com : Recorded")</f>
        <v>Audiobook : अंधविश्वास से लाभ कुछ नहीं हानि अपार है : H_SN_49 : druma4107@gmail.com : Recorded</v>
      </c>
      <c r="CG690" s="1" t="str">
        <f ca="1">IFERROR(__xludf.DUMMYFUNCTION("""COMPUTED_VALUE"""),"Adarniya Dr Uma Agrawal  ji अंधविश्वास से लाभ कुछ नहीं हानि अपार है : H_SN_49 : Allocated on 16-Oct-23 Contact Number  9410861182")</f>
        <v>Adarniya Dr Uma Agrawal  ji अंधविश्वास से लाभ कुछ नहीं हानि अपार है : H_SN_49 : Allocated on 16-Oct-23 Contact Number  9410861182</v>
      </c>
      <c r="CH690" s="1"/>
      <c r="CI690" s="1"/>
    </row>
    <row r="691" spans="1:87" x14ac:dyDescent="0.25">
      <c r="A691" s="5">
        <f ca="1">IFERROR(__xludf.DUMMYFUNCTION("""COMPUTED_VALUE"""),45213.4144702893)</f>
        <v>45213.414470289303</v>
      </c>
      <c r="B691" s="1" t="str">
        <f ca="1">IFERROR(__xludf.DUMMYFUNCTION("""COMPUTED_VALUE"""),"noopurpk@hotmail.com")</f>
        <v>noopurpk@hotmail.com</v>
      </c>
      <c r="C691" s="1" t="str">
        <f ca="1">IFERROR(__xludf.DUMMYFUNCTION("""COMPUTED_VALUE"""),"Noopur Srivastava")</f>
        <v>Noopur Srivastava</v>
      </c>
      <c r="D691" s="1">
        <f ca="1">IFERROR(__xludf.DUMMYFUNCTION("""COMPUTED_VALUE"""),7803409966)</f>
        <v>7803409966</v>
      </c>
      <c r="E691" s="1" t="str">
        <f ca="1">IFERROR(__xludf.DUMMYFUNCTION("""COMPUTED_VALUE"""),"Yes")</f>
        <v>Yes</v>
      </c>
      <c r="F691" s="1" t="str">
        <f ca="1">IFERROR(__xludf.DUMMYFUNCTION("""COMPUTED_VALUE"""),"हिन्दी or English")</f>
        <v>हिन्दी or English</v>
      </c>
      <c r="G691" s="1" t="str">
        <f ca="1">IFERROR(__xludf.DUMMYFUNCTION("""COMPUTED_VALUE"""),"समग्र स्वास्थ्य")</f>
        <v>समग्र स्वास्थ्य</v>
      </c>
      <c r="H691" s="1"/>
      <c r="I691" s="1"/>
      <c r="J691" s="1"/>
      <c r="K691" s="1"/>
      <c r="L691" s="1"/>
      <c r="M691" s="1"/>
      <c r="N691" s="1"/>
      <c r="O691" s="1"/>
      <c r="P691" s="1"/>
      <c r="Q691" s="1"/>
      <c r="R691" s="1"/>
      <c r="S691" s="1"/>
      <c r="T691" s="1"/>
      <c r="U691" s="1" t="str">
        <f ca="1">IFERROR(__xludf.DUMMYFUNCTION("""COMPUTED_VALUE"""),"मानसिक स्वास्थ्य")</f>
        <v>मानसिक स्वास्थ्य</v>
      </c>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f ca="1">IFERROR(__xludf.DUMMYFUNCTION("""COMPUTED_VALUE"""),2)</f>
        <v>2</v>
      </c>
      <c r="BX691" s="1">
        <f ca="1">IFERROR(__xludf.DUMMYFUNCTION("""COMPUTED_VALUE"""),1)</f>
        <v>1</v>
      </c>
      <c r="BY691" s="1">
        <f ca="1">IFERROR(__xludf.DUMMYFUNCTION("""COMPUTED_VALUE"""),1)</f>
        <v>1</v>
      </c>
      <c r="BZ691" s="1">
        <f ca="1">IFERROR(__xludf.DUMMYFUNCTION("""COMPUTED_VALUE"""),0)</f>
        <v>0</v>
      </c>
      <c r="CA691" s="1"/>
      <c r="CB691" s="5">
        <f ca="1">IFERROR(__xludf.DUMMYFUNCTION("""COMPUTED_VALUE"""),45223.4144702893)</f>
        <v>45223.414470289303</v>
      </c>
      <c r="CC691" s="1" t="str">
        <f ca="1">IFERROR(__xludf.DUMMYFUNCTION("""COMPUTED_VALUE"""),"आहार पौष्टिक ही नहीं सात्विक भी हो : Rare Book")</f>
        <v>आहार पौष्टिक ही नहीं सात्विक भी हो : Rare Book</v>
      </c>
      <c r="CD691" s="3" t="str">
        <f ca="1">IFERROR(__xludf.DUMMYFUNCTION("""COMPUTED_VALUE"""),"https://vicharkrantibooks.org/productdetail?book_name=HINF0022_AHAR_PAUSHTIK_HI_NAHI_SATVIK_BHI_HO_xxyyyy&amp;product_id=242")</f>
        <v>https://vicharkrantibooks.org/productdetail?book_name=HINF0022_AHAR_PAUSHTIK_HI_NAHI_SATVIK_BHI_HO_xxyyyy&amp;product_id=242</v>
      </c>
      <c r="CE691" s="1" t="str">
        <f ca="1">IFERROR(__xludf.DUMMYFUNCTION("""COMPUTED_VALUE"""),"Audiobook : आहार पौष्टिक ही नहीं सात्विक भी हो : Rare Book : noopurpk@hotmail.com : Recorded")</f>
        <v>Audiobook : आहार पौष्टिक ही नहीं सात्विक भी हो : Rare Book : noopurpk@hotmail.com : Recorded</v>
      </c>
      <c r="CF691" s="1" t="str">
        <f ca="1">IFERROR(__xludf.DUMMYFUNCTION("""COMPUTED_VALUE"""),"Audiobook : आहार पौष्टिक ही नहीं सात्विक भी हो : Rare Book : noopurpk@hotmail.com : Recorded")</f>
        <v>Audiobook : आहार पौष्टिक ही नहीं सात्विक भी हो : Rare Book : noopurpk@hotmail.com : Recorded</v>
      </c>
      <c r="CG691" s="1" t="str">
        <f ca="1">IFERROR(__xludf.DUMMYFUNCTION("""COMPUTED_VALUE"""),"Adarniya Noopur Srivastava ji आहार पौष्टिक ही नहीं सात्विक भी हो : Rare Book : Allocated on 14-Oct-23 Contact Number  7803409966")</f>
        <v>Adarniya Noopur Srivastava ji आहार पौष्टिक ही नहीं सात्विक भी हो : Rare Book : Allocated on 14-Oct-23 Contact Number  7803409966</v>
      </c>
      <c r="CH691" s="1"/>
      <c r="CI691" s="1"/>
    </row>
    <row r="692" spans="1:87" x14ac:dyDescent="0.25">
      <c r="A692" s="5">
        <f ca="1">IFERROR(__xludf.DUMMYFUNCTION("""COMPUTED_VALUE"""),45212.8074988425)</f>
        <v>45212.8074988425</v>
      </c>
      <c r="B692" s="1" t="str">
        <f ca="1">IFERROR(__xludf.DUMMYFUNCTION("""COMPUTED_VALUE"""),"csprasad108@gmail.com")</f>
        <v>csprasad108@gmail.com</v>
      </c>
      <c r="C692" s="1" t="str">
        <f ca="1">IFERROR(__xludf.DUMMYFUNCTION("""COMPUTED_VALUE"""),"Kumkum prasad")</f>
        <v>Kumkum prasad</v>
      </c>
      <c r="D692" s="1">
        <f ca="1">IFERROR(__xludf.DUMMYFUNCTION("""COMPUTED_VALUE"""),7978055621)</f>
        <v>7978055621</v>
      </c>
      <c r="E692" s="1"/>
      <c r="F692" s="1" t="str">
        <f ca="1">IFERROR(__xludf.DUMMYFUNCTION("""COMPUTED_VALUE"""),"हिन्दी")</f>
        <v>हिन्दी</v>
      </c>
      <c r="G692" s="1" t="str">
        <f ca="1">IFERROR(__xludf.DUMMYFUNCTION("""COMPUTED_VALUE"""),"युग द्रष्टा पं. श्रीराम शर्मा आचार्यजी")</f>
        <v>युग द्रष्टा पं. श्रीराम शर्मा आचार्यजी</v>
      </c>
      <c r="H692" s="1"/>
      <c r="I692" s="1"/>
      <c r="J692" s="1"/>
      <c r="K692" s="1"/>
      <c r="L692" s="1"/>
      <c r="M692" s="1"/>
      <c r="N692" s="1"/>
      <c r="O692" s="1"/>
      <c r="P692" s="1" t="str">
        <f ca="1">IFERROR(__xludf.DUMMYFUNCTION("""COMPUTED_VALUE"""),"युगॠषी की अमृतवाणी")</f>
        <v>युगॠषी की अमृतवाणी</v>
      </c>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f ca="1">IFERROR(__xludf.DUMMYFUNCTION("""COMPUTED_VALUE"""),52)</f>
        <v>52</v>
      </c>
      <c r="BX692" s="1">
        <f ca="1">IFERROR(__xludf.DUMMYFUNCTION("""COMPUTED_VALUE"""),54)</f>
        <v>54</v>
      </c>
      <c r="BY692" s="1">
        <f ca="1">IFERROR(__xludf.DUMMYFUNCTION("""COMPUTED_VALUE"""),3)</f>
        <v>3</v>
      </c>
      <c r="BZ692" s="1">
        <f ca="1">IFERROR(__xludf.DUMMYFUNCTION("""COMPUTED_VALUE"""),24)</f>
        <v>24</v>
      </c>
      <c r="CA692" s="1"/>
      <c r="CB692" s="1"/>
      <c r="CC692" s="1" t="str">
        <f ca="1">IFERROR(__xludf.DUMMYFUNCTION("""COMPUTED_VALUE"""),"आत्मीयता का अमृत और उसका रसास्वादन : Rare Book")</f>
        <v>आत्मीयता का अमृत और उसका रसास्वादन : Rare Book</v>
      </c>
      <c r="CD692" s="3" t="str">
        <f ca="1">IFERROR(__xludf.DUMMYFUNCTION("""COMPUTED_VALUE"""),"https://vicharkrantibooks.org/productdetail?book_name=HINP0107_ATMIYATA_KA_AMRUT_AUR_USAKA_RASASVADAN_xx1981&amp;product_id=672")</f>
        <v>https://vicharkrantibooks.org/productdetail?book_name=HINP0107_ATMIYATA_KA_AMRUT_AUR_USAKA_RASASVADAN_xx1981&amp;product_id=672</v>
      </c>
      <c r="CE692" s="1" t="str">
        <f ca="1">IFERROR(__xludf.DUMMYFUNCTION("""COMPUTED_VALUE"""),"Audiobook : आत्मीयता का अमृत और उसका रसास्वादन : Rare Book : csprasad108@gmail.com : Recorded")</f>
        <v>Audiobook : आत्मीयता का अमृत और उसका रसास्वादन : Rare Book : csprasad108@gmail.com : Recorded</v>
      </c>
      <c r="CF692" s="1" t="str">
        <f ca="1">IFERROR(__xludf.DUMMYFUNCTION("""COMPUTED_VALUE"""),"Audiobook : आत्मीयता का अमृत और उसका रसास्वादन : Rare Book : csprasad108@gmail.com : Recorded")</f>
        <v>Audiobook : आत्मीयता का अमृत और उसका रसास्वादन : Rare Book : csprasad108@gmail.com : Recorded</v>
      </c>
      <c r="CG692" s="1" t="str">
        <f ca="1">IFERROR(__xludf.DUMMYFUNCTION("""COMPUTED_VALUE"""),"Adarniya Kumkum prasad ji आत्मीयता का अमृत और उसका रसास्वादन : Rare Book : Allocated on 13-Oct-23 Contact Number  7978055621")</f>
        <v>Adarniya Kumkum prasad ji आत्मीयता का अमृत और उसका रसास्वादन : Rare Book : Allocated on 13-Oct-23 Contact Number  7978055621</v>
      </c>
      <c r="CH692" s="1"/>
      <c r="CI692" s="1"/>
    </row>
    <row r="693" spans="1:87" x14ac:dyDescent="0.25">
      <c r="A693" s="5">
        <f ca="1">IFERROR(__xludf.DUMMYFUNCTION("""COMPUTED_VALUE"""),45212.7561172685)</f>
        <v>45212.756117268502</v>
      </c>
      <c r="B693" s="1" t="str">
        <f ca="1">IFERROR(__xludf.DUMMYFUNCTION("""COMPUTED_VALUE"""),"brphodmba@gmail.com")</f>
        <v>brphodmba@gmail.com</v>
      </c>
      <c r="C693" s="1" t="str">
        <f ca="1">IFERROR(__xludf.DUMMYFUNCTION("""COMPUTED_VALUE"""),"Dr. Baidyanath Ram Prajapati")</f>
        <v>Dr. Baidyanath Ram Prajapati</v>
      </c>
      <c r="D693" s="1">
        <f ca="1">IFERROR(__xludf.DUMMYFUNCTION("""COMPUTED_VALUE"""),9811724821)</f>
        <v>9811724821</v>
      </c>
      <c r="E693" s="1" t="str">
        <f ca="1">IFERROR(__xludf.DUMMYFUNCTION("""COMPUTED_VALUE"""),"Yes")</f>
        <v>Yes</v>
      </c>
      <c r="F693" s="1" t="str">
        <f ca="1">IFERROR(__xludf.DUMMYFUNCTION("""COMPUTED_VALUE"""),"हिन्दी")</f>
        <v>हिन्दी</v>
      </c>
      <c r="G693" s="1" t="str">
        <f ca="1">IFERROR(__xludf.DUMMYFUNCTION("""COMPUTED_VALUE"""),"अध्यात्म, धर्म एवं दर्शन")</f>
        <v>अध्यात्म, धर्म एवं दर्शन</v>
      </c>
      <c r="H693" s="1" t="str">
        <f ca="1">IFERROR(__xludf.DUMMYFUNCTION("""COMPUTED_VALUE"""),"आत्मज्ञान एवं आत्मनिर्माण")</f>
        <v>आत्मज्ञान एवं आत्मनिर्माण</v>
      </c>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f ca="1">IFERROR(__xludf.DUMMYFUNCTION("""COMPUTED_VALUE"""),12)</f>
        <v>12</v>
      </c>
      <c r="BX693" s="1">
        <f ca="1">IFERROR(__xludf.DUMMYFUNCTION("""COMPUTED_VALUE"""),10)</f>
        <v>10</v>
      </c>
      <c r="BY693" s="1">
        <f ca="1">IFERROR(__xludf.DUMMYFUNCTION("""COMPUTED_VALUE"""),4)</f>
        <v>4</v>
      </c>
      <c r="BZ693" s="1">
        <f ca="1">IFERROR(__xludf.DUMMYFUNCTION("""COMPUTED_VALUE"""),0)</f>
        <v>0</v>
      </c>
      <c r="CA693" s="1"/>
      <c r="CB693" s="1"/>
      <c r="CC693" s="1" t="str">
        <f ca="1">IFERROR(__xludf.DUMMYFUNCTION("""COMPUTED_VALUE"""),"अध्यात्म उर्जा के प्रकटीकरण की साधना : Rare Book")</f>
        <v>अध्यात्म उर्जा के प्रकटीकरण की साधना : Rare Book</v>
      </c>
      <c r="CD693" s="3" t="str">
        <f ca="1">IFERROR(__xludf.DUMMYFUNCTION("""COMPUTED_VALUE"""),"https://vicharkrantibooks.org/productdetail?book_name=HINP0020_ADHYATM_URJA_KE_PRAKATIKARAN_KI_SADHANA_xx1981&amp;product_id=585")</f>
        <v>https://vicharkrantibooks.org/productdetail?book_name=HINP0020_ADHYATM_URJA_KE_PRAKATIKARAN_KI_SADHANA_xx1981&amp;product_id=585</v>
      </c>
      <c r="CE693" s="1" t="str">
        <f ca="1">IFERROR(__xludf.DUMMYFUNCTION("""COMPUTED_VALUE"""),"Audiobook : अध्यात्म उर्जा के प्रकटीकरण की साधना : Rare Book : brphodmba@gmail.com : Recorded")</f>
        <v>Audiobook : अध्यात्म उर्जा के प्रकटीकरण की साधना : Rare Book : brphodmba@gmail.com : Recorded</v>
      </c>
      <c r="CF693" s="1" t="str">
        <f ca="1">IFERROR(__xludf.DUMMYFUNCTION("""COMPUTED_VALUE"""),"#N/A")</f>
        <v>#N/A</v>
      </c>
      <c r="CG693" s="1" t="str">
        <f ca="1">IFERROR(__xludf.DUMMYFUNCTION("""COMPUTED_VALUE"""),"Adarniya Dr. Baidyanath Ram Prajapati ji अध्यात्म उर्जा के प्रकटीकरण की साधना : Rare Book : Allocated on 13-Oct-23 Contact Number  9811724821")</f>
        <v>Adarniya Dr. Baidyanath Ram Prajapati ji अध्यात्म उर्जा के प्रकटीकरण की साधना : Rare Book : Allocated on 13-Oct-23 Contact Number  9811724821</v>
      </c>
      <c r="CH693" s="1"/>
      <c r="CI693" s="1"/>
    </row>
    <row r="694" spans="1:87" x14ac:dyDescent="0.25">
      <c r="A694" s="5">
        <f ca="1">IFERROR(__xludf.DUMMYFUNCTION("""COMPUTED_VALUE"""),45212.6146744097)</f>
        <v>45212.614674409699</v>
      </c>
      <c r="B694" s="1" t="str">
        <f ca="1">IFERROR(__xludf.DUMMYFUNCTION("""COMPUTED_VALUE"""),"anupriya_deshmukh9@yahoo.co.in")</f>
        <v>anupriya_deshmukh9@yahoo.co.in</v>
      </c>
      <c r="C694" s="1" t="str">
        <f ca="1">IFERROR(__xludf.DUMMYFUNCTION("""COMPUTED_VALUE"""),"Anupriya Deshmukh ")</f>
        <v xml:space="preserve">Anupriya Deshmukh </v>
      </c>
      <c r="D694" s="1">
        <f ca="1">IFERROR(__xludf.DUMMYFUNCTION("""COMPUTED_VALUE"""),7506739089)</f>
        <v>7506739089</v>
      </c>
      <c r="E694" s="1" t="str">
        <f ca="1">IFERROR(__xludf.DUMMYFUNCTION("""COMPUTED_VALUE"""),"Yes")</f>
        <v>Yes</v>
      </c>
      <c r="F694" s="1" t="str">
        <f ca="1">IFERROR(__xludf.DUMMYFUNCTION("""COMPUTED_VALUE"""),"हिन्दी")</f>
        <v>हिन्दी</v>
      </c>
      <c r="G694" s="1" t="str">
        <f ca="1">IFERROR(__xludf.DUMMYFUNCTION("""COMPUTED_VALUE"""),"वैज्ञानिक अध्यात्मवाद का प्रतिपादन")</f>
        <v>वैज्ञानिक अध्यात्मवाद का प्रतिपादन</v>
      </c>
      <c r="H694" s="1"/>
      <c r="I694" s="1"/>
      <c r="J694" s="1"/>
      <c r="K694" s="1"/>
      <c r="L694" s="1"/>
      <c r="M694" s="1"/>
      <c r="N694" s="1"/>
      <c r="O694" s="1"/>
      <c r="P694" s="1"/>
      <c r="Q694" s="1"/>
      <c r="R694" s="1"/>
      <c r="S694" s="1" t="str">
        <f ca="1">IFERROR(__xludf.DUMMYFUNCTION("""COMPUTED_VALUE"""),"वैज्ञानिक अध्यात्मवाद का प्रतिपादन")</f>
        <v>वैज्ञानिक अध्यात्मवाद का प्रतिपादन</v>
      </c>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f ca="1">IFERROR(__xludf.DUMMYFUNCTION("""COMPUTED_VALUE"""),15)</f>
        <v>15</v>
      </c>
      <c r="BX694" s="1">
        <f ca="1">IFERROR(__xludf.DUMMYFUNCTION("""COMPUTED_VALUE"""),10)</f>
        <v>10</v>
      </c>
      <c r="BY694" s="1">
        <f ca="1">IFERROR(__xludf.DUMMYFUNCTION("""COMPUTED_VALUE"""),4)</f>
        <v>4</v>
      </c>
      <c r="BZ694" s="1">
        <f ca="1">IFERROR(__xludf.DUMMYFUNCTION("""COMPUTED_VALUE"""),6)</f>
        <v>6</v>
      </c>
      <c r="CA694" s="1"/>
      <c r="CB694" s="1"/>
      <c r="CC694" s="1" t="str">
        <f ca="1">IFERROR(__xludf.DUMMYFUNCTION("""COMPUTED_VALUE"""),"कैसे होगा समन्वय विज्ञान और आध्यात्म का : H_JS_01")</f>
        <v>कैसे होगा समन्वय विज्ञान और आध्यात्म का : H_JS_01</v>
      </c>
      <c r="CD694" s="3" t="str">
        <f ca="1">IFERROR(__xludf.DUMMYFUNCTION("""COMPUTED_VALUE"""),"https://vicharkrantibooks.org/productdetail?book_name=HINP0411_KAISE_HOGA_SAMANVAY_VIGYAN_AUR_ADHYATM_KA_xx2011&amp;product_id=976")</f>
        <v>https://vicharkrantibooks.org/productdetail?book_name=HINP0411_KAISE_HOGA_SAMANVAY_VIGYAN_AUR_ADHYATM_KA_xx2011&amp;product_id=976</v>
      </c>
      <c r="CE694" s="1" t="str">
        <f ca="1">IFERROR(__xludf.DUMMYFUNCTION("""COMPUTED_VALUE"""),"Audiobook : कैसे होगा समन्वय विज्ञान और आध्यात्म का : H_JS_01 : anupriya_deshmukh9@yahoo.co.in : Recorded")</f>
        <v>Audiobook : कैसे होगा समन्वय विज्ञान और आध्यात्म का : H_JS_01 : anupriya_deshmukh9@yahoo.co.in : Recorded</v>
      </c>
      <c r="CF694" s="1" t="str">
        <f ca="1">IFERROR(__xludf.DUMMYFUNCTION("""COMPUTED_VALUE"""),"Audiobook : कैसे होगा समन्वय विज्ञान और आध्यात्म का : H_JS_01 : anupriya_deshmukh9@yahoo.co.in : Recorded")</f>
        <v>Audiobook : कैसे होगा समन्वय विज्ञान और आध्यात्म का : H_JS_01 : anupriya_deshmukh9@yahoo.co.in : Recorded</v>
      </c>
      <c r="CG694" s="1" t="str">
        <f ca="1">IFERROR(__xludf.DUMMYFUNCTION("""COMPUTED_VALUE"""),"Adarniya Anupriya Deshmukh  ji कैसे होगा समन्वय विज्ञान और आध्यात्म का : H_JS_01 : Allocated on 13-Oct-23 Contact Number  7506739089")</f>
        <v>Adarniya Anupriya Deshmukh  ji कैसे होगा समन्वय विज्ञान और आध्यात्म का : H_JS_01 : Allocated on 13-Oct-23 Contact Number  7506739089</v>
      </c>
      <c r="CH694" s="1"/>
      <c r="CI694" s="1"/>
    </row>
    <row r="695" spans="1:87" x14ac:dyDescent="0.25">
      <c r="A695" s="5">
        <f ca="1">IFERROR(__xludf.DUMMYFUNCTION("""COMPUTED_VALUE"""),45212.3637673148)</f>
        <v>45212.363767314797</v>
      </c>
      <c r="B695" s="1" t="str">
        <f ca="1">IFERROR(__xludf.DUMMYFUNCTION("""COMPUTED_VALUE"""),"daleshwary67@gmail.com")</f>
        <v>daleshwary67@gmail.com</v>
      </c>
      <c r="C695" s="1" t="str">
        <f ca="1">IFERROR(__xludf.DUMMYFUNCTION("""COMPUTED_VALUE"""),"daleshwary sharma ")</f>
        <v xml:space="preserve">daleshwary sharma </v>
      </c>
      <c r="D695" s="1">
        <f ca="1">IFERROR(__xludf.DUMMYFUNCTION("""COMPUTED_VALUE"""),8587900034)</f>
        <v>8587900034</v>
      </c>
      <c r="E695" s="1" t="str">
        <f ca="1">IFERROR(__xludf.DUMMYFUNCTION("""COMPUTED_VALUE"""),"No")</f>
        <v>No</v>
      </c>
      <c r="F695" s="1" t="str">
        <f ca="1">IFERROR(__xludf.DUMMYFUNCTION("""COMPUTED_VALUE"""),"हिन्दी")</f>
        <v>हिन्दी</v>
      </c>
      <c r="G695" s="1" t="str">
        <f ca="1">IFERROR(__xludf.DUMMYFUNCTION("""COMPUTED_VALUE"""),"गायत्री परिवार")</f>
        <v>गायत्री परिवार</v>
      </c>
      <c r="H695" s="1"/>
      <c r="I695" s="1"/>
      <c r="J695" s="1" t="str">
        <f ca="1">IFERROR(__xludf.DUMMYFUNCTION("""COMPUTED_VALUE"""),"प्रमुख संस्थान, प्रकाशन एवं आंदोलन")</f>
        <v>प्रमुख संस्थान, प्रकाशन एवं आंदोलन</v>
      </c>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f ca="1">IFERROR(__xludf.DUMMYFUNCTION("""COMPUTED_VALUE"""),15)</f>
        <v>15</v>
      </c>
      <c r="BX695" s="1">
        <f ca="1">IFERROR(__xludf.DUMMYFUNCTION("""COMPUTED_VALUE"""),9)</f>
        <v>9</v>
      </c>
      <c r="BY695" s="1">
        <f ca="1">IFERROR(__xludf.DUMMYFUNCTION("""COMPUTED_VALUE"""),5)</f>
        <v>5</v>
      </c>
      <c r="BZ695" s="1">
        <f ca="1">IFERROR(__xludf.DUMMYFUNCTION("""COMPUTED_VALUE"""),5)</f>
        <v>5</v>
      </c>
      <c r="CA695" s="1"/>
      <c r="CB695" s="1"/>
      <c r="CC695" s="1" t="str">
        <f ca="1">IFERROR(__xludf.DUMMYFUNCTION("""COMPUTED_VALUE"""),"युग धर्म : Rare Book")</f>
        <v>युग धर्म : Rare Book</v>
      </c>
      <c r="CD695" s="3" t="str">
        <f ca="1">IFERROR(__xludf.DUMMYFUNCTION("""COMPUTED_VALUE"""),"https://vicharkrantibooks.org/productdetail?book_name=HINP1032_YUG_DHARM_xxyyyy&amp;product_id=1597")</f>
        <v>https://vicharkrantibooks.org/productdetail?book_name=HINP1032_YUG_DHARM_xxyyyy&amp;product_id=1597</v>
      </c>
      <c r="CE695" s="1" t="str">
        <f ca="1">IFERROR(__xludf.DUMMYFUNCTION("""COMPUTED_VALUE"""),"Audiobook : युग धर्म : Rare Book : daleshwary67@gmail.com : Recorded")</f>
        <v>Audiobook : युग धर्म : Rare Book : daleshwary67@gmail.com : Recorded</v>
      </c>
      <c r="CF695" s="1" t="str">
        <f ca="1">IFERROR(__xludf.DUMMYFUNCTION("""COMPUTED_VALUE"""),"#N/A")</f>
        <v>#N/A</v>
      </c>
      <c r="CG695" s="1" t="str">
        <f ca="1">IFERROR(__xludf.DUMMYFUNCTION("""COMPUTED_VALUE"""),"Adarniya daleshwary sharma  ji युग धर्म : Rare Book : Allocated on 13-Oct-23 Contact Number  8587900034")</f>
        <v>Adarniya daleshwary sharma  ji युग धर्म : Rare Book : Allocated on 13-Oct-23 Contact Number  8587900034</v>
      </c>
      <c r="CH695" s="1"/>
      <c r="CI695" s="1"/>
    </row>
    <row r="696" spans="1:87" x14ac:dyDescent="0.25">
      <c r="A696" s="5">
        <f ca="1">IFERROR(__xludf.DUMMYFUNCTION("""COMPUTED_VALUE"""),45211.4116525694)</f>
        <v>45211.411652569397</v>
      </c>
      <c r="B696" s="1" t="str">
        <f ca="1">IFERROR(__xludf.DUMMYFUNCTION("""COMPUTED_VALUE"""),"subhashbaghelkar@gmail.com")</f>
        <v>subhashbaghelkar@gmail.com</v>
      </c>
      <c r="C696" s="1" t="str">
        <f ca="1">IFERROR(__xludf.DUMMYFUNCTION("""COMPUTED_VALUE"""),"Subhash Baghelkar ")</f>
        <v xml:space="preserve">Subhash Baghelkar </v>
      </c>
      <c r="D696" s="1">
        <f ca="1">IFERROR(__xludf.DUMMYFUNCTION("""COMPUTED_VALUE"""),8800989458)</f>
        <v>8800989458</v>
      </c>
      <c r="E696" s="1" t="str">
        <f ca="1">IFERROR(__xludf.DUMMYFUNCTION("""COMPUTED_VALUE"""),"Yes")</f>
        <v>Yes</v>
      </c>
      <c r="F696" s="1" t="str">
        <f ca="1">IFERROR(__xludf.DUMMYFUNCTION("""COMPUTED_VALUE"""),"English")</f>
        <v>English</v>
      </c>
      <c r="G696" s="1" t="str">
        <f ca="1">IFERROR(__xludf.DUMMYFUNCTION("""COMPUTED_VALUE"""),"English")</f>
        <v>English</v>
      </c>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f ca="1">IFERROR(__xludf.DUMMYFUNCTION("""COMPUTED_VALUE"""),4)</f>
        <v>4</v>
      </c>
      <c r="BX696" s="1">
        <f ca="1">IFERROR(__xludf.DUMMYFUNCTION("""COMPUTED_VALUE"""),3)</f>
        <v>3</v>
      </c>
      <c r="BY696" s="1">
        <f ca="1">IFERROR(__xludf.DUMMYFUNCTION("""COMPUTED_VALUE"""),2)</f>
        <v>2</v>
      </c>
      <c r="BZ696" s="1">
        <f ca="1">IFERROR(__xludf.DUMMYFUNCTION("""COMPUTED_VALUE"""),0)</f>
        <v>0</v>
      </c>
      <c r="CA696" s="1"/>
      <c r="CB696" s="1"/>
      <c r="CC696" s="1" t="str">
        <f ca="1">IFERROR(__xludf.DUMMYFUNCTION("""COMPUTED_VALUE"""),"Donation Of Time The Supreme Charity : EP_18")</f>
        <v>Donation Of Time The Supreme Charity : EP_18</v>
      </c>
      <c r="CD696" s="3" t="str">
        <f ca="1">IFERROR(__xludf.DUMMYFUNCTION("""COMPUTED_VALUE"""),"https://vicharkrantibooks.org/productdetail?book_name=ENGR1152_DONATION_OF_TIME_THE_SUPREME_CHARITY_RE2011&amp;product_id=3411")</f>
        <v>https://vicharkrantibooks.org/productdetail?book_name=ENGR1152_DONATION_OF_TIME_THE_SUPREME_CHARITY_RE2011&amp;product_id=3411</v>
      </c>
      <c r="CE696" s="1" t="str">
        <f ca="1">IFERROR(__xludf.DUMMYFUNCTION("""COMPUTED_VALUE"""),"Audiobook : Donation Of Time The Supreme Charity : EP_18 : subhashbaghelkar@gmail.com : Recorded")</f>
        <v>Audiobook : Donation Of Time The Supreme Charity : EP_18 : subhashbaghelkar@gmail.com : Recorded</v>
      </c>
      <c r="CF696" s="1" t="str">
        <f ca="1">IFERROR(__xludf.DUMMYFUNCTION("""COMPUTED_VALUE"""),"#N/A")</f>
        <v>#N/A</v>
      </c>
      <c r="CG696" s="1" t="str">
        <f ca="1">IFERROR(__xludf.DUMMYFUNCTION("""COMPUTED_VALUE"""),"Adarniya Subhash Baghelkar  ji Donation Of Time The Supreme Charity : EP_18 : Allocated on 12-Oct-23 Contact Number  8800989458")</f>
        <v>Adarniya Subhash Baghelkar  ji Donation Of Time The Supreme Charity : EP_18 : Allocated on 12-Oct-23 Contact Number  8800989458</v>
      </c>
      <c r="CH696" s="1"/>
      <c r="CI696" s="1"/>
    </row>
    <row r="697" spans="1:87" x14ac:dyDescent="0.25">
      <c r="A697" s="5">
        <f ca="1">IFERROR(__xludf.DUMMYFUNCTION("""COMPUTED_VALUE"""),45210.6127374421)</f>
        <v>45210.612737442098</v>
      </c>
      <c r="B697" s="1" t="str">
        <f ca="1">IFERROR(__xludf.DUMMYFUNCTION("""COMPUTED_VALUE"""),"shraddhasharma78@gmail.com")</f>
        <v>shraddhasharma78@gmail.com</v>
      </c>
      <c r="C697" s="1" t="str">
        <f ca="1">IFERROR(__xludf.DUMMYFUNCTION("""COMPUTED_VALUE"""),"Dr. shraddha Sharma")</f>
        <v>Dr. shraddha Sharma</v>
      </c>
      <c r="D697" s="1">
        <f ca="1">IFERROR(__xludf.DUMMYFUNCTION("""COMPUTED_VALUE"""),9827315141)</f>
        <v>9827315141</v>
      </c>
      <c r="E697" s="1" t="str">
        <f ca="1">IFERROR(__xludf.DUMMYFUNCTION("""COMPUTED_VALUE"""),"No")</f>
        <v>No</v>
      </c>
      <c r="F697" s="1" t="str">
        <f ca="1">IFERROR(__xludf.DUMMYFUNCTION("""COMPUTED_VALUE"""),"हिन्दी")</f>
        <v>हिन्दी</v>
      </c>
      <c r="G697" s="1" t="str">
        <f ca="1">IFERROR(__xludf.DUMMYFUNCTION("""COMPUTED_VALUE"""),"जीवन प्रबंध")</f>
        <v>जीवन प्रबंध</v>
      </c>
      <c r="H697" s="1"/>
      <c r="I697" s="1"/>
      <c r="J697" s="1"/>
      <c r="K697" s="1"/>
      <c r="L697" s="1" t="str">
        <f ca="1">IFERROR(__xludf.DUMMYFUNCTION("""COMPUTED_VALUE"""),"मानव जीवन की गरिमा")</f>
        <v>मानव जीवन की गरिमा</v>
      </c>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f ca="1">IFERROR(__xludf.DUMMYFUNCTION("""COMPUTED_VALUE"""),2)</f>
        <v>2</v>
      </c>
      <c r="BX697" s="1">
        <f ca="1">IFERROR(__xludf.DUMMYFUNCTION("""COMPUTED_VALUE"""),0)</f>
        <v>0</v>
      </c>
      <c r="BY697" s="1">
        <f ca="1">IFERROR(__xludf.DUMMYFUNCTION("""COMPUTED_VALUE"""),2)</f>
        <v>2</v>
      </c>
      <c r="BZ697" s="1">
        <f ca="1">IFERROR(__xludf.DUMMYFUNCTION("""COMPUTED_VALUE"""),0)</f>
        <v>0</v>
      </c>
      <c r="CA697" s="1"/>
      <c r="CB697" s="5">
        <f ca="1">IFERROR(__xludf.DUMMYFUNCTION("""COMPUTED_VALUE"""),45220.6127374421)</f>
        <v>45220.612737442098</v>
      </c>
      <c r="CC697" s="1" t="str">
        <f ca="1">IFERROR(__xludf.DUMMYFUNCTION("""COMPUTED_VALUE"""),"प्रगति शांति और प्रसन्नता : Rare Book")</f>
        <v>प्रगति शांति और प्रसन्नता : Rare Book</v>
      </c>
      <c r="CD697" s="3" t="str">
        <f ca="1">IFERROR(__xludf.DUMMYFUNCTION("""COMPUTED_VALUE"""),"https://vicharkrantibooks.org/productdetail?book_name=HINP0653_PRAGATI_SHANTI_AUR_PRASANNATA_xx1981&amp;product_id=1218")</f>
        <v>https://vicharkrantibooks.org/productdetail?book_name=HINP0653_PRAGATI_SHANTI_AUR_PRASANNATA_xx1981&amp;product_id=1218</v>
      </c>
      <c r="CE697" s="1" t="str">
        <f ca="1">IFERROR(__xludf.DUMMYFUNCTION("""COMPUTED_VALUE"""),"Audiobook : प्रगति शांति और प्रसन्नता : Rare Book : shraddhasharma78@gmail.com : Recorded")</f>
        <v>Audiobook : प्रगति शांति और प्रसन्नता : Rare Book : shraddhasharma78@gmail.com : Recorded</v>
      </c>
      <c r="CF697" s="1" t="str">
        <f ca="1">IFERROR(__xludf.DUMMYFUNCTION("""COMPUTED_VALUE"""),"#N/A")</f>
        <v>#N/A</v>
      </c>
      <c r="CG697" s="1" t="str">
        <f ca="1">IFERROR(__xludf.DUMMYFUNCTION("""COMPUTED_VALUE"""),"Adarniya Dr. shraddha Sharma ji प्रगति शांति और प्रसन्नता : Rare Book : Allocated on 11-Oct-23 Contact Number  9827315141")</f>
        <v>Adarniya Dr. shraddha Sharma ji प्रगति शांति और प्रसन्नता : Rare Book : Allocated on 11-Oct-23 Contact Number  9827315141</v>
      </c>
      <c r="CH697" s="1"/>
      <c r="CI697" s="1"/>
    </row>
    <row r="698" spans="1:87" x14ac:dyDescent="0.25">
      <c r="A698" s="5">
        <f ca="1">IFERROR(__xludf.DUMMYFUNCTION("""COMPUTED_VALUE"""),45210.5303125462)</f>
        <v>45210.530312546201</v>
      </c>
      <c r="B698" s="1" t="str">
        <f ca="1">IFERROR(__xludf.DUMMYFUNCTION("""COMPUTED_VALUE"""),"purnima.bharadwaj.24@gmail.com")</f>
        <v>purnima.bharadwaj.24@gmail.com</v>
      </c>
      <c r="C698" s="1" t="str">
        <f ca="1">IFERROR(__xludf.DUMMYFUNCTION("""COMPUTED_VALUE"""),"पूर्णिमा भारद्वाज ")</f>
        <v xml:space="preserve">पूर्णिमा भारद्वाज </v>
      </c>
      <c r="D698" s="1">
        <f ca="1">IFERROR(__xludf.DUMMYFUNCTION("""COMPUTED_VALUE"""),9415389032)</f>
        <v>9415389032</v>
      </c>
      <c r="E698" s="1" t="str">
        <f ca="1">IFERROR(__xludf.DUMMYFUNCTION("""COMPUTED_VALUE"""),"Yes")</f>
        <v>Yes</v>
      </c>
      <c r="F698" s="1"/>
      <c r="G698" s="1" t="str">
        <f ca="1">IFERROR(__xludf.DUMMYFUNCTION("""COMPUTED_VALUE"""),"युग द्रष्टा पं. श्रीराम शर्मा आचार्यजी")</f>
        <v>युग द्रष्टा पं. श्रीराम शर्मा आचार्यजी</v>
      </c>
      <c r="H698" s="1"/>
      <c r="I698" s="1"/>
      <c r="J698" s="1"/>
      <c r="K698" s="1"/>
      <c r="L698" s="1"/>
      <c r="M698" s="1"/>
      <c r="N698" s="1"/>
      <c r="O698" s="1"/>
      <c r="P698" s="1" t="str">
        <f ca="1">IFERROR(__xludf.DUMMYFUNCTION("""COMPUTED_VALUE"""),"युगॠषी का जीवनदर्शन")</f>
        <v>युगॠषी का जीवनदर्शन</v>
      </c>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f ca="1">IFERROR(__xludf.DUMMYFUNCTION("""COMPUTED_VALUE"""),43)</f>
        <v>43</v>
      </c>
      <c r="BX698" s="1">
        <f ca="1">IFERROR(__xludf.DUMMYFUNCTION("""COMPUTED_VALUE"""),36)</f>
        <v>36</v>
      </c>
      <c r="BY698" s="1">
        <f ca="1">IFERROR(__xludf.DUMMYFUNCTION("""COMPUTED_VALUE"""),9)</f>
        <v>9</v>
      </c>
      <c r="BZ698" s="1">
        <f ca="1">IFERROR(__xludf.DUMMYFUNCTION("""COMPUTED_VALUE"""),30)</f>
        <v>30</v>
      </c>
      <c r="CA698" s="1"/>
      <c r="CB698" s="1"/>
      <c r="CC698" s="1" t="str">
        <f ca="1">IFERROR(__xludf.DUMMYFUNCTION("""COMPUTED_VALUE"""),"युग ऋषि की जन्मशति : H_SJ_56")</f>
        <v>युग ऋषि की जन्मशति : H_SJ_56</v>
      </c>
      <c r="CD698" s="3" t="str">
        <f ca="1">IFERROR(__xludf.DUMMYFUNCTION("""COMPUTED_VALUE"""),"https://vicharkrantibooks.org/productdetail?book_name=HINP1068_YUGRUSHI_KI_JANMASHATI_xxyyyy&amp;product_id=1633")</f>
        <v>https://vicharkrantibooks.org/productdetail?book_name=HINP1068_YUGRUSHI_KI_JANMASHATI_xxyyyy&amp;product_id=1633</v>
      </c>
      <c r="CE698" s="1" t="str">
        <f ca="1">IFERROR(__xludf.DUMMYFUNCTION("""COMPUTED_VALUE"""),"Audiobook : युग ऋषि की जन्मशति : H_SJ_56 : purnima.bharadwaj.24@gmail.com : Recorded")</f>
        <v>Audiobook : युग ऋषि की जन्मशति : H_SJ_56 : purnima.bharadwaj.24@gmail.com : Recorded</v>
      </c>
      <c r="CF698" s="1" t="str">
        <f ca="1">IFERROR(__xludf.DUMMYFUNCTION("""COMPUTED_VALUE"""),"Audiobook : युग ऋषि की जन्मशति : H_SJ_56 : purnima.bharadwaj.24@gmail.com : Recorded")</f>
        <v>Audiobook : युग ऋषि की जन्मशति : H_SJ_56 : purnima.bharadwaj.24@gmail.com : Recorded</v>
      </c>
      <c r="CG698" s="1" t="str">
        <f ca="1">IFERROR(__xludf.DUMMYFUNCTION("""COMPUTED_VALUE"""),"Adarniya पूर्णिमा भारद्वाज  ji युग ऋषि की जन्मशति : H_SJ_56 : Allocated on 11-Oct-23 Contact Number  9415389032")</f>
        <v>Adarniya पूर्णिमा भारद्वाज  ji युग ऋषि की जन्मशति : H_SJ_56 : Allocated on 11-Oct-23 Contact Number  9415389032</v>
      </c>
      <c r="CH698" s="1"/>
      <c r="CI698" s="1"/>
    </row>
    <row r="699" spans="1:87" x14ac:dyDescent="0.25">
      <c r="A699" s="5">
        <f ca="1">IFERROR(__xludf.DUMMYFUNCTION("""COMPUTED_VALUE"""),45209.5762506597)</f>
        <v>45209.576250659702</v>
      </c>
      <c r="B699" s="1" t="str">
        <f ca="1">IFERROR(__xludf.DUMMYFUNCTION("""COMPUTED_VALUE"""),"csprasad108@gmail.com")</f>
        <v>csprasad108@gmail.com</v>
      </c>
      <c r="C699" s="1" t="str">
        <f ca="1">IFERROR(__xludf.DUMMYFUNCTION("""COMPUTED_VALUE"""),"Kumkum prasad")</f>
        <v>Kumkum prasad</v>
      </c>
      <c r="D699" s="1">
        <f ca="1">IFERROR(__xludf.DUMMYFUNCTION("""COMPUTED_VALUE"""),7978055621)</f>
        <v>7978055621</v>
      </c>
      <c r="E699" s="1"/>
      <c r="F699" s="1" t="str">
        <f ca="1">IFERROR(__xludf.DUMMYFUNCTION("""COMPUTED_VALUE"""),"हिन्दी")</f>
        <v>हिन्दी</v>
      </c>
      <c r="G699" s="1" t="str">
        <f ca="1">IFERROR(__xludf.DUMMYFUNCTION("""COMPUTED_VALUE"""),"युग द्रष्टा पं. श्रीराम शर्मा आचार्यजी")</f>
        <v>युग द्रष्टा पं. श्रीराम शर्मा आचार्यजी</v>
      </c>
      <c r="H699" s="1"/>
      <c r="I699" s="1"/>
      <c r="J699" s="1"/>
      <c r="K699" s="1"/>
      <c r="L699" s="1"/>
      <c r="M699" s="1"/>
      <c r="N699" s="1"/>
      <c r="O699" s="1"/>
      <c r="P699" s="1" t="str">
        <f ca="1">IFERROR(__xludf.DUMMYFUNCTION("""COMPUTED_VALUE"""),"युगॠषी की अमृतवाणी")</f>
        <v>युगॠषी की अमृतवाणी</v>
      </c>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f ca="1">IFERROR(__xludf.DUMMYFUNCTION("""COMPUTED_VALUE"""),52)</f>
        <v>52</v>
      </c>
      <c r="BX699" s="1">
        <f ca="1">IFERROR(__xludf.DUMMYFUNCTION("""COMPUTED_VALUE"""),54)</f>
        <v>54</v>
      </c>
      <c r="BY699" s="1">
        <f ca="1">IFERROR(__xludf.DUMMYFUNCTION("""COMPUTED_VALUE"""),3)</f>
        <v>3</v>
      </c>
      <c r="BZ699" s="1">
        <f ca="1">IFERROR(__xludf.DUMMYFUNCTION("""COMPUTED_VALUE"""),24)</f>
        <v>24</v>
      </c>
      <c r="CA699" s="1"/>
      <c r="CB699" s="1"/>
      <c r="CC699" s="1" t="str">
        <f ca="1">IFERROR(__xludf.DUMMYFUNCTION("""COMPUTED_VALUE"""),"मातृशक्ति के अमृत वचन : H_SC_10")</f>
        <v>मातृशक्ति के अमृत वचन : H_SC_10</v>
      </c>
      <c r="CD699" s="3" t="str">
        <f ca="1">IFERROR(__xludf.DUMMYFUNCTION("""COMPUTED_VALUE"""),"https://vicharkrantibooks.org/productdetail?book_name=HINP0535_MATRUSHAKTI_KE_AMRUT_VACHAN_xxyyyy&amp;product_id=1100")</f>
        <v>https://vicharkrantibooks.org/productdetail?book_name=HINP0535_MATRUSHAKTI_KE_AMRUT_VACHAN_xxyyyy&amp;product_id=1100</v>
      </c>
      <c r="CE699" s="1" t="str">
        <f ca="1">IFERROR(__xludf.DUMMYFUNCTION("""COMPUTED_VALUE"""),"Audiobook : मातृशक्ति के अमृत वचन : H_SC_10 : csprasad108@gmail.com : Recorded")</f>
        <v>Audiobook : मातृशक्ति के अमृत वचन : H_SC_10 : csprasad108@gmail.com : Recorded</v>
      </c>
      <c r="CF699" s="1" t="str">
        <f ca="1">IFERROR(__xludf.DUMMYFUNCTION("""COMPUTED_VALUE"""),"Audiobook : मातृशक्ति के अमृत वचन : H_SC_10 : csprasad108@gmail.com : Recorded")</f>
        <v>Audiobook : मातृशक्ति के अमृत वचन : H_SC_10 : csprasad108@gmail.com : Recorded</v>
      </c>
      <c r="CG699" s="1" t="str">
        <f ca="1">IFERROR(__xludf.DUMMYFUNCTION("""COMPUTED_VALUE"""),"Adarniya Kumkum prasad ji मातृशक्ति के अमृत वचन : H_SC_10 : Allocated on 10-Oct-23 Contact Number  7978055621")</f>
        <v>Adarniya Kumkum prasad ji मातृशक्ति के अमृत वचन : H_SC_10 : Allocated on 10-Oct-23 Contact Number  7978055621</v>
      </c>
      <c r="CH699" s="1"/>
      <c r="CI699" s="1"/>
    </row>
    <row r="700" spans="1:87" x14ac:dyDescent="0.25">
      <c r="A700" s="5">
        <f ca="1">IFERROR(__xludf.DUMMYFUNCTION("""COMPUTED_VALUE"""),45207.102957743)</f>
        <v>45207.102957743002</v>
      </c>
      <c r="B700" s="1" t="str">
        <f ca="1">IFERROR(__xludf.DUMMYFUNCTION("""COMPUTED_VALUE"""),"rs_7982@yahoo.co.in")</f>
        <v>rs_7982@yahoo.co.in</v>
      </c>
      <c r="C700" s="1" t="str">
        <f ca="1">IFERROR(__xludf.DUMMYFUNCTION("""COMPUTED_VALUE"""),"Ruchi ")</f>
        <v xml:space="preserve">Ruchi </v>
      </c>
      <c r="D700" s="1">
        <f ca="1">IFERROR(__xludf.DUMMYFUNCTION("""COMPUTED_VALUE"""),7972158098)</f>
        <v>7972158098</v>
      </c>
      <c r="E700" s="1" t="str">
        <f ca="1">IFERROR(__xludf.DUMMYFUNCTION("""COMPUTED_VALUE"""),"Yes")</f>
        <v>Yes</v>
      </c>
      <c r="F700" s="1" t="str">
        <f ca="1">IFERROR(__xludf.DUMMYFUNCTION("""COMPUTED_VALUE"""),"हिन्दी or English")</f>
        <v>हिन्दी or English</v>
      </c>
      <c r="G700" s="1" t="str">
        <f ca="1">IFERROR(__xludf.DUMMYFUNCTION("""COMPUTED_VALUE"""),"व्यक्ति निर्माण, युवा/विद्यार्थी एवं शिक्षक")</f>
        <v>व्यक्ति निर्माण, युवा/विद्यार्थी एवं शिक्षक</v>
      </c>
      <c r="H700" s="1"/>
      <c r="I700" s="1"/>
      <c r="J700" s="1"/>
      <c r="K700" s="1"/>
      <c r="L700" s="1"/>
      <c r="M700" s="1"/>
      <c r="N700" s="1"/>
      <c r="O700" s="1"/>
      <c r="P700" s="1"/>
      <c r="Q700" s="1"/>
      <c r="R700" s="1"/>
      <c r="S700" s="1"/>
      <c r="T700" s="1" t="str">
        <f ca="1">IFERROR(__xludf.DUMMYFUNCTION("""COMPUTED_VALUE"""),"काम उल्लास एवं ब्रह्मचर्य")</f>
        <v>काम उल्लास एवं ब्रह्मचर्य</v>
      </c>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f ca="1">IFERROR(__xludf.DUMMYFUNCTION("""COMPUTED_VALUE"""),4)</f>
        <v>4</v>
      </c>
      <c r="BX700" s="1">
        <f ca="1">IFERROR(__xludf.DUMMYFUNCTION("""COMPUTED_VALUE"""),3)</f>
        <v>3</v>
      </c>
      <c r="BY700" s="1">
        <f ca="1">IFERROR(__xludf.DUMMYFUNCTION("""COMPUTED_VALUE"""),2)</f>
        <v>2</v>
      </c>
      <c r="BZ700" s="1">
        <f ca="1">IFERROR(__xludf.DUMMYFUNCTION("""COMPUTED_VALUE"""),1)</f>
        <v>1</v>
      </c>
      <c r="CA700" s="1"/>
      <c r="CB700" s="1"/>
      <c r="CC700" s="1" t="str">
        <f ca="1">IFERROR(__xludf.DUMMYFUNCTION("""COMPUTED_VALUE"""),"Dignity Of Organisational Skill : EP_17")</f>
        <v>Dignity Of Organisational Skill : EP_17</v>
      </c>
      <c r="CD700" s="3" t="str">
        <f ca="1">IFERROR(__xludf.DUMMYFUNCTION("""COMPUTED_VALUE"""),"http://literature.awgp.org/book/vyavastha_buddhi_ki_garima/v2")</f>
        <v>http://literature.awgp.org/book/vyavastha_buddhi_ki_garima/v2</v>
      </c>
      <c r="CE700" s="1" t="str">
        <f ca="1">IFERROR(__xludf.DUMMYFUNCTION("""COMPUTED_VALUE"""),"Audiobook : Dignity Of Organisational Skill : EP_17 : rs_7982@yahoo.co.in : Recorded")</f>
        <v>Audiobook : Dignity Of Organisational Skill : EP_17 : rs_7982@yahoo.co.in : Recorded</v>
      </c>
      <c r="CF700" s="1" t="str">
        <f ca="1">IFERROR(__xludf.DUMMYFUNCTION("""COMPUTED_VALUE"""),"#N/A")</f>
        <v>#N/A</v>
      </c>
      <c r="CG700" s="1" t="str">
        <f ca="1">IFERROR(__xludf.DUMMYFUNCTION("""COMPUTED_VALUE"""),"Adarniya Ruchi  ji Dignity Of Organisational Skill : EP_17 : Allocated on 08-Oct-23 Contact Number  7972158098")</f>
        <v>Adarniya Ruchi  ji Dignity Of Organisational Skill : EP_17 : Allocated on 08-Oct-23 Contact Number  7972158098</v>
      </c>
      <c r="CH700" s="1"/>
      <c r="CI700" s="1"/>
    </row>
    <row r="701" spans="1:87" x14ac:dyDescent="0.25">
      <c r="A701" s="5">
        <f ca="1">IFERROR(__xludf.DUMMYFUNCTION("""COMPUTED_VALUE"""),45206.9137361805)</f>
        <v>45206.913736180497</v>
      </c>
      <c r="B701" s="1" t="str">
        <f ca="1">IFERROR(__xludf.DUMMYFUNCTION("""COMPUTED_VALUE"""),"rbbansalriya@gmail.com")</f>
        <v>rbbansalriya@gmail.com</v>
      </c>
      <c r="C701" s="1" t="str">
        <f ca="1">IFERROR(__xludf.DUMMYFUNCTION("""COMPUTED_VALUE"""),"Riya bansal ")</f>
        <v xml:space="preserve">Riya bansal </v>
      </c>
      <c r="D701" s="1">
        <f ca="1">IFERROR(__xludf.DUMMYFUNCTION("""COMPUTED_VALUE"""),9176361023)</f>
        <v>9176361023</v>
      </c>
      <c r="E701" s="1" t="str">
        <f ca="1">IFERROR(__xludf.DUMMYFUNCTION("""COMPUTED_VALUE"""),"Yes")</f>
        <v>Yes</v>
      </c>
      <c r="F701" s="1" t="str">
        <f ca="1">IFERROR(__xludf.DUMMYFUNCTION("""COMPUTED_VALUE"""),"हिन्दी")</f>
        <v>हिन्दी</v>
      </c>
      <c r="G701" s="1" t="str">
        <f ca="1">IFERROR(__xludf.DUMMYFUNCTION("""COMPUTED_VALUE"""),"अध्यात्म, धर्म एवं दर्शन")</f>
        <v>अध्यात्म, धर्म एवं दर्शन</v>
      </c>
      <c r="H701" s="1" t="str">
        <f ca="1">IFERROR(__xludf.DUMMYFUNCTION("""COMPUTED_VALUE"""),"अध्यात्म, धर्म एवं आस्तिकता")</f>
        <v>अध्यात्म, धर्म एवं आस्तिकता</v>
      </c>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f ca="1">IFERROR(__xludf.DUMMYFUNCTION("""COMPUTED_VALUE"""),54)</f>
        <v>54</v>
      </c>
      <c r="BX701" s="1">
        <f ca="1">IFERROR(__xludf.DUMMYFUNCTION("""COMPUTED_VALUE"""),55)</f>
        <v>55</v>
      </c>
      <c r="BY701" s="1">
        <f ca="1">IFERROR(__xludf.DUMMYFUNCTION("""COMPUTED_VALUE"""),9)</f>
        <v>9</v>
      </c>
      <c r="BZ701" s="1">
        <f ca="1">IFERROR(__xludf.DUMMYFUNCTION("""COMPUTED_VALUE"""),43)</f>
        <v>43</v>
      </c>
      <c r="CA701" s="1"/>
      <c r="CB701" s="1"/>
      <c r="CC701" s="1" t="str">
        <f ca="1">IFERROR(__xludf.DUMMYFUNCTION("""COMPUTED_VALUE"""),"भक्ति एक दर्शन एक विज्ञान : H_JS_32")</f>
        <v>भक्ति एक दर्शन एक विज्ञान : H_JS_32</v>
      </c>
      <c r="CD701" s="3" t="str">
        <f ca="1">IFERROR(__xludf.DUMMYFUNCTION("""COMPUTED_VALUE"""),"https://vicharkrantibooks.org/productdetail?book_name=HINP0146_BHAKTI_EK_DARSHAN_EK_VIGYAN_xx2011&amp;product_id=711")</f>
        <v>https://vicharkrantibooks.org/productdetail?book_name=HINP0146_BHAKTI_EK_DARSHAN_EK_VIGYAN_xx2011&amp;product_id=711</v>
      </c>
      <c r="CE701" s="1" t="str">
        <f ca="1">IFERROR(__xludf.DUMMYFUNCTION("""COMPUTED_VALUE"""),"Audiobook : भक्ति एक दर्शन एक विज्ञान : H_JS_32 : rbbansalriya@gmail.com : Recorded")</f>
        <v>Audiobook : भक्ति एक दर्शन एक विज्ञान : H_JS_32 : rbbansalriya@gmail.com : Recorded</v>
      </c>
      <c r="CF701" s="1" t="str">
        <f ca="1">IFERROR(__xludf.DUMMYFUNCTION("""COMPUTED_VALUE"""),"Audiobook : भक्ति एक दर्शन एक विज्ञान : H_JS_32 : rbbansalriya@gmail.com : Recorded")</f>
        <v>Audiobook : भक्ति एक दर्शन एक विज्ञान : H_JS_32 : rbbansalriya@gmail.com : Recorded</v>
      </c>
      <c r="CG701" s="1" t="str">
        <f ca="1">IFERROR(__xludf.DUMMYFUNCTION("""COMPUTED_VALUE"""),"Adarniya Riya bansal  ji भक्ति एक दर्शन एक विज्ञान : H_JS_32 : Allocated on 07-Oct-23 Contact Number  9176361023")</f>
        <v>Adarniya Riya bansal  ji भक्ति एक दर्शन एक विज्ञान : H_JS_32 : Allocated on 07-Oct-23 Contact Number  9176361023</v>
      </c>
      <c r="CH701" s="1"/>
      <c r="CI701" s="1"/>
    </row>
    <row r="702" spans="1:87" x14ac:dyDescent="0.25">
      <c r="A702" s="5">
        <f ca="1">IFERROR(__xludf.DUMMYFUNCTION("""COMPUTED_VALUE"""),45206.6630395833)</f>
        <v>45206.663039583298</v>
      </c>
      <c r="B702" s="1" t="str">
        <f ca="1">IFERROR(__xludf.DUMMYFUNCTION("""COMPUTED_VALUE"""),"harshasony2@gmail.com")</f>
        <v>harshasony2@gmail.com</v>
      </c>
      <c r="C702" s="1" t="str">
        <f ca="1">IFERROR(__xludf.DUMMYFUNCTION("""COMPUTED_VALUE"""),"Harsha")</f>
        <v>Harsha</v>
      </c>
      <c r="D702" s="1">
        <f ca="1">IFERROR(__xludf.DUMMYFUNCTION("""COMPUTED_VALUE"""),8830255734)</f>
        <v>8830255734</v>
      </c>
      <c r="E702" s="1" t="str">
        <f ca="1">IFERROR(__xludf.DUMMYFUNCTION("""COMPUTED_VALUE"""),"No")</f>
        <v>No</v>
      </c>
      <c r="F702" s="1" t="str">
        <f ca="1">IFERROR(__xludf.DUMMYFUNCTION("""COMPUTED_VALUE"""),"हिन्दी or English")</f>
        <v>हिन्दी or English</v>
      </c>
      <c r="G702" s="1" t="str">
        <f ca="1">IFERROR(__xludf.DUMMYFUNCTION("""COMPUTED_VALUE"""),"समग्र स्वास्थ्य")</f>
        <v>समग्र स्वास्थ्य</v>
      </c>
      <c r="H702" s="1"/>
      <c r="I702" s="1"/>
      <c r="J702" s="1"/>
      <c r="K702" s="1"/>
      <c r="L702" s="1"/>
      <c r="M702" s="1"/>
      <c r="N702" s="1"/>
      <c r="O702" s="1"/>
      <c r="P702" s="1"/>
      <c r="Q702" s="1"/>
      <c r="R702" s="1"/>
      <c r="S702" s="1"/>
      <c r="T702" s="1"/>
      <c r="U702" s="1" t="str">
        <f ca="1">IFERROR(__xludf.DUMMYFUNCTION("""COMPUTED_VALUE"""),"स्वास्थ्य संवर्धन")</f>
        <v>स्वास्थ्य संवर्धन</v>
      </c>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f ca="1">IFERROR(__xludf.DUMMYFUNCTION("""COMPUTED_VALUE"""),1)</f>
        <v>1</v>
      </c>
      <c r="BX702" s="1">
        <f ca="1">IFERROR(__xludf.DUMMYFUNCTION("""COMPUTED_VALUE"""),0)</f>
        <v>0</v>
      </c>
      <c r="BY702" s="1">
        <f ca="1">IFERROR(__xludf.DUMMYFUNCTION("""COMPUTED_VALUE"""),1)</f>
        <v>1</v>
      </c>
      <c r="BZ702" s="1">
        <f ca="1">IFERROR(__xludf.DUMMYFUNCTION("""COMPUTED_VALUE"""),0)</f>
        <v>0</v>
      </c>
      <c r="CA702" s="1"/>
      <c r="CB702" s="5">
        <f ca="1">IFERROR(__xludf.DUMMYFUNCTION("""COMPUTED_VALUE"""),45216.6630395833)</f>
        <v>45216.663039583298</v>
      </c>
      <c r="CC702" s="1" t="str">
        <f ca="1">IFERROR(__xludf.DUMMYFUNCTION("""COMPUTED_VALUE"""),"आत्मरक्षा मनोरोगों से भी करनी चाहिये : Rare Book")</f>
        <v>आत्मरक्षा मनोरोगों से भी करनी चाहिये : Rare Book</v>
      </c>
      <c r="CD702" s="3" t="str">
        <f ca="1">IFERROR(__xludf.DUMMYFUNCTION("""COMPUTED_VALUE"""),"https://vicharkrantibooks.org/productdetail?book_name=HINF0050_ATMARAKSHA_MANOROGON_SE_BHI_KARANI_CHAHIYE_xxyyyy&amp;product_id=270")</f>
        <v>https://vicharkrantibooks.org/productdetail?book_name=HINF0050_ATMARAKSHA_MANOROGON_SE_BHI_KARANI_CHAHIYE_xxyyyy&amp;product_id=270</v>
      </c>
      <c r="CE702" s="1" t="str">
        <f ca="1">IFERROR(__xludf.DUMMYFUNCTION("""COMPUTED_VALUE"""),"Audiobook : आत्मरक्षा मनोरोगों से भी करनी चाहिये : Rare Book : harshasony2@gmail.com : Recorded")</f>
        <v>Audiobook : आत्मरक्षा मनोरोगों से भी करनी चाहिये : Rare Book : harshasony2@gmail.com : Recorded</v>
      </c>
      <c r="CF702" s="1" t="str">
        <f ca="1">IFERROR(__xludf.DUMMYFUNCTION("""COMPUTED_VALUE"""),"#N/A")</f>
        <v>#N/A</v>
      </c>
      <c r="CG702" s="1" t="str">
        <f ca="1">IFERROR(__xludf.DUMMYFUNCTION("""COMPUTED_VALUE"""),"Adarniya Harsha ji आत्मरक्षा मनोरोगों से भी करनी चाहिये : Rare Book : Allocated on 07-Oct-23 Contact Number  8830255734")</f>
        <v>Adarniya Harsha ji आत्मरक्षा मनोरोगों से भी करनी चाहिये : Rare Book : Allocated on 07-Oct-23 Contact Number  8830255734</v>
      </c>
      <c r="CH702" s="1"/>
      <c r="CI702" s="1"/>
    </row>
    <row r="703" spans="1:87" x14ac:dyDescent="0.25">
      <c r="A703" s="5">
        <f ca="1">IFERROR(__xludf.DUMMYFUNCTION("""COMPUTED_VALUE"""),45205.9910291435)</f>
        <v>45205.991029143501</v>
      </c>
      <c r="B703" s="1" t="str">
        <f ca="1">IFERROR(__xludf.DUMMYFUNCTION("""COMPUTED_VALUE"""),"amipat80@gmail.com")</f>
        <v>amipat80@gmail.com</v>
      </c>
      <c r="C703" s="1" t="str">
        <f ca="1">IFERROR(__xludf.DUMMYFUNCTION("""COMPUTED_VALUE"""),"Ami")</f>
        <v>Ami</v>
      </c>
      <c r="D703" s="1"/>
      <c r="E703" s="1"/>
      <c r="F703" s="1"/>
      <c r="G703" s="1" t="str">
        <f ca="1">IFERROR(__xludf.DUMMYFUNCTION("""COMPUTED_VALUE"""),"समग्र स्वास्थ्य")</f>
        <v>समग्र स्वास्थ्य</v>
      </c>
      <c r="H703" s="1"/>
      <c r="I703" s="1"/>
      <c r="J703" s="1"/>
      <c r="K703" s="1"/>
      <c r="L703" s="1"/>
      <c r="M703" s="1"/>
      <c r="N703" s="1"/>
      <c r="O703" s="1"/>
      <c r="P703" s="1"/>
      <c r="Q703" s="1"/>
      <c r="R703" s="1"/>
      <c r="S703" s="1"/>
      <c r="T703" s="1"/>
      <c r="U703" s="1" t="str">
        <f ca="1">IFERROR(__xludf.DUMMYFUNCTION("""COMPUTED_VALUE"""),"आहार-विहार एवं उपवास")</f>
        <v>आहार-विहार एवं उपवास</v>
      </c>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f ca="1">IFERROR(__xludf.DUMMYFUNCTION("""COMPUTED_VALUE"""),1)</f>
        <v>1</v>
      </c>
      <c r="BX703" s="1">
        <f ca="1">IFERROR(__xludf.DUMMYFUNCTION("""COMPUTED_VALUE"""),0)</f>
        <v>0</v>
      </c>
      <c r="BY703" s="1">
        <f ca="1">IFERROR(__xludf.DUMMYFUNCTION("""COMPUTED_VALUE"""),1)</f>
        <v>1</v>
      </c>
      <c r="BZ703" s="1">
        <f ca="1">IFERROR(__xludf.DUMMYFUNCTION("""COMPUTED_VALUE"""),0)</f>
        <v>0</v>
      </c>
      <c r="CA703" s="1"/>
      <c r="CB703" s="5">
        <f ca="1">IFERROR(__xludf.DUMMYFUNCTION("""COMPUTED_VALUE"""),45215.9910291435)</f>
        <v>45215.991029143501</v>
      </c>
      <c r="CC703" s="1" t="str">
        <f ca="1">IFERROR(__xludf.DUMMYFUNCTION("""COMPUTED_VALUE"""),"आहार क्रान्ति से कुपोषण निवारण : Rare Book")</f>
        <v>आहार क्रान्ति से कुपोषण निवारण : Rare Book</v>
      </c>
      <c r="CD703" s="3" t="str">
        <f ca="1">IFERROR(__xludf.DUMMYFUNCTION("""COMPUTED_VALUE"""),"https://vicharkrantibooks.org/productdetail?book_name=HINF0021_AHAR_KRANTI_SE_KUPOSHAN_NIVARAN_xxyyyy&amp;product_id=241")</f>
        <v>https://vicharkrantibooks.org/productdetail?book_name=HINF0021_AHAR_KRANTI_SE_KUPOSHAN_NIVARAN_xxyyyy&amp;product_id=241</v>
      </c>
      <c r="CE703" s="1" t="str">
        <f ca="1">IFERROR(__xludf.DUMMYFUNCTION("""COMPUTED_VALUE"""),"Audiobook : आहार क्रान्ति से कुपोषण निवारण : Rare Book : amipat80@gmail.com : Recorded")</f>
        <v>Audiobook : आहार क्रान्ति से कुपोषण निवारण : Rare Book : amipat80@gmail.com : Recorded</v>
      </c>
      <c r="CF703" s="1" t="str">
        <f ca="1">IFERROR(__xludf.DUMMYFUNCTION("""COMPUTED_VALUE"""),"#N/A")</f>
        <v>#N/A</v>
      </c>
      <c r="CG703" s="1" t="str">
        <f ca="1">IFERROR(__xludf.DUMMYFUNCTION("""COMPUTED_VALUE"""),"Adarniya Ami ji आहार क्रान्ति से कुपोषण निवारण : Rare Book : Allocated on 06-Oct-23 Contact Number  ")</f>
        <v xml:space="preserve">Adarniya Ami ji आहार क्रान्ति से कुपोषण निवारण : Rare Book : Allocated on 06-Oct-23 Contact Number  </v>
      </c>
      <c r="CH703" s="1"/>
      <c r="CI703" s="1"/>
    </row>
    <row r="704" spans="1:87" x14ac:dyDescent="0.25">
      <c r="A704" s="5">
        <f ca="1">IFERROR(__xludf.DUMMYFUNCTION("""COMPUTED_VALUE"""),45205.8426271296)</f>
        <v>45205.842627129598</v>
      </c>
      <c r="B704" s="1" t="str">
        <f ca="1">IFERROR(__xludf.DUMMYFUNCTION("""COMPUTED_VALUE"""),"shwetachowhan.courses@gmail.com")</f>
        <v>shwetachowhan.courses@gmail.com</v>
      </c>
      <c r="C704" s="1" t="str">
        <f ca="1">IFERROR(__xludf.DUMMYFUNCTION("""COMPUTED_VALUE"""),"Shweta")</f>
        <v>Shweta</v>
      </c>
      <c r="D704" s="1">
        <f ca="1">IFERROR(__xludf.DUMMYFUNCTION("""COMPUTED_VALUE"""),9914167771)</f>
        <v>9914167771</v>
      </c>
      <c r="E704" s="1" t="str">
        <f ca="1">IFERROR(__xludf.DUMMYFUNCTION("""COMPUTED_VALUE"""),"No")</f>
        <v>No</v>
      </c>
      <c r="F704" s="1" t="str">
        <f ca="1">IFERROR(__xludf.DUMMYFUNCTION("""COMPUTED_VALUE"""),"English")</f>
        <v>English</v>
      </c>
      <c r="G704" s="1" t="str">
        <f ca="1">IFERROR(__xludf.DUMMYFUNCTION("""COMPUTED_VALUE"""),"अध्यात्म, धर्म एवं दर्शन")</f>
        <v>अध्यात्म, धर्म एवं दर्शन</v>
      </c>
      <c r="H704" s="1" t="str">
        <f ca="1">IFERROR(__xludf.DUMMYFUNCTION("""COMPUTED_VALUE"""),"आत्मज्ञान एवं आत्मनिर्माण")</f>
        <v>आत्मज्ञान एवं आत्मनिर्माण</v>
      </c>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f ca="1">IFERROR(__xludf.DUMMYFUNCTION("""COMPUTED_VALUE"""),1)</f>
        <v>1</v>
      </c>
      <c r="BX704" s="1">
        <f ca="1">IFERROR(__xludf.DUMMYFUNCTION("""COMPUTED_VALUE"""),0)</f>
        <v>0</v>
      </c>
      <c r="BY704" s="1">
        <f ca="1">IFERROR(__xludf.DUMMYFUNCTION("""COMPUTED_VALUE"""),1)</f>
        <v>1</v>
      </c>
      <c r="BZ704" s="1">
        <f ca="1">IFERROR(__xludf.DUMMYFUNCTION("""COMPUTED_VALUE"""),0)</f>
        <v>0</v>
      </c>
      <c r="CA704" s="1"/>
      <c r="CB704" s="5">
        <f ca="1">IFERROR(__xludf.DUMMYFUNCTION("""COMPUTED_VALUE"""),45215.8426271296)</f>
        <v>45215.842627129598</v>
      </c>
      <c r="CC704" s="1" t="str">
        <f ca="1">IFERROR(__xludf.DUMMYFUNCTION("""COMPUTED_VALUE"""),"Twenty First Century The Dawn Of The Era Of Divine Descent On Earth : EP_46")</f>
        <v>Twenty First Century The Dawn Of The Era Of Divine Descent On Earth : EP_46</v>
      </c>
      <c r="CD704" s="3" t="str">
        <f ca="1">IFERROR(__xludf.DUMMYFUNCTION("""COMPUTED_VALUE"""),"http://literature.awgp.org/book/era_of_divine_descent/v1")</f>
        <v>http://literature.awgp.org/book/era_of_divine_descent/v1</v>
      </c>
      <c r="CE704" s="1" t="str">
        <f ca="1">IFERROR(__xludf.DUMMYFUNCTION("""COMPUTED_VALUE"""),"Audiobook : Twenty First Century The Dawn Of The Era Of Divine Descent On Earth : EP_46 : shwetachowhan.courses@gmail.com : Recorded")</f>
        <v>Audiobook : Twenty First Century The Dawn Of The Era Of Divine Descent On Earth : EP_46 : shwetachowhan.courses@gmail.com : Recorded</v>
      </c>
      <c r="CF704" s="1" t="str">
        <f ca="1">IFERROR(__xludf.DUMMYFUNCTION("""COMPUTED_VALUE"""),"#N/A")</f>
        <v>#N/A</v>
      </c>
      <c r="CG704" s="1" t="str">
        <f ca="1">IFERROR(__xludf.DUMMYFUNCTION("""COMPUTED_VALUE"""),"Adarniya Shweta ji Twenty First Century The Dawn Of The Era Of Divine Descent On Earth : EP_46 : Allocated on 06-Oct-23 Contact Number  9914167771")</f>
        <v>Adarniya Shweta ji Twenty First Century The Dawn Of The Era Of Divine Descent On Earth : EP_46 : Allocated on 06-Oct-23 Contact Number  9914167771</v>
      </c>
      <c r="CH704" s="1"/>
      <c r="CI704" s="1"/>
    </row>
    <row r="705" spans="1:87" x14ac:dyDescent="0.25">
      <c r="A705" s="5">
        <f ca="1">IFERROR(__xludf.DUMMYFUNCTION("""COMPUTED_VALUE"""),45205.723597824)</f>
        <v>45205.723597823999</v>
      </c>
      <c r="B705" s="1" t="str">
        <f ca="1">IFERROR(__xludf.DUMMYFUNCTION("""COMPUTED_VALUE"""),"rashmi0363@gmail.com")</f>
        <v>rashmi0363@gmail.com</v>
      </c>
      <c r="C705" s="1" t="str">
        <f ca="1">IFERROR(__xludf.DUMMYFUNCTION("""COMPUTED_VALUE"""),"Rashmi sinha")</f>
        <v>Rashmi sinha</v>
      </c>
      <c r="D705" s="1">
        <f ca="1">IFERROR(__xludf.DUMMYFUNCTION("""COMPUTED_VALUE"""),9212688575)</f>
        <v>9212688575</v>
      </c>
      <c r="E705" s="1" t="str">
        <f ca="1">IFERROR(__xludf.DUMMYFUNCTION("""COMPUTED_VALUE"""),"No")</f>
        <v>No</v>
      </c>
      <c r="F705" s="1" t="str">
        <f ca="1">IFERROR(__xludf.DUMMYFUNCTION("""COMPUTED_VALUE"""),"हिन्दी")</f>
        <v>हिन्दी</v>
      </c>
      <c r="G705" s="1" t="str">
        <f ca="1">IFERROR(__xludf.DUMMYFUNCTION("""COMPUTED_VALUE"""),"भारतीय संस्कृति")</f>
        <v>भारतीय संस्कृति</v>
      </c>
      <c r="H705" s="1"/>
      <c r="I705" s="1"/>
      <c r="J705" s="1"/>
      <c r="K705" s="1"/>
      <c r="L705" s="1"/>
      <c r="M705" s="1"/>
      <c r="N705" s="1"/>
      <c r="O705" s="1" t="str">
        <f ca="1">IFERROR(__xludf.DUMMYFUNCTION("""COMPUTED_VALUE"""),"यज्ञ")</f>
        <v>यज्ञ</v>
      </c>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f ca="1">IFERROR(__xludf.DUMMYFUNCTION("""COMPUTED_VALUE"""),8)</f>
        <v>8</v>
      </c>
      <c r="BX705" s="1">
        <f ca="1">IFERROR(__xludf.DUMMYFUNCTION("""COMPUTED_VALUE"""),11)</f>
        <v>11</v>
      </c>
      <c r="BY705" s="1">
        <f ca="1">IFERROR(__xludf.DUMMYFUNCTION("""COMPUTED_VALUE"""),1)</f>
        <v>1</v>
      </c>
      <c r="BZ705" s="1">
        <f ca="1">IFERROR(__xludf.DUMMYFUNCTION("""COMPUTED_VALUE"""),5)</f>
        <v>5</v>
      </c>
      <c r="CA705" s="1"/>
      <c r="CB705" s="1"/>
      <c r="CC705" s="1" t="str">
        <f ca="1">IFERROR(__xludf.DUMMYFUNCTION("""COMPUTED_VALUE"""),"बाहरी योग से अंतर्योग अधिक श्रेयष्कर : H_SA_34")</f>
        <v>बाहरी योग से अंतर्योग अधिक श्रेयष्कर : H_SA_34</v>
      </c>
      <c r="CD705" s="3" t="str">
        <f ca="1">IFERROR(__xludf.DUMMYFUNCTION("""COMPUTED_VALUE"""),"https://vicharkrantibooks.org/productdetail?book_name=HINP0128_BAHARI_YOG_SE_ANTARYOG_ADHIK_SHREYASHAKAR_xxyyyy&amp;product_id=693")</f>
        <v>https://vicharkrantibooks.org/productdetail?book_name=HINP0128_BAHARI_YOG_SE_ANTARYOG_ADHIK_SHREYASHAKAR_xxyyyy&amp;product_id=693</v>
      </c>
      <c r="CE705" s="1" t="str">
        <f ca="1">IFERROR(__xludf.DUMMYFUNCTION("""COMPUTED_VALUE"""),"Audiobook : बाहरी योग से अंतर्योग अधिक श्रेयष्कर : H_SA_34 : rashmi0363@gmail.com : Recorded")</f>
        <v>Audiobook : बाहरी योग से अंतर्योग अधिक श्रेयष्कर : H_SA_34 : rashmi0363@gmail.com : Recorded</v>
      </c>
      <c r="CF705" s="1" t="str">
        <f ca="1">IFERROR(__xludf.DUMMYFUNCTION("""COMPUTED_VALUE"""),"Audiobook : बाहरी योग से अंतर्योग अधिक श्रेयष्कर : H_SA_34 : rashmi0363@gmail.com : Recorded")</f>
        <v>Audiobook : बाहरी योग से अंतर्योग अधिक श्रेयष्कर : H_SA_34 : rashmi0363@gmail.com : Recorded</v>
      </c>
      <c r="CG705" s="1" t="str">
        <f ca="1">IFERROR(__xludf.DUMMYFUNCTION("""COMPUTED_VALUE"""),"Adarniya Rashmi sinha ji बाहरी योग से अंतर्योग अधिक श्रेयष्कर : H_SA_34 : Allocated on 06-Oct-23 Contact Number  9212688575")</f>
        <v>Adarniya Rashmi sinha ji बाहरी योग से अंतर्योग अधिक श्रेयष्कर : H_SA_34 : Allocated on 06-Oct-23 Contact Number  9212688575</v>
      </c>
      <c r="CH705" s="1"/>
      <c r="CI705" s="1"/>
    </row>
    <row r="706" spans="1:87" x14ac:dyDescent="0.25">
      <c r="A706" s="5">
        <f ca="1">IFERROR(__xludf.DUMMYFUNCTION("""COMPUTED_VALUE"""),45205.5584721527)</f>
        <v>45205.558472152698</v>
      </c>
      <c r="B706" s="1" t="str">
        <f ca="1">IFERROR(__xludf.DUMMYFUNCTION("""COMPUTED_VALUE"""),"anshtraders19@gmail.com")</f>
        <v>anshtraders19@gmail.com</v>
      </c>
      <c r="C706" s="1" t="str">
        <f ca="1">IFERROR(__xludf.DUMMYFUNCTION("""COMPUTED_VALUE"""),"Anshu")</f>
        <v>Anshu</v>
      </c>
      <c r="D706" s="1"/>
      <c r="E706" s="1" t="str">
        <f ca="1">IFERROR(__xludf.DUMMYFUNCTION("""COMPUTED_VALUE"""),"Yes")</f>
        <v>Yes</v>
      </c>
      <c r="F706" s="1" t="str">
        <f ca="1">IFERROR(__xludf.DUMMYFUNCTION("""COMPUTED_VALUE"""),"हिन्दी")</f>
        <v>हिन्दी</v>
      </c>
      <c r="G706" s="1" t="str">
        <f ca="1">IFERROR(__xludf.DUMMYFUNCTION("""COMPUTED_VALUE"""),"युग द्रष्टा पं. श्रीराम शर्मा आचार्यजी")</f>
        <v>युग द्रष्टा पं. श्रीराम शर्मा आचार्यजी</v>
      </c>
      <c r="H706" s="1"/>
      <c r="I706" s="1"/>
      <c r="J706" s="1"/>
      <c r="K706" s="1"/>
      <c r="L706" s="1"/>
      <c r="M706" s="1"/>
      <c r="N706" s="1"/>
      <c r="O706" s="1"/>
      <c r="P706" s="1" t="str">
        <f ca="1">IFERROR(__xludf.DUMMYFUNCTION("""COMPUTED_VALUE"""),"युगॠषी की अमृतवाणी")</f>
        <v>युगॠषी की अमृतवाणी</v>
      </c>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f ca="1">IFERROR(__xludf.DUMMYFUNCTION("""COMPUTED_VALUE"""),3)</f>
        <v>3</v>
      </c>
      <c r="BX706" s="1">
        <f ca="1">IFERROR(__xludf.DUMMYFUNCTION("""COMPUTED_VALUE"""),1)</f>
        <v>1</v>
      </c>
      <c r="BY706" s="1">
        <f ca="1">IFERROR(__xludf.DUMMYFUNCTION("""COMPUTED_VALUE"""),3)</f>
        <v>3</v>
      </c>
      <c r="BZ706" s="1">
        <f ca="1">IFERROR(__xludf.DUMMYFUNCTION("""COMPUTED_VALUE"""),1)</f>
        <v>1</v>
      </c>
      <c r="CA706" s="1"/>
      <c r="CB706" s="5">
        <f ca="1">IFERROR(__xludf.DUMMYFUNCTION("""COMPUTED_VALUE"""),45215.5584721527)</f>
        <v>45215.558472152698</v>
      </c>
      <c r="CC706" s="1" t="str">
        <f ca="1">IFERROR(__xludf.DUMMYFUNCTION("""COMPUTED_VALUE"""),"उत्कृष्ट मानस में ही ईश्वर का दर्शन : Rare Book")</f>
        <v>उत्कृष्ट मानस में ही ईश्वर का दर्शन : Rare Book</v>
      </c>
      <c r="CD706" s="3" t="str">
        <f ca="1">IFERROR(__xludf.DUMMYFUNCTION("""COMPUTED_VALUE"""),"https://vicharkrantibooks.org/productdetail?book_name=HINP0936_UTKRUSHT_MANAS_MEIN_HI_ISHWAR_KA_DARSHAN_xx1981&amp;product_id=1501")</f>
        <v>https://vicharkrantibooks.org/productdetail?book_name=HINP0936_UTKRUSHT_MANAS_MEIN_HI_ISHWAR_KA_DARSHAN_xx1981&amp;product_id=1501</v>
      </c>
      <c r="CE706" s="1" t="str">
        <f ca="1">IFERROR(__xludf.DUMMYFUNCTION("""COMPUTED_VALUE"""),"Audiobook : उत्कृष्ट मानस में ही ईश्वर का दर्शन : Rare Book : anshtraders19@gmail.com : Recorded")</f>
        <v>Audiobook : उत्कृष्ट मानस में ही ईश्वर का दर्शन : Rare Book : anshtraders19@gmail.com : Recorded</v>
      </c>
      <c r="CF706" s="1" t="str">
        <f ca="1">IFERROR(__xludf.DUMMYFUNCTION("""COMPUTED_VALUE"""),"#N/A")</f>
        <v>#N/A</v>
      </c>
      <c r="CG706" s="1" t="str">
        <f ca="1">IFERROR(__xludf.DUMMYFUNCTION("""COMPUTED_VALUE"""),"Adarniya Anshu ji उत्कृष्ट मानस में ही ईश्वर का दर्शन : Rare Book : Allocated on 06-Oct-23 Contact Number  ")</f>
        <v xml:space="preserve">Adarniya Anshu ji उत्कृष्ट मानस में ही ईश्वर का दर्शन : Rare Book : Allocated on 06-Oct-23 Contact Number  </v>
      </c>
      <c r="CH706" s="1"/>
      <c r="CI706" s="1"/>
    </row>
    <row r="707" spans="1:87" x14ac:dyDescent="0.25">
      <c r="A707" s="5">
        <f ca="1">IFERROR(__xludf.DUMMYFUNCTION("""COMPUTED_VALUE"""),45205.3620977546)</f>
        <v>45205.362097754602</v>
      </c>
      <c r="B707" s="1" t="str">
        <f ca="1">IFERROR(__xludf.DUMMYFUNCTION("""COMPUTED_VALUE"""),"manjusrivastava349@gmail.com")</f>
        <v>manjusrivastava349@gmail.com</v>
      </c>
      <c r="C707" s="1" t="str">
        <f ca="1">IFERROR(__xludf.DUMMYFUNCTION("""COMPUTED_VALUE"""),"Manju Srivastava")</f>
        <v>Manju Srivastava</v>
      </c>
      <c r="D707" s="1">
        <f ca="1">IFERROR(__xludf.DUMMYFUNCTION("""COMPUTED_VALUE"""),9450345667)</f>
        <v>9450345667</v>
      </c>
      <c r="E707" s="1" t="str">
        <f ca="1">IFERROR(__xludf.DUMMYFUNCTION("""COMPUTED_VALUE"""),"Yes")</f>
        <v>Yes</v>
      </c>
      <c r="F707" s="1" t="str">
        <f ca="1">IFERROR(__xludf.DUMMYFUNCTION("""COMPUTED_VALUE"""),"हिन्दी")</f>
        <v>हिन्दी</v>
      </c>
      <c r="G707" s="1" t="str">
        <f ca="1">IFERROR(__xludf.DUMMYFUNCTION("""COMPUTED_VALUE"""),"युग द्रष्टा पं. श्रीराम शर्मा आचार्यजी")</f>
        <v>युग द्रष्टा पं. श्रीराम शर्मा आचार्यजी</v>
      </c>
      <c r="H707" s="1"/>
      <c r="I707" s="1"/>
      <c r="J707" s="1"/>
      <c r="K707" s="1"/>
      <c r="L707" s="1"/>
      <c r="M707" s="1"/>
      <c r="N707" s="1"/>
      <c r="O707" s="1"/>
      <c r="P707" s="1" t="str">
        <f ca="1">IFERROR(__xludf.DUMMYFUNCTION("""COMPUTED_VALUE"""),"युगॠषी की अमृतवाणी")</f>
        <v>युगॠषी की अमृतवाणी</v>
      </c>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f ca="1">IFERROR(__xludf.DUMMYFUNCTION("""COMPUTED_VALUE"""),10)</f>
        <v>10</v>
      </c>
      <c r="BX707" s="1">
        <f ca="1">IFERROR(__xludf.DUMMYFUNCTION("""COMPUTED_VALUE"""),12)</f>
        <v>12</v>
      </c>
      <c r="BY707" s="1">
        <f ca="1">IFERROR(__xludf.DUMMYFUNCTION("""COMPUTED_VALUE"""),0)</f>
        <v>0</v>
      </c>
      <c r="BZ707" s="1">
        <f ca="1">IFERROR(__xludf.DUMMYFUNCTION("""COMPUTED_VALUE"""),2)</f>
        <v>2</v>
      </c>
      <c r="CA707" s="1"/>
      <c r="CB707" s="1"/>
      <c r="CC707" s="1" t="str">
        <f ca="1">IFERROR(__xludf.DUMMYFUNCTION("""COMPUTED_VALUE"""),"ईमानदारी का मार्ग अपनाएँ : Rare Book")</f>
        <v>ईमानदारी का मार्ग अपनाएँ : Rare Book</v>
      </c>
      <c r="CD707" s="3" t="str">
        <f ca="1">IFERROR(__xludf.DUMMYFUNCTION("""COMPUTED_VALUE"""),"https://vicharkrantibooks.org/productdetail?book_name=HINP1095_IMANADARI_KA_MARG_APANAEN_xxyyyy&amp;product_id=1660")</f>
        <v>https://vicharkrantibooks.org/productdetail?book_name=HINP1095_IMANADARI_KA_MARG_APANAEN_xxyyyy&amp;product_id=1660</v>
      </c>
      <c r="CE707" s="1" t="str">
        <f ca="1">IFERROR(__xludf.DUMMYFUNCTION("""COMPUTED_VALUE"""),"Audiobook : ईमानदारी का मार्ग अपनाएँ : Rare Book : manjusrivastava349@gmail.com : Recorded")</f>
        <v>Audiobook : ईमानदारी का मार्ग अपनाएँ : Rare Book : manjusrivastava349@gmail.com : Recorded</v>
      </c>
      <c r="CF707" s="1" t="str">
        <f ca="1">IFERROR(__xludf.DUMMYFUNCTION("""COMPUTED_VALUE"""),"Audiobook : ईमानदारी का मार्ग अपनाएँ : Rare Book : manjusrivastava349@gmail.com : Recorded")</f>
        <v>Audiobook : ईमानदारी का मार्ग अपनाएँ : Rare Book : manjusrivastava349@gmail.com : Recorded</v>
      </c>
      <c r="CG707" s="1" t="str">
        <f ca="1">IFERROR(__xludf.DUMMYFUNCTION("""COMPUTED_VALUE"""),"Adarniya Manju Srivastava ji ईमानदारी का मार्ग अपनाएँ : Rare Book : Allocated on 06-Oct-23 Contact Number  9450345667")</f>
        <v>Adarniya Manju Srivastava ji ईमानदारी का मार्ग अपनाएँ : Rare Book : Allocated on 06-Oct-23 Contact Number  9450345667</v>
      </c>
      <c r="CH707" s="1"/>
      <c r="CI707" s="1"/>
    </row>
    <row r="708" spans="1:87" x14ac:dyDescent="0.25">
      <c r="A708" s="5">
        <f ca="1">IFERROR(__xludf.DUMMYFUNCTION("""COMPUTED_VALUE"""),45204.9546201736)</f>
        <v>45204.954620173601</v>
      </c>
      <c r="B708" s="1" t="str">
        <f ca="1">IFERROR(__xludf.DUMMYFUNCTION("""COMPUTED_VALUE"""),"jamunashukla17@gmail.com")</f>
        <v>jamunashukla17@gmail.com</v>
      </c>
      <c r="C708" s="1" t="str">
        <f ca="1">IFERROR(__xludf.DUMMYFUNCTION("""COMPUTED_VALUE"""),"Smt J S Shukla ")</f>
        <v xml:space="preserve">Smt J S Shukla </v>
      </c>
      <c r="D708" s="1">
        <f ca="1">IFERROR(__xludf.DUMMYFUNCTION("""COMPUTED_VALUE"""),8390353167)</f>
        <v>8390353167</v>
      </c>
      <c r="E708" s="1" t="str">
        <f ca="1">IFERROR(__xludf.DUMMYFUNCTION("""COMPUTED_VALUE"""),"Yes")</f>
        <v>Yes</v>
      </c>
      <c r="F708" s="1" t="str">
        <f ca="1">IFERROR(__xludf.DUMMYFUNCTION("""COMPUTED_VALUE"""),"हिन्दी")</f>
        <v>हिन्दी</v>
      </c>
      <c r="G708" s="1" t="str">
        <f ca="1">IFERROR(__xludf.DUMMYFUNCTION("""COMPUTED_VALUE"""),"अध्यात्म, धर्म एवं दर्शन")</f>
        <v>अध्यात्म, धर्म एवं दर्शन</v>
      </c>
      <c r="H708" s="1" t="str">
        <f ca="1">IFERROR(__xludf.DUMMYFUNCTION("""COMPUTED_VALUE"""),"अध्यात्म, धर्म एवं आस्तिकता")</f>
        <v>अध्यात्म, धर्म एवं आस्तिकता</v>
      </c>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f ca="1">IFERROR(__xludf.DUMMYFUNCTION("""COMPUTED_VALUE"""),53)</f>
        <v>53</v>
      </c>
      <c r="BX708" s="1">
        <f ca="1">IFERROR(__xludf.DUMMYFUNCTION("""COMPUTED_VALUE"""),53)</f>
        <v>53</v>
      </c>
      <c r="BY708" s="1">
        <f ca="1">IFERROR(__xludf.DUMMYFUNCTION("""COMPUTED_VALUE"""),9)</f>
        <v>9</v>
      </c>
      <c r="BZ708" s="1">
        <f ca="1">IFERROR(__xludf.DUMMYFUNCTION("""COMPUTED_VALUE"""),25)</f>
        <v>25</v>
      </c>
      <c r="CA708" s="1"/>
      <c r="CB708" s="1"/>
      <c r="CC708" s="1" t="str">
        <f ca="1">IFERROR(__xludf.DUMMYFUNCTION("""COMPUTED_VALUE"""),"भगवान और भजन का मर्म : H_JS_66")</f>
        <v>भगवान और भजन का मर्म : H_JS_66</v>
      </c>
      <c r="CD708" s="3" t="str">
        <f ca="1">IFERROR(__xludf.DUMMYFUNCTION("""COMPUTED_VALUE"""),"https://vicharkrantibooks.org/productdetail?book_name=HINP0135_BHAGAVAN_AUR_BHAJAN_KA_MARM_xx2011&amp;product_id=700")</f>
        <v>https://vicharkrantibooks.org/productdetail?book_name=HINP0135_BHAGAVAN_AUR_BHAJAN_KA_MARM_xx2011&amp;product_id=700</v>
      </c>
      <c r="CE708" s="1" t="str">
        <f ca="1">IFERROR(__xludf.DUMMYFUNCTION("""COMPUTED_VALUE"""),"Audiobook : भगवान और भजन का मर्म : H_JS_66 : jamunashukla17@gmail.com : Recorded")</f>
        <v>Audiobook : भगवान और भजन का मर्म : H_JS_66 : jamunashukla17@gmail.com : Recorded</v>
      </c>
      <c r="CF708" s="1" t="str">
        <f ca="1">IFERROR(__xludf.DUMMYFUNCTION("""COMPUTED_VALUE"""),"Audiobook : भगवान और भजन का मर्म : H_JS_66 : jamunashukla17@gmail.com : Recorded")</f>
        <v>Audiobook : भगवान और भजन का मर्म : H_JS_66 : jamunashukla17@gmail.com : Recorded</v>
      </c>
      <c r="CG708" s="1" t="str">
        <f ca="1">IFERROR(__xludf.DUMMYFUNCTION("""COMPUTED_VALUE"""),"Adarniya Smt J S Shukla  ji भगवान और भजन का मर्म : H_JS_66 : Allocated on 05-Oct-23 Contact Number  8390353167")</f>
        <v>Adarniya Smt J S Shukla  ji भगवान और भजन का मर्म : H_JS_66 : Allocated on 05-Oct-23 Contact Number  8390353167</v>
      </c>
      <c r="CH708" s="1"/>
      <c r="CI708" s="1"/>
    </row>
    <row r="709" spans="1:87" x14ac:dyDescent="0.25">
      <c r="A709" s="5">
        <f ca="1">IFERROR(__xludf.DUMMYFUNCTION("""COMPUTED_VALUE"""),45204.7182165162)</f>
        <v>45204.718216516201</v>
      </c>
      <c r="B709" s="1" t="str">
        <f ca="1">IFERROR(__xludf.DUMMYFUNCTION("""COMPUTED_VALUE"""),"ajaykurtha2@gmail.com")</f>
        <v>ajaykurtha2@gmail.com</v>
      </c>
      <c r="C709" s="1" t="str">
        <f ca="1">IFERROR(__xludf.DUMMYFUNCTION("""COMPUTED_VALUE""")," Maya chaudhary ")</f>
        <v xml:space="preserve"> Maya chaudhary </v>
      </c>
      <c r="D709" s="1">
        <f ca="1">IFERROR(__xludf.DUMMYFUNCTION("""COMPUTED_VALUE"""),9504813336)</f>
        <v>9504813336</v>
      </c>
      <c r="E709" s="1" t="str">
        <f ca="1">IFERROR(__xludf.DUMMYFUNCTION("""COMPUTED_VALUE"""),"Yes")</f>
        <v>Yes</v>
      </c>
      <c r="F709" s="1" t="str">
        <f ca="1">IFERROR(__xludf.DUMMYFUNCTION("""COMPUTED_VALUE"""),"हिन्दी")</f>
        <v>हिन्दी</v>
      </c>
      <c r="G709" s="1" t="str">
        <f ca="1">IFERROR(__xludf.DUMMYFUNCTION("""COMPUTED_VALUE"""),"Jay gurudev ")</f>
        <v xml:space="preserve">Jay gurudev </v>
      </c>
      <c r="H709" s="1" t="str">
        <f ca="1">IFERROR(__xludf.DUMMYFUNCTION("""COMPUTED_VALUE"""),"साधना")</f>
        <v>साधना</v>
      </c>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f ca="1">IFERROR(__xludf.DUMMYFUNCTION("""COMPUTED_VALUE"""),1)</f>
        <v>1</v>
      </c>
      <c r="BX709" s="1">
        <f ca="1">IFERROR(__xludf.DUMMYFUNCTION("""COMPUTED_VALUE"""),0)</f>
        <v>0</v>
      </c>
      <c r="BY709" s="1">
        <f ca="1">IFERROR(__xludf.DUMMYFUNCTION("""COMPUTED_VALUE"""),1)</f>
        <v>1</v>
      </c>
      <c r="BZ709" s="1">
        <f ca="1">IFERROR(__xludf.DUMMYFUNCTION("""COMPUTED_VALUE"""),0)</f>
        <v>0</v>
      </c>
      <c r="CA709" s="1"/>
      <c r="CB709" s="5">
        <f ca="1">IFERROR(__xludf.DUMMYFUNCTION("""COMPUTED_VALUE"""),45214.7182165162)</f>
        <v>45214.718216516201</v>
      </c>
      <c r="CC709" s="1" t="str">
        <f ca="1">IFERROR(__xludf.DUMMYFUNCTION("""COMPUTED_VALUE"""),"विज्ञान धर्म का विरोधी नहीं हो सकता : Rare Book")</f>
        <v>विज्ञान धर्म का विरोधी नहीं हो सकता : Rare Book</v>
      </c>
      <c r="CD709" s="3" t="str">
        <f ca="1">IFERROR(__xludf.DUMMYFUNCTION("""COMPUTED_VALUE"""),"https://vicharkrantibooks.org/productdetail?book_name=HINP0971_VIGYAN_DHARM_KA_VIRODHI_NAHI_HO_SAKATA_xx1981&amp;product_id=1536")</f>
        <v>https://vicharkrantibooks.org/productdetail?book_name=HINP0971_VIGYAN_DHARM_KA_VIRODHI_NAHI_HO_SAKATA_xx1981&amp;product_id=1536</v>
      </c>
      <c r="CE709" s="1" t="str">
        <f ca="1">IFERROR(__xludf.DUMMYFUNCTION("""COMPUTED_VALUE"""),"Audiobook : विज्ञान धर्म का विरोधी नहीं हो सकता : Rare Book : ajaykurtha2@gmail.com : Recorded")</f>
        <v>Audiobook : विज्ञान धर्म का विरोधी नहीं हो सकता : Rare Book : ajaykurtha2@gmail.com : Recorded</v>
      </c>
      <c r="CF709" s="1" t="str">
        <f ca="1">IFERROR(__xludf.DUMMYFUNCTION("""COMPUTED_VALUE"""),"#N/A")</f>
        <v>#N/A</v>
      </c>
      <c r="CG709" s="1" t="str">
        <f ca="1">IFERROR(__xludf.DUMMYFUNCTION("""COMPUTED_VALUE"""),"Adarniya  Maya chaudhary  ji विज्ञान धर्म का विरोधी नहीं हो सकता : Rare Book : Allocated on 05-Oct-23 Contact Number  9504813336")</f>
        <v>Adarniya  Maya chaudhary  ji विज्ञान धर्म का विरोधी नहीं हो सकता : Rare Book : Allocated on 05-Oct-23 Contact Number  9504813336</v>
      </c>
      <c r="CH709" s="1"/>
      <c r="CI709" s="1"/>
    </row>
    <row r="710" spans="1:87" x14ac:dyDescent="0.25">
      <c r="A710" s="5">
        <f ca="1">IFERROR(__xludf.DUMMYFUNCTION("""COMPUTED_VALUE"""),45204.6553809143)</f>
        <v>45204.655380914301</v>
      </c>
      <c r="B710" s="1" t="str">
        <f ca="1">IFERROR(__xludf.DUMMYFUNCTION("""COMPUTED_VALUE"""),"csprasad108@gmail.com")</f>
        <v>csprasad108@gmail.com</v>
      </c>
      <c r="C710" s="1" t="str">
        <f ca="1">IFERROR(__xludf.DUMMYFUNCTION("""COMPUTED_VALUE"""),"Kumkum prasad")</f>
        <v>Kumkum prasad</v>
      </c>
      <c r="D710" s="1">
        <f ca="1">IFERROR(__xludf.DUMMYFUNCTION("""COMPUTED_VALUE"""),7978055621)</f>
        <v>7978055621</v>
      </c>
      <c r="E710" s="1" t="str">
        <f ca="1">IFERROR(__xludf.DUMMYFUNCTION("""COMPUTED_VALUE"""),"Yes")</f>
        <v>Yes</v>
      </c>
      <c r="F710" s="1" t="str">
        <f ca="1">IFERROR(__xludf.DUMMYFUNCTION("""COMPUTED_VALUE"""),"हिन्दी")</f>
        <v>हिन्दी</v>
      </c>
      <c r="G710" s="1" t="str">
        <f ca="1">IFERROR(__xludf.DUMMYFUNCTION("""COMPUTED_VALUE"""),"युग द्रष्टा पं. श्रीराम शर्मा आचार्यजी")</f>
        <v>युग द्रष्टा पं. श्रीराम शर्मा आचार्यजी</v>
      </c>
      <c r="H710" s="1"/>
      <c r="I710" s="1"/>
      <c r="J710" s="1"/>
      <c r="K710" s="1"/>
      <c r="L710" s="1"/>
      <c r="M710" s="1"/>
      <c r="N710" s="1"/>
      <c r="O710" s="1"/>
      <c r="P710" s="1" t="str">
        <f ca="1">IFERROR(__xludf.DUMMYFUNCTION("""COMPUTED_VALUE"""),"युगॠषी का जीवनदर्शन")</f>
        <v>युगॠषी का जीवनदर्शन</v>
      </c>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f ca="1">IFERROR(__xludf.DUMMYFUNCTION("""COMPUTED_VALUE"""),52)</f>
        <v>52</v>
      </c>
      <c r="BX710" s="1">
        <f ca="1">IFERROR(__xludf.DUMMYFUNCTION("""COMPUTED_VALUE"""),54)</f>
        <v>54</v>
      </c>
      <c r="BY710" s="1">
        <f ca="1">IFERROR(__xludf.DUMMYFUNCTION("""COMPUTED_VALUE"""),3)</f>
        <v>3</v>
      </c>
      <c r="BZ710" s="1">
        <f ca="1">IFERROR(__xludf.DUMMYFUNCTION("""COMPUTED_VALUE"""),24)</f>
        <v>24</v>
      </c>
      <c r="CA710" s="1"/>
      <c r="CB710" s="1"/>
      <c r="CC710" s="1" t="str">
        <f ca="1">IFERROR(__xludf.DUMMYFUNCTION("""COMPUTED_VALUE"""),"भगवान बुद्ध का उत्तरार्ध प्राज्ञाअवतार (पॉकेट) : H_SJ_77")</f>
        <v>भगवान बुद्ध का उत्तरार्ध प्राज्ञाअवतार (पॉकेट) : H_SJ_77</v>
      </c>
      <c r="CD710" s="3" t="str">
        <f ca="1">IFERROR(__xludf.DUMMYFUNCTION("""COMPUTED_VALUE"""),"https://vicharkrantibooks.org/productdetail?book_name=HINP0136_BHAGAVAN_BUDDH_KA_UTTARARDDH_PRAGYAVATAR_(POCKET)_xxyyyy&amp;product_id=701")</f>
        <v>https://vicharkrantibooks.org/productdetail?book_name=HINP0136_BHAGAVAN_BUDDH_KA_UTTARARDDH_PRAGYAVATAR_(POCKET)_xxyyyy&amp;product_id=701</v>
      </c>
      <c r="CE710" s="1" t="str">
        <f ca="1">IFERROR(__xludf.DUMMYFUNCTION("""COMPUTED_VALUE"""),"Audiobook : भगवान बुद्ध का उत्तरार्ध प्राज्ञाअवतार (पॉकेट) : H_SJ_77 : csprasad108@gmail.com : Recorded")</f>
        <v>Audiobook : भगवान बुद्ध का उत्तरार्ध प्राज्ञाअवतार (पॉकेट) : H_SJ_77 : csprasad108@gmail.com : Recorded</v>
      </c>
      <c r="CF710" s="1" t="str">
        <f ca="1">IFERROR(__xludf.DUMMYFUNCTION("""COMPUTED_VALUE"""),"Audiobook : भगवान बुद्ध का उत्तरार्ध प्राज्ञाअवतार (पॉकेट) : H_SJ_77 : csprasad108@gmail.com : Recorded")</f>
        <v>Audiobook : भगवान बुद्ध का उत्तरार्ध प्राज्ञाअवतार (पॉकेट) : H_SJ_77 : csprasad108@gmail.com : Recorded</v>
      </c>
      <c r="CG710" s="1" t="str">
        <f ca="1">IFERROR(__xludf.DUMMYFUNCTION("""COMPUTED_VALUE"""),"Adarniya Kumkum prasad ji भगवान बुद्ध का उत्तरार्ध प्राज्ञाअवतार (पॉकेट) : H_SJ_77 : Allocated on 05-Oct-23 Contact Number  7978055621")</f>
        <v>Adarniya Kumkum prasad ji भगवान बुद्ध का उत्तरार्ध प्राज्ञाअवतार (पॉकेट) : H_SJ_77 : Allocated on 05-Oct-23 Contact Number  7978055621</v>
      </c>
      <c r="CH710" s="1"/>
      <c r="CI710" s="1"/>
    </row>
    <row r="711" spans="1:87" x14ac:dyDescent="0.25">
      <c r="A711" s="5">
        <f ca="1">IFERROR(__xludf.DUMMYFUNCTION("""COMPUTED_VALUE"""),45204.471626331)</f>
        <v>45204.471626330997</v>
      </c>
      <c r="B711" s="1" t="str">
        <f ca="1">IFERROR(__xludf.DUMMYFUNCTION("""COMPUTED_VALUE"""),"shalinibaghel1923@gmail.com")</f>
        <v>shalinibaghel1923@gmail.com</v>
      </c>
      <c r="C711" s="1" t="str">
        <f ca="1">IFERROR(__xludf.DUMMYFUNCTION("""COMPUTED_VALUE"""),"Shalini Baghelker")</f>
        <v>Shalini Baghelker</v>
      </c>
      <c r="D711" s="1">
        <f ca="1">IFERROR(__xludf.DUMMYFUNCTION("""COMPUTED_VALUE"""),7999589365)</f>
        <v>7999589365</v>
      </c>
      <c r="E711" s="1" t="str">
        <f ca="1">IFERROR(__xludf.DUMMYFUNCTION("""COMPUTED_VALUE"""),"No")</f>
        <v>No</v>
      </c>
      <c r="F711" s="1" t="str">
        <f ca="1">IFERROR(__xludf.DUMMYFUNCTION("""COMPUTED_VALUE"""),"हिन्दी")</f>
        <v>हिन्दी</v>
      </c>
      <c r="G711" s="1" t="str">
        <f ca="1">IFERROR(__xludf.DUMMYFUNCTION("""COMPUTED_VALUE"""),"युग द्रष्टा पं. श्रीराम शर्मा आचार्यजी")</f>
        <v>युग द्रष्टा पं. श्रीराम शर्मा आचार्यजी</v>
      </c>
      <c r="H711" s="1"/>
      <c r="I711" s="1"/>
      <c r="J711" s="1"/>
      <c r="K711" s="1"/>
      <c r="L711" s="1"/>
      <c r="M711" s="1"/>
      <c r="N711" s="1"/>
      <c r="O711" s="1"/>
      <c r="P711" s="1" t="str">
        <f ca="1">IFERROR(__xludf.DUMMYFUNCTION("""COMPUTED_VALUE"""),"युगॠषी का जीवनदर्शन")</f>
        <v>युगॠषी का जीवनदर्शन</v>
      </c>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f ca="1">IFERROR(__xludf.DUMMYFUNCTION("""COMPUTED_VALUE"""),4)</f>
        <v>4</v>
      </c>
      <c r="BX711" s="1">
        <f ca="1">IFERROR(__xludf.DUMMYFUNCTION("""COMPUTED_VALUE"""),2)</f>
        <v>2</v>
      </c>
      <c r="BY711" s="1">
        <f ca="1">IFERROR(__xludf.DUMMYFUNCTION("""COMPUTED_VALUE"""),2)</f>
        <v>2</v>
      </c>
      <c r="BZ711" s="1">
        <f ca="1">IFERROR(__xludf.DUMMYFUNCTION("""COMPUTED_VALUE"""),1)</f>
        <v>1</v>
      </c>
      <c r="CA711" s="1"/>
      <c r="CB711" s="5">
        <f ca="1">IFERROR(__xludf.DUMMYFUNCTION("""COMPUTED_VALUE"""),45214.471626331)</f>
        <v>45214.471626330997</v>
      </c>
      <c r="CC711" s="1" t="str">
        <f ca="1">IFERROR(__xludf.DUMMYFUNCTION("""COMPUTED_VALUE"""),"परम पूज्य गुरुदेव की सूक्ष्मीकृत जीवन चर्या : Rare Book")</f>
        <v>परम पूज्य गुरुदेव की सूक्ष्मीकृत जीवन चर्या : Rare Book</v>
      </c>
      <c r="CD711" s="3" t="str">
        <f ca="1">IFERROR(__xludf.DUMMYFUNCTION("""COMPUTED_VALUE"""),"https://vicharkrantibooks.org/productdetail?product_id=413")</f>
        <v>https://vicharkrantibooks.org/productdetail?product_id=413</v>
      </c>
      <c r="CE711" s="1" t="str">
        <f ca="1">IFERROR(__xludf.DUMMYFUNCTION("""COMPUTED_VALUE"""),"Audiobook : परम पूज्य गुरुदेव की सूक्ष्मीकृत जीवन चर्या : Rare Book : shalinibaghel1923@gmail.com : Recorded")</f>
        <v>Audiobook : परम पूज्य गुरुदेव की सूक्ष्मीकृत जीवन चर्या : Rare Book : shalinibaghel1923@gmail.com : Recorded</v>
      </c>
      <c r="CF711" s="1" t="str">
        <f ca="1">IFERROR(__xludf.DUMMYFUNCTION("""COMPUTED_VALUE"""),"Audiobook : परम पूज्य गुरुदेव की सूक्ष्मीकृत जीवन चर्या : Rare Book : shalinibaghel1923@gmail.com : Recorded")</f>
        <v>Audiobook : परम पूज्य गुरुदेव की सूक्ष्मीकृत जीवन चर्या : Rare Book : shalinibaghel1923@gmail.com : Recorded</v>
      </c>
      <c r="CG711" s="1" t="str">
        <f ca="1">IFERROR(__xludf.DUMMYFUNCTION("""COMPUTED_VALUE"""),"Adarniya Shalini Baghelker ji परम पूज्य गुरुदेव की सूक्ष्मीकृत जीवन चर्या : Rare Book : Allocated on 05-Oct-23 Contact Number  7999589365")</f>
        <v>Adarniya Shalini Baghelker ji परम पूज्य गुरुदेव की सूक्ष्मीकृत जीवन चर्या : Rare Book : Allocated on 05-Oct-23 Contact Number  7999589365</v>
      </c>
      <c r="CH711" s="1"/>
      <c r="CI711" s="1"/>
    </row>
    <row r="712" spans="1:87" x14ac:dyDescent="0.25">
      <c r="A712" s="5">
        <f ca="1">IFERROR(__xludf.DUMMYFUNCTION("""COMPUTED_VALUE"""),45204.3263374537)</f>
        <v>45204.326337453698</v>
      </c>
      <c r="B712" s="1" t="str">
        <f ca="1">IFERROR(__xludf.DUMMYFUNCTION("""COMPUTED_VALUE"""),"nehadsvv@gmail.com")</f>
        <v>nehadsvv@gmail.com</v>
      </c>
      <c r="C712" s="1" t="str">
        <f ca="1">IFERROR(__xludf.DUMMYFUNCTION("""COMPUTED_VALUE"""),"Neha")</f>
        <v>Neha</v>
      </c>
      <c r="D712" s="1">
        <f ca="1">IFERROR(__xludf.DUMMYFUNCTION("""COMPUTED_VALUE"""),2043964168)</f>
        <v>2043964168</v>
      </c>
      <c r="E712" s="1" t="str">
        <f ca="1">IFERROR(__xludf.DUMMYFUNCTION("""COMPUTED_VALUE"""),"Yes")</f>
        <v>Yes</v>
      </c>
      <c r="F712" s="1" t="str">
        <f ca="1">IFERROR(__xludf.DUMMYFUNCTION("""COMPUTED_VALUE"""),"हिन्दी or English")</f>
        <v>हिन्दी or English</v>
      </c>
      <c r="G712" s="1" t="str">
        <f ca="1">IFERROR(__xludf.DUMMYFUNCTION("""COMPUTED_VALUE"""),"वैज्ञानिक अध्यात्मवाद का प्रतिपादन")</f>
        <v>वैज्ञानिक अध्यात्मवाद का प्रतिपादन</v>
      </c>
      <c r="H712" s="1"/>
      <c r="I712" s="1"/>
      <c r="J712" s="1"/>
      <c r="K712" s="1"/>
      <c r="L712" s="1"/>
      <c r="M712" s="1"/>
      <c r="N712" s="1"/>
      <c r="O712" s="1"/>
      <c r="P712" s="1"/>
      <c r="Q712" s="1"/>
      <c r="R712" s="1"/>
      <c r="S712" s="1" t="str">
        <f ca="1">IFERROR(__xludf.DUMMYFUNCTION("""COMPUTED_VALUE"""),"वैज्ञानिक अध्यात्मवाद का प्रतिपादन")</f>
        <v>वैज्ञानिक अध्यात्मवाद का प्रतिपादन</v>
      </c>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f ca="1">IFERROR(__xludf.DUMMYFUNCTION("""COMPUTED_VALUE"""),2)</f>
        <v>2</v>
      </c>
      <c r="BX712" s="1">
        <f ca="1">IFERROR(__xludf.DUMMYFUNCTION("""COMPUTED_VALUE"""),1)</f>
        <v>1</v>
      </c>
      <c r="BY712" s="1">
        <f ca="1">IFERROR(__xludf.DUMMYFUNCTION("""COMPUTED_VALUE"""),1)</f>
        <v>1</v>
      </c>
      <c r="BZ712" s="1">
        <f ca="1">IFERROR(__xludf.DUMMYFUNCTION("""COMPUTED_VALUE"""),0)</f>
        <v>0</v>
      </c>
      <c r="CA712" s="1"/>
      <c r="CB712" s="5">
        <f ca="1">IFERROR(__xludf.DUMMYFUNCTION("""COMPUTED_VALUE"""),45214.3263374537)</f>
        <v>45214.326337453698</v>
      </c>
      <c r="CC712" s="1" t="str">
        <f ca="1">IFERROR(__xludf.DUMMYFUNCTION("""COMPUTED_VALUE"""),"विज्ञान का सहयोगी अधिष्ठाता है अध्यात्म : Rare Book")</f>
        <v>विज्ञान का सहयोगी अधिष्ठाता है अध्यात्म : Rare Book</v>
      </c>
      <c r="CD712" s="3" t="str">
        <f ca="1">IFERROR(__xludf.DUMMYFUNCTION("""COMPUTED_VALUE"""),"https://vicharkrantibooks.org/productdetail?book_name=HINP0973_VIGYAN_KA_SAHAYOGI_ADHISTHATA_HAI_ADHYATM_xx1982&amp;product_id=1538")</f>
        <v>https://vicharkrantibooks.org/productdetail?book_name=HINP0973_VIGYAN_KA_SAHAYOGI_ADHISTHATA_HAI_ADHYATM_xx1982&amp;product_id=1538</v>
      </c>
      <c r="CE712" s="1" t="str">
        <f ca="1">IFERROR(__xludf.DUMMYFUNCTION("""COMPUTED_VALUE"""),"Audiobook : विज्ञान का सहयोगी अधिष्ठाता है अध्यात्म : Rare Book : nehadsvv@gmail.com : Recorded")</f>
        <v>Audiobook : विज्ञान का सहयोगी अधिष्ठाता है अध्यात्म : Rare Book : nehadsvv@gmail.com : Recorded</v>
      </c>
      <c r="CF712" s="1" t="str">
        <f ca="1">IFERROR(__xludf.DUMMYFUNCTION("""COMPUTED_VALUE"""),"Audiobook : विज्ञान का सहयोगी अधिष्ठाता है अध्यात्म : Rare Book : Nehadsvv@gmail.com : Recorded")</f>
        <v>Audiobook : विज्ञान का सहयोगी अधिष्ठाता है अध्यात्म : Rare Book : Nehadsvv@gmail.com : Recorded</v>
      </c>
      <c r="CG712" s="1" t="str">
        <f ca="1">IFERROR(__xludf.DUMMYFUNCTION("""COMPUTED_VALUE"""),"Adarniya Neha ji विज्ञान का सहयोगी अधिष्ठाता है अध्यात्म : Rare Book : Allocated on 05-Oct-23 Contact Number  2043964168")</f>
        <v>Adarniya Neha ji विज्ञान का सहयोगी अधिष्ठाता है अध्यात्म : Rare Book : Allocated on 05-Oct-23 Contact Number  2043964168</v>
      </c>
      <c r="CH712" s="1"/>
      <c r="CI712" s="1"/>
    </row>
    <row r="713" spans="1:87" x14ac:dyDescent="0.25">
      <c r="A713" s="5">
        <f ca="1">IFERROR(__xludf.DUMMYFUNCTION("""COMPUTED_VALUE"""),45203.7302613078)</f>
        <v>45203.730261307799</v>
      </c>
      <c r="B713" s="1" t="str">
        <f ca="1">IFERROR(__xludf.DUMMYFUNCTION("""COMPUTED_VALUE"""),"brphodmba@gmail.com")</f>
        <v>brphodmba@gmail.com</v>
      </c>
      <c r="C713" s="1" t="str">
        <f ca="1">IFERROR(__xludf.DUMMYFUNCTION("""COMPUTED_VALUE"""),"D. Baidyanath Ram Prajapati")</f>
        <v>D. Baidyanath Ram Prajapati</v>
      </c>
      <c r="D713" s="1">
        <f ca="1">IFERROR(__xludf.DUMMYFUNCTION("""COMPUTED_VALUE"""),9811724821)</f>
        <v>9811724821</v>
      </c>
      <c r="E713" s="1" t="str">
        <f ca="1">IFERROR(__xludf.DUMMYFUNCTION("""COMPUTED_VALUE"""),"Yes")</f>
        <v>Yes</v>
      </c>
      <c r="F713" s="1" t="str">
        <f ca="1">IFERROR(__xludf.DUMMYFUNCTION("""COMPUTED_VALUE"""),"हिन्दी")</f>
        <v>हिन्दी</v>
      </c>
      <c r="G713" s="1" t="str">
        <f ca="1">IFERROR(__xludf.DUMMYFUNCTION("""COMPUTED_VALUE"""),"अध्यात्म, धर्म एवं दर्शन")</f>
        <v>अध्यात्म, धर्म एवं दर्शन</v>
      </c>
      <c r="H713" s="1" t="str">
        <f ca="1">IFERROR(__xludf.DUMMYFUNCTION("""COMPUTED_VALUE"""),"अध्यात्म, धर्म एवं आस्तिकता")</f>
        <v>अध्यात्म, धर्म एवं आस्तिकता</v>
      </c>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f ca="1">IFERROR(__xludf.DUMMYFUNCTION("""COMPUTED_VALUE"""),12)</f>
        <v>12</v>
      </c>
      <c r="BX713" s="1">
        <f ca="1">IFERROR(__xludf.DUMMYFUNCTION("""COMPUTED_VALUE"""),10)</f>
        <v>10</v>
      </c>
      <c r="BY713" s="1">
        <f ca="1">IFERROR(__xludf.DUMMYFUNCTION("""COMPUTED_VALUE"""),4)</f>
        <v>4</v>
      </c>
      <c r="BZ713" s="1">
        <f ca="1">IFERROR(__xludf.DUMMYFUNCTION("""COMPUTED_VALUE"""),0)</f>
        <v>0</v>
      </c>
      <c r="CA713" s="1"/>
      <c r="CB713" s="1"/>
      <c r="CC713" s="1" t="str">
        <f ca="1">IFERROR(__xludf.DUMMYFUNCTION("""COMPUTED_VALUE"""),"आत्मतेजोबलम बलम : Rare Book")</f>
        <v>आत्मतेजोबलम बलम : Rare Book</v>
      </c>
      <c r="CD713" s="3" t="str">
        <f ca="1">IFERROR(__xludf.DUMMYFUNCTION("""COMPUTED_VALUE"""),"https://vicharkrantibooks.org/productdetail?book_name=HINP0110_ATMTEJOBALAM_BALAM_xx1979&amp;product_id=675")</f>
        <v>https://vicharkrantibooks.org/productdetail?book_name=HINP0110_ATMTEJOBALAM_BALAM_xx1979&amp;product_id=675</v>
      </c>
      <c r="CE713" s="1" t="str">
        <f ca="1">IFERROR(__xludf.DUMMYFUNCTION("""COMPUTED_VALUE"""),"Audiobook : आत्मतेजोबलम बलम : Rare Book : brphodmba@gmail.com : Recorded")</f>
        <v>Audiobook : आत्मतेजोबलम बलम : Rare Book : brphodmba@gmail.com : Recorded</v>
      </c>
      <c r="CF713" s="1" t="str">
        <f ca="1">IFERROR(__xludf.DUMMYFUNCTION("""COMPUTED_VALUE"""),"Audiobook : आत्मतेजोबलम बलम : Rare Book : brphodmba@gmail.com : Recorded")</f>
        <v>Audiobook : आत्मतेजोबलम बलम : Rare Book : brphodmba@gmail.com : Recorded</v>
      </c>
      <c r="CG713" s="1" t="str">
        <f ca="1">IFERROR(__xludf.DUMMYFUNCTION("""COMPUTED_VALUE"""),"Adarniya D. Baidyanath Ram Prajapati ji आत्मतेजोबलम बलम : Rare Book : Allocated on 04-Oct-23 Contact Number  9811724821")</f>
        <v>Adarniya D. Baidyanath Ram Prajapati ji आत्मतेजोबलम बलम : Rare Book : Allocated on 04-Oct-23 Contact Number  9811724821</v>
      </c>
      <c r="CH713" s="1"/>
      <c r="CI713" s="1"/>
    </row>
    <row r="714" spans="1:87" x14ac:dyDescent="0.25">
      <c r="A714" s="5">
        <f ca="1">IFERROR(__xludf.DUMMYFUNCTION("""COMPUTED_VALUE"""),45203.5482436111)</f>
        <v>45203.548243611098</v>
      </c>
      <c r="B714" s="1" t="str">
        <f ca="1">IFERROR(__xludf.DUMMYFUNCTION("""COMPUTED_VALUE"""),"pragyapaliwal78@gmail.com")</f>
        <v>pragyapaliwal78@gmail.com</v>
      </c>
      <c r="C714" s="1" t="str">
        <f ca="1">IFERROR(__xludf.DUMMYFUNCTION("""COMPUTED_VALUE"""),"Pragya Paliwal")</f>
        <v>Pragya Paliwal</v>
      </c>
      <c r="D714" s="1">
        <f ca="1">IFERROR(__xludf.DUMMYFUNCTION("""COMPUTED_VALUE"""),8696296388)</f>
        <v>8696296388</v>
      </c>
      <c r="E714" s="1" t="str">
        <f ca="1">IFERROR(__xludf.DUMMYFUNCTION("""COMPUTED_VALUE"""),"No")</f>
        <v>No</v>
      </c>
      <c r="F714" s="1" t="str">
        <f ca="1">IFERROR(__xludf.DUMMYFUNCTION("""COMPUTED_VALUE"""),"हिन्दी")</f>
        <v>हिन्दी</v>
      </c>
      <c r="G714" s="1" t="str">
        <f ca="1">IFERROR(__xludf.DUMMYFUNCTION("""COMPUTED_VALUE"""),"वैज्ञानिक अध्यात्मवाद का प्रतिपादन")</f>
        <v>वैज्ञानिक अध्यात्मवाद का प्रतिपादन</v>
      </c>
      <c r="H714" s="1"/>
      <c r="I714" s="1"/>
      <c r="J714" s="1"/>
      <c r="K714" s="1"/>
      <c r="L714" s="1"/>
      <c r="M714" s="1"/>
      <c r="N714" s="1"/>
      <c r="O714" s="1"/>
      <c r="P714" s="1"/>
      <c r="Q714" s="1"/>
      <c r="R714" s="1"/>
      <c r="S714" s="1" t="str">
        <f ca="1">IFERROR(__xludf.DUMMYFUNCTION("""COMPUTED_VALUE"""),"वैज्ञानिक अध्यात्मवाद का प्रतिपादन")</f>
        <v>वैज्ञानिक अध्यात्मवाद का प्रतिपादन</v>
      </c>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f ca="1">IFERROR(__xludf.DUMMYFUNCTION("""COMPUTED_VALUE"""),11)</f>
        <v>11</v>
      </c>
      <c r="BX714" s="1">
        <f ca="1">IFERROR(__xludf.DUMMYFUNCTION("""COMPUTED_VALUE"""),3)</f>
        <v>3</v>
      </c>
      <c r="BY714" s="1">
        <f ca="1">IFERROR(__xludf.DUMMYFUNCTION("""COMPUTED_VALUE"""),8)</f>
        <v>8</v>
      </c>
      <c r="BZ714" s="1">
        <f ca="1">IFERROR(__xludf.DUMMYFUNCTION("""COMPUTED_VALUE"""),0)</f>
        <v>0</v>
      </c>
      <c r="CA714" s="1"/>
      <c r="CB714" s="1"/>
      <c r="CC714" s="1" t="str">
        <f ca="1">IFERROR(__xludf.DUMMYFUNCTION("""COMPUTED_VALUE"""),"महाकाल की भविष्यवाणी : Rare Book")</f>
        <v>महाकाल की भविष्यवाणी : Rare Book</v>
      </c>
      <c r="CD714" s="3" t="str">
        <f ca="1">IFERROR(__xludf.DUMMYFUNCTION("""COMPUTED_VALUE"""),"https://vicharkrantibooks.org/productdetail?book_name=HINP1117_MAHAKAL_KI_BHAVISHYAVANI_xxyyyy&amp;product_id=1682")</f>
        <v>https://vicharkrantibooks.org/productdetail?book_name=HINP1117_MAHAKAL_KI_BHAVISHYAVANI_xxyyyy&amp;product_id=1682</v>
      </c>
      <c r="CE714" s="1" t="str">
        <f ca="1">IFERROR(__xludf.DUMMYFUNCTION("""COMPUTED_VALUE"""),"Audiobook : महाकाल की भविष्यवाणी : Rare Book : pragyapaliwal78@gmail.com : Recorded")</f>
        <v>Audiobook : महाकाल की भविष्यवाणी : Rare Book : pragyapaliwal78@gmail.com : Recorded</v>
      </c>
      <c r="CF714" s="1" t="str">
        <f ca="1">IFERROR(__xludf.DUMMYFUNCTION("""COMPUTED_VALUE"""),"#N/A")</f>
        <v>#N/A</v>
      </c>
      <c r="CG714" s="1" t="str">
        <f ca="1">IFERROR(__xludf.DUMMYFUNCTION("""COMPUTED_VALUE"""),"Adarniya Pragya Paliwal ji महाकाल की भविष्यवाणी : Rare Book : Allocated on 04-Oct-23 Contact Number  8696296388")</f>
        <v>Adarniya Pragya Paliwal ji महाकाल की भविष्यवाणी : Rare Book : Allocated on 04-Oct-23 Contact Number  8696296388</v>
      </c>
      <c r="CH714" s="1"/>
      <c r="CI714" s="1"/>
    </row>
    <row r="715" spans="1:87" x14ac:dyDescent="0.25">
      <c r="A715" s="5">
        <f ca="1">IFERROR(__xludf.DUMMYFUNCTION("""COMPUTED_VALUE"""),45203.4844751157)</f>
        <v>45203.4844751157</v>
      </c>
      <c r="B715" s="1" t="str">
        <f ca="1">IFERROR(__xludf.DUMMYFUNCTION("""COMPUTED_VALUE"""),"anupriya_deshmukh9@yahoo.co.in")</f>
        <v>anupriya_deshmukh9@yahoo.co.in</v>
      </c>
      <c r="C715" s="1" t="str">
        <f ca="1">IFERROR(__xludf.DUMMYFUNCTION("""COMPUTED_VALUE"""),"Anupriya Deshmukh ")</f>
        <v xml:space="preserve">Anupriya Deshmukh </v>
      </c>
      <c r="D715" s="1">
        <f ca="1">IFERROR(__xludf.DUMMYFUNCTION("""COMPUTED_VALUE"""),7506739089)</f>
        <v>7506739089</v>
      </c>
      <c r="E715" s="1" t="str">
        <f ca="1">IFERROR(__xludf.DUMMYFUNCTION("""COMPUTED_VALUE"""),"Yes")</f>
        <v>Yes</v>
      </c>
      <c r="F715" s="1" t="str">
        <f ca="1">IFERROR(__xludf.DUMMYFUNCTION("""COMPUTED_VALUE"""),"हिन्दी")</f>
        <v>हिन्दी</v>
      </c>
      <c r="G715" s="1" t="str">
        <f ca="1">IFERROR(__xludf.DUMMYFUNCTION("""COMPUTED_VALUE"""),"समाज निर्माण")</f>
        <v>समाज निर्माण</v>
      </c>
      <c r="H715" s="1"/>
      <c r="I715" s="1"/>
      <c r="J715" s="1"/>
      <c r="K715" s="1"/>
      <c r="L715" s="1"/>
      <c r="M715" s="1"/>
      <c r="N715" s="1"/>
      <c r="O715" s="1"/>
      <c r="P715" s="1"/>
      <c r="Q715" s="1"/>
      <c r="R715" s="1"/>
      <c r="S715" s="1"/>
      <c r="T715" s="1"/>
      <c r="U715" s="1"/>
      <c r="V715" s="1" t="str">
        <f ca="1">IFERROR(__xludf.DUMMYFUNCTION("""COMPUTED_VALUE"""),"नारी सशक्तिकरण")</f>
        <v>नारी सशक्तिकरण</v>
      </c>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f ca="1">IFERROR(__xludf.DUMMYFUNCTION("""COMPUTED_VALUE"""),15)</f>
        <v>15</v>
      </c>
      <c r="BX715" s="1">
        <f ca="1">IFERROR(__xludf.DUMMYFUNCTION("""COMPUTED_VALUE"""),10)</f>
        <v>10</v>
      </c>
      <c r="BY715" s="1">
        <f ca="1">IFERROR(__xludf.DUMMYFUNCTION("""COMPUTED_VALUE"""),4)</f>
        <v>4</v>
      </c>
      <c r="BZ715" s="1">
        <f ca="1">IFERROR(__xludf.DUMMYFUNCTION("""COMPUTED_VALUE"""),6)</f>
        <v>6</v>
      </c>
      <c r="CA715" s="1"/>
      <c r="CB715" s="1"/>
      <c r="CC715" s="1" t="str">
        <f ca="1">IFERROR(__xludf.DUMMYFUNCTION("""COMPUTED_VALUE"""),"नारी का गौरवशाली अतीत उज्जवल भविष्य : H_PP_42")</f>
        <v>नारी का गौरवशाली अतीत उज्जवल भविष्य : H_PP_42</v>
      </c>
      <c r="CD715" s="3" t="str">
        <f ca="1">IFERROR(__xludf.DUMMYFUNCTION("""COMPUTED_VALUE"""),"https://vicharkrantibooks.org/productdetail?book_name=HINP0562_NARI_KA_GAURAVASHALI_ATIT_UJJAVAL_BHAVISHY_xxyyyy&amp;product_id=1127")</f>
        <v>https://vicharkrantibooks.org/productdetail?book_name=HINP0562_NARI_KA_GAURAVASHALI_ATIT_UJJAVAL_BHAVISHY_xxyyyy&amp;product_id=1127</v>
      </c>
      <c r="CE715" s="1" t="str">
        <f ca="1">IFERROR(__xludf.DUMMYFUNCTION("""COMPUTED_VALUE"""),"Audiobook : नारी का गौरवशाली अतीत उज्जवल भविष्य : H_PP_42 : anupriya_deshmukh9@yahoo.co.in : Recorded")</f>
        <v>Audiobook : नारी का गौरवशाली अतीत उज्जवल भविष्य : H_PP_42 : anupriya_deshmukh9@yahoo.co.in : Recorded</v>
      </c>
      <c r="CF715" s="1" t="str">
        <f ca="1">IFERROR(__xludf.DUMMYFUNCTION("""COMPUTED_VALUE"""),"#N/A")</f>
        <v>#N/A</v>
      </c>
      <c r="CG715" s="1" t="str">
        <f ca="1">IFERROR(__xludf.DUMMYFUNCTION("""COMPUTED_VALUE"""),"Adarniya Anupriya Deshmukh  ji नारी का गौरवशाली अतीत उज्जवल भविष्य : H_PP_42 : Allocated on 04-Oct-23 Contact Number  7506739089")</f>
        <v>Adarniya Anupriya Deshmukh  ji नारी का गौरवशाली अतीत उज्जवल भविष्य : H_PP_42 : Allocated on 04-Oct-23 Contact Number  7506739089</v>
      </c>
      <c r="CH715" s="1"/>
      <c r="CI715" s="1"/>
    </row>
    <row r="716" spans="1:87" x14ac:dyDescent="0.25">
      <c r="A716" s="5">
        <f ca="1">IFERROR(__xludf.DUMMYFUNCTION("""COMPUTED_VALUE"""),45203.4688178819)</f>
        <v>45203.468817881898</v>
      </c>
      <c r="B716" s="1" t="str">
        <f ca="1">IFERROR(__xludf.DUMMYFUNCTION("""COMPUTED_VALUE"""),"janvibarot388@gmail.com")</f>
        <v>janvibarot388@gmail.com</v>
      </c>
      <c r="C716" s="1" t="str">
        <f ca="1">IFERROR(__xludf.DUMMYFUNCTION("""COMPUTED_VALUE"""),"Janvi Kanaiya ")</f>
        <v xml:space="preserve">Janvi Kanaiya </v>
      </c>
      <c r="D716" s="1">
        <f ca="1">IFERROR(__xludf.DUMMYFUNCTION("""COMPUTED_VALUE"""),9313414925)</f>
        <v>9313414925</v>
      </c>
      <c r="E716" s="1" t="str">
        <f ca="1">IFERROR(__xludf.DUMMYFUNCTION("""COMPUTED_VALUE"""),"Yes")</f>
        <v>Yes</v>
      </c>
      <c r="F716" s="1" t="str">
        <f ca="1">IFERROR(__xludf.DUMMYFUNCTION("""COMPUTED_VALUE"""),"हिन्दी")</f>
        <v>हिन्दी</v>
      </c>
      <c r="G716" s="1" t="str">
        <f ca="1">IFERROR(__xludf.DUMMYFUNCTION("""COMPUTED_VALUE"""),"राष्ट्र निर्माण")</f>
        <v>राष्ट्र निर्माण</v>
      </c>
      <c r="H716" s="1"/>
      <c r="I716" s="1"/>
      <c r="J716" s="1"/>
      <c r="K716" s="1"/>
      <c r="L716" s="1"/>
      <c r="M716" s="1"/>
      <c r="N716" s="1"/>
      <c r="O716" s="1"/>
      <c r="P716" s="1"/>
      <c r="Q716" s="1"/>
      <c r="R716" s="1" t="str">
        <f ca="1">IFERROR(__xludf.DUMMYFUNCTION("""COMPUTED_VALUE"""),"राष्ट्र निर्माण")</f>
        <v>राष्ट्र निर्माण</v>
      </c>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f ca="1">IFERROR(__xludf.DUMMYFUNCTION("""COMPUTED_VALUE"""),1)</f>
        <v>1</v>
      </c>
      <c r="BX716" s="1">
        <f ca="1">IFERROR(__xludf.DUMMYFUNCTION("""COMPUTED_VALUE"""),0)</f>
        <v>0</v>
      </c>
      <c r="BY716" s="1">
        <f ca="1">IFERROR(__xludf.DUMMYFUNCTION("""COMPUTED_VALUE"""),1)</f>
        <v>1</v>
      </c>
      <c r="BZ716" s="1">
        <f ca="1">IFERROR(__xludf.DUMMYFUNCTION("""COMPUTED_VALUE"""),0)</f>
        <v>0</v>
      </c>
      <c r="CA716" s="1"/>
      <c r="CB716" s="5">
        <f ca="1">IFERROR(__xludf.DUMMYFUNCTION("""COMPUTED_VALUE"""),45213.4688178819)</f>
        <v>45213.468817881898</v>
      </c>
      <c r="CC716" s="1" t="str">
        <f ca="1">IFERROR(__xludf.DUMMYFUNCTION("""COMPUTED_VALUE"""),"गोमूत्र से औषधियाँ बनाइए : Rare Book")</f>
        <v>गोमूत्र से औषधियाँ बनाइए : Rare Book</v>
      </c>
      <c r="CD716" s="3" t="str">
        <f ca="1">IFERROR(__xludf.DUMMYFUNCTION("""COMPUTED_VALUE"""),"https://vicharkrantibooks.org/productdetail?book_name=HINP0308_GOMUTR_SE_AUSHADHIYAN_BANAIE_xxyyyy&amp;product_id=873")</f>
        <v>https://vicharkrantibooks.org/productdetail?book_name=HINP0308_GOMUTR_SE_AUSHADHIYAN_BANAIE_xxyyyy&amp;product_id=873</v>
      </c>
      <c r="CE716" s="1" t="str">
        <f ca="1">IFERROR(__xludf.DUMMYFUNCTION("""COMPUTED_VALUE"""),"Audiobook : गोमूत्र से औषधियाँ बनाइए : Rare Book : janvibarot388@gmail.com : Recorded")</f>
        <v>Audiobook : गोमूत्र से औषधियाँ बनाइए : Rare Book : janvibarot388@gmail.com : Recorded</v>
      </c>
      <c r="CF716" s="1" t="str">
        <f ca="1">IFERROR(__xludf.DUMMYFUNCTION("""COMPUTED_VALUE"""),"#N/A")</f>
        <v>#N/A</v>
      </c>
      <c r="CG716" s="1" t="str">
        <f ca="1">IFERROR(__xludf.DUMMYFUNCTION("""COMPUTED_VALUE"""),"Adarniya Janvi Kanaiya  ji गोमूत्र से औषधियाँ बनाइए : Rare Book : Allocated on 04-Oct-23 Contact Number  9313414925")</f>
        <v>Adarniya Janvi Kanaiya  ji गोमूत्र से औषधियाँ बनाइए : Rare Book : Allocated on 04-Oct-23 Contact Number  9313414925</v>
      </c>
      <c r="CH716" s="1"/>
      <c r="CI716" s="1"/>
    </row>
    <row r="717" spans="1:87" x14ac:dyDescent="0.25">
      <c r="A717" s="5">
        <f ca="1">IFERROR(__xludf.DUMMYFUNCTION("""COMPUTED_VALUE"""),45203.3339168981)</f>
        <v>45203.333916898097</v>
      </c>
      <c r="B717" s="1" t="str">
        <f ca="1">IFERROR(__xludf.DUMMYFUNCTION("""COMPUTED_VALUE"""),"jamunashukla17@gmail.com")</f>
        <v>jamunashukla17@gmail.com</v>
      </c>
      <c r="C717" s="1" t="str">
        <f ca="1">IFERROR(__xludf.DUMMYFUNCTION("""COMPUTED_VALUE"""),"Smt J S Shukla")</f>
        <v>Smt J S Shukla</v>
      </c>
      <c r="D717" s="1">
        <f ca="1">IFERROR(__xludf.DUMMYFUNCTION("""COMPUTED_VALUE"""),8390353167)</f>
        <v>8390353167</v>
      </c>
      <c r="E717" s="1" t="str">
        <f ca="1">IFERROR(__xludf.DUMMYFUNCTION("""COMPUTED_VALUE"""),"Yes")</f>
        <v>Yes</v>
      </c>
      <c r="F717" s="1" t="str">
        <f ca="1">IFERROR(__xludf.DUMMYFUNCTION("""COMPUTED_VALUE"""),"हिन्दी")</f>
        <v>हिन्दी</v>
      </c>
      <c r="G717" s="1" t="str">
        <f ca="1">IFERROR(__xludf.DUMMYFUNCTION("""COMPUTED_VALUE"""),"अध्यात्म, धर्म एवं दर्शन")</f>
        <v>अध्यात्म, धर्म एवं दर्शन</v>
      </c>
      <c r="H717" s="1" t="str">
        <f ca="1">IFERROR(__xludf.DUMMYFUNCTION("""COMPUTED_VALUE"""),"साधना")</f>
        <v>साधना</v>
      </c>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f ca="1">IFERROR(__xludf.DUMMYFUNCTION("""COMPUTED_VALUE"""),53)</f>
        <v>53</v>
      </c>
      <c r="BX717" s="1">
        <f ca="1">IFERROR(__xludf.DUMMYFUNCTION("""COMPUTED_VALUE"""),53)</f>
        <v>53</v>
      </c>
      <c r="BY717" s="1">
        <f ca="1">IFERROR(__xludf.DUMMYFUNCTION("""COMPUTED_VALUE"""),9)</f>
        <v>9</v>
      </c>
      <c r="BZ717" s="1">
        <f ca="1">IFERROR(__xludf.DUMMYFUNCTION("""COMPUTED_VALUE"""),25)</f>
        <v>25</v>
      </c>
      <c r="CA717" s="1"/>
      <c r="CB717" s="1"/>
      <c r="CC717" s="1" t="str">
        <f ca="1">IFERROR(__xludf.DUMMYFUNCTION("""COMPUTED_VALUE"""),"अध्यात्म अर्थात्‌ उत्कृष्ट चिंतन आदर्श कर्तृत्व : Rare Book")</f>
        <v>अध्यात्म अर्थात्‌ उत्कृष्ट चिंतन आदर्श कर्तृत्व : Rare Book</v>
      </c>
      <c r="CD717" s="3" t="str">
        <f ca="1">IFERROR(__xludf.DUMMYFUNCTION("""COMPUTED_VALUE"""),"https://vicharkrantibooks.org/productdetail?book_name=HINP0010_ADHYATM_ARTHAT%E2%80%8C_UTKRUSHT_CHINTAN_ADARSH_KARTUTV_xx1982&amp;product_id=575")</f>
        <v>https://vicharkrantibooks.org/productdetail?book_name=HINP0010_ADHYATM_ARTHAT%E2%80%8C_UTKRUSHT_CHINTAN_ADARSH_KARTUTV_xx1982&amp;product_id=575</v>
      </c>
      <c r="CE717" s="1" t="str">
        <f ca="1">IFERROR(__xludf.DUMMYFUNCTION("""COMPUTED_VALUE"""),"Audiobook : अध्यात्म अर्थात्‌ उत्कृष्ट चिंतन आदर्श कर्तृत्व : Rare Book : jamunashukla17@gmail.com : Recorded")</f>
        <v>Audiobook : अध्यात्म अर्थात्‌ उत्कृष्ट चिंतन आदर्श कर्तृत्व : Rare Book : jamunashukla17@gmail.com : Recorded</v>
      </c>
      <c r="CF717" s="1" t="str">
        <f ca="1">IFERROR(__xludf.DUMMYFUNCTION("""COMPUTED_VALUE"""),"#N/A")</f>
        <v>#N/A</v>
      </c>
      <c r="CG717" s="1" t="str">
        <f ca="1">IFERROR(__xludf.DUMMYFUNCTION("""COMPUTED_VALUE"""),"Adarniya Smt J S Shukla ji अध्यात्म अर्थात्‌ उत्कृष्ट चिंतन आदर्श कर्तृत्व : Rare Book : Allocated on 04-Oct-23 Contact Number  8390353167")</f>
        <v>Adarniya Smt J S Shukla ji अध्यात्म अर्थात्‌ उत्कृष्ट चिंतन आदर्श कर्तृत्व : Rare Book : Allocated on 04-Oct-23 Contact Number  8390353167</v>
      </c>
      <c r="CH717" s="1"/>
      <c r="CI717" s="1"/>
    </row>
    <row r="718" spans="1:87" x14ac:dyDescent="0.25">
      <c r="A718" s="5">
        <f ca="1">IFERROR(__xludf.DUMMYFUNCTION("""COMPUTED_VALUE"""),45202.8993268402)</f>
        <v>45202.899326840197</v>
      </c>
      <c r="B718" s="1" t="str">
        <f ca="1">IFERROR(__xludf.DUMMYFUNCTION("""COMPUTED_VALUE"""),"druma4107@gmail.com")</f>
        <v>druma4107@gmail.com</v>
      </c>
      <c r="C718" s="1" t="str">
        <f ca="1">IFERROR(__xludf.DUMMYFUNCTION("""COMPUTED_VALUE"""),"Dr Uma Agrawal ")</f>
        <v xml:space="preserve">Dr Uma Agrawal </v>
      </c>
      <c r="D718" s="1">
        <f ca="1">IFERROR(__xludf.DUMMYFUNCTION("""COMPUTED_VALUE"""),9410861182)</f>
        <v>9410861182</v>
      </c>
      <c r="E718" s="1" t="str">
        <f ca="1">IFERROR(__xludf.DUMMYFUNCTION("""COMPUTED_VALUE"""),"Yes")</f>
        <v>Yes</v>
      </c>
      <c r="F718" s="1" t="str">
        <f ca="1">IFERROR(__xludf.DUMMYFUNCTION("""COMPUTED_VALUE"""),"हिन्दी")</f>
        <v>हिन्दी</v>
      </c>
      <c r="G718" s="1" t="str">
        <f ca="1">IFERROR(__xludf.DUMMYFUNCTION("""COMPUTED_VALUE"""),"समग्र स्वास्थ्य")</f>
        <v>समग्र स्वास्थ्य</v>
      </c>
      <c r="H718" s="1"/>
      <c r="I718" s="1"/>
      <c r="J718" s="1"/>
      <c r="K718" s="1"/>
      <c r="L718" s="1"/>
      <c r="M718" s="1"/>
      <c r="N718" s="1"/>
      <c r="O718" s="1"/>
      <c r="P718" s="1"/>
      <c r="Q718" s="1"/>
      <c r="R718" s="1"/>
      <c r="S718" s="1"/>
      <c r="T718" s="1"/>
      <c r="U718" s="1" t="str">
        <f ca="1">IFERROR(__xludf.DUMMYFUNCTION("""COMPUTED_VALUE"""),"आहार-विहार एवं उपवास")</f>
        <v>आहार-विहार एवं उपवास</v>
      </c>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f ca="1">IFERROR(__xludf.DUMMYFUNCTION("""COMPUTED_VALUE"""),104)</f>
        <v>104</v>
      </c>
      <c r="BX718" s="1">
        <f ca="1">IFERROR(__xludf.DUMMYFUNCTION("""COMPUTED_VALUE"""),106)</f>
        <v>106</v>
      </c>
      <c r="BY718" s="1">
        <f ca="1">IFERROR(__xludf.DUMMYFUNCTION("""COMPUTED_VALUE"""),9)</f>
        <v>9</v>
      </c>
      <c r="BZ718" s="1">
        <f ca="1">IFERROR(__xludf.DUMMYFUNCTION("""COMPUTED_VALUE"""),43)</f>
        <v>43</v>
      </c>
      <c r="CA718" s="1"/>
      <c r="CB718" s="1"/>
      <c r="CC718" s="1" t="str">
        <f ca="1">IFERROR(__xludf.DUMMYFUNCTION("""COMPUTED_VALUE"""),"नारी उत्थान के लीए उठें ये कदम : H_PP_41")</f>
        <v>नारी उत्थान के लीए उठें ये कदम : H_PP_41</v>
      </c>
      <c r="CD718" s="3" t="str">
        <f ca="1">IFERROR(__xludf.DUMMYFUNCTION("""COMPUTED_VALUE"""),"https://vicharkrantibooks.org/productdetail?book_name=HINP0585_NARI_UTTHAN_KE_LIE_UTHEN_YE_KADAM_xxyyyy&amp;product_id=1150")</f>
        <v>https://vicharkrantibooks.org/productdetail?book_name=HINP0585_NARI_UTTHAN_KE_LIE_UTHEN_YE_KADAM_xxyyyy&amp;product_id=1150</v>
      </c>
      <c r="CE718" s="1" t="str">
        <f ca="1">IFERROR(__xludf.DUMMYFUNCTION("""COMPUTED_VALUE"""),"Audiobook : नारी उत्थान के लीए उठें ये कदम : H_PP_41 : druma4107@gmail.com : Recorded")</f>
        <v>Audiobook : नारी उत्थान के लीए उठें ये कदम : H_PP_41 : druma4107@gmail.com : Recorded</v>
      </c>
      <c r="CF718" s="1" t="str">
        <f ca="1">IFERROR(__xludf.DUMMYFUNCTION("""COMPUTED_VALUE"""),"Audiobook : नारी उत्थान के लीए उठें ये कदम : H_PP_41 : druma4107@gmail.com : Recorded")</f>
        <v>Audiobook : नारी उत्थान के लीए उठें ये कदम : H_PP_41 : druma4107@gmail.com : Recorded</v>
      </c>
      <c r="CG718" s="1" t="str">
        <f ca="1">IFERROR(__xludf.DUMMYFUNCTION("""COMPUTED_VALUE"""),"Adarniya Dr Uma Agrawal  ji नारी उत्थान के लीए उठें ये कदम : H_PP_41 : Allocated on 03-Oct-23 Contact Number  9410861182")</f>
        <v>Adarniya Dr Uma Agrawal  ji नारी उत्थान के लीए उठें ये कदम : H_PP_41 : Allocated on 03-Oct-23 Contact Number  9410861182</v>
      </c>
      <c r="CH718" s="1"/>
      <c r="CI718" s="1"/>
    </row>
    <row r="719" spans="1:87" x14ac:dyDescent="0.25">
      <c r="A719" s="5">
        <f ca="1">IFERROR(__xludf.DUMMYFUNCTION("""COMPUTED_VALUE"""),45202.7774787268)</f>
        <v>45202.777478726799</v>
      </c>
      <c r="B719" s="1" t="str">
        <f ca="1">IFERROR(__xludf.DUMMYFUNCTION("""COMPUTED_VALUE"""),"rbbansalriya@gmail.com")</f>
        <v>rbbansalriya@gmail.com</v>
      </c>
      <c r="C719" s="1" t="str">
        <f ca="1">IFERROR(__xludf.DUMMYFUNCTION("""COMPUTED_VALUE"""),"Riya bansal ")</f>
        <v xml:space="preserve">Riya bansal </v>
      </c>
      <c r="D719" s="1">
        <f ca="1">IFERROR(__xludf.DUMMYFUNCTION("""COMPUTED_VALUE"""),9176361023)</f>
        <v>9176361023</v>
      </c>
      <c r="E719" s="1" t="str">
        <f ca="1">IFERROR(__xludf.DUMMYFUNCTION("""COMPUTED_VALUE"""),"Yes")</f>
        <v>Yes</v>
      </c>
      <c r="F719" s="1" t="str">
        <f ca="1">IFERROR(__xludf.DUMMYFUNCTION("""COMPUTED_VALUE"""),"हिन्दी")</f>
        <v>हिन्दी</v>
      </c>
      <c r="G719" s="1" t="str">
        <f ca="1">IFERROR(__xludf.DUMMYFUNCTION("""COMPUTED_VALUE"""),"अध्यात्म, धर्म एवं दर्शन")</f>
        <v>अध्यात्म, धर्म एवं दर्शन</v>
      </c>
      <c r="H719" s="1" t="str">
        <f ca="1">IFERROR(__xludf.DUMMYFUNCTION("""COMPUTED_VALUE"""),"साधना")</f>
        <v>साधना</v>
      </c>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f ca="1">IFERROR(__xludf.DUMMYFUNCTION("""COMPUTED_VALUE"""),54)</f>
        <v>54</v>
      </c>
      <c r="BX719" s="1">
        <f ca="1">IFERROR(__xludf.DUMMYFUNCTION("""COMPUTED_VALUE"""),55)</f>
        <v>55</v>
      </c>
      <c r="BY719" s="1">
        <f ca="1">IFERROR(__xludf.DUMMYFUNCTION("""COMPUTED_VALUE"""),9)</f>
        <v>9</v>
      </c>
      <c r="BZ719" s="1">
        <f ca="1">IFERROR(__xludf.DUMMYFUNCTION("""COMPUTED_VALUE"""),43)</f>
        <v>43</v>
      </c>
      <c r="CA719" s="1"/>
      <c r="CB719" s="1"/>
      <c r="CC719" s="1" t="str">
        <f ca="1">IFERROR(__xludf.DUMMYFUNCTION("""COMPUTED_VALUE"""),"बिना शर्त अनुदान नहीं : H_JS_88")</f>
        <v>बिना शर्त अनुदान नहीं : H_JS_88</v>
      </c>
      <c r="CD719" s="3" t="str">
        <f ca="1">IFERROR(__xludf.DUMMYFUNCTION("""COMPUTED_VALUE"""),"https://vicharkrantibooks.org/productdetail?book_name=HINP0175_BINA_SHART_ANUDAN_NAHI_xx2011&amp;product_id=740")</f>
        <v>https://vicharkrantibooks.org/productdetail?book_name=HINP0175_BINA_SHART_ANUDAN_NAHI_xx2011&amp;product_id=740</v>
      </c>
      <c r="CE719" s="1" t="str">
        <f ca="1">IFERROR(__xludf.DUMMYFUNCTION("""COMPUTED_VALUE"""),"Audiobook : बिना शर्त अनुदान नहीं : H_JS_88 : rbbansalriya@gmail.com : Recorded")</f>
        <v>Audiobook : बिना शर्त अनुदान नहीं : H_JS_88 : rbbansalriya@gmail.com : Recorded</v>
      </c>
      <c r="CF719" s="1" t="str">
        <f ca="1">IFERROR(__xludf.DUMMYFUNCTION("""COMPUTED_VALUE"""),"Audiobook : बिना शर्त अनुदान नहीं : H_JS_88 : rbbansalriya@gmail.com : Recorded")</f>
        <v>Audiobook : बिना शर्त अनुदान नहीं : H_JS_88 : rbbansalriya@gmail.com : Recorded</v>
      </c>
      <c r="CG719" s="1" t="str">
        <f ca="1">IFERROR(__xludf.DUMMYFUNCTION("""COMPUTED_VALUE"""),"Adarniya Riya bansal  ji बिना शर्त अनुदान नहीं : H_JS_88 : Allocated on 03-Oct-23 Contact Number  9176361023")</f>
        <v>Adarniya Riya bansal  ji बिना शर्त अनुदान नहीं : H_JS_88 : Allocated on 03-Oct-23 Contact Number  9176361023</v>
      </c>
      <c r="CH719" s="1"/>
      <c r="CI719" s="1"/>
    </row>
    <row r="720" spans="1:87" x14ac:dyDescent="0.25">
      <c r="A720" s="5">
        <f ca="1">IFERROR(__xludf.DUMMYFUNCTION("""COMPUTED_VALUE"""),45202.5784473148)</f>
        <v>45202.578447314801</v>
      </c>
      <c r="B720" s="1" t="str">
        <f ca="1">IFERROR(__xludf.DUMMYFUNCTION("""COMPUTED_VALUE"""),"shweta.r.gupta79@gmail.com")</f>
        <v>shweta.r.gupta79@gmail.com</v>
      </c>
      <c r="C720" s="1" t="str">
        <f ca="1">IFERROR(__xludf.DUMMYFUNCTION("""COMPUTED_VALUE"""),"Shweta Gupta ")</f>
        <v xml:space="preserve">Shweta Gupta </v>
      </c>
      <c r="D720" s="1">
        <f ca="1">IFERROR(__xludf.DUMMYFUNCTION("""COMPUTED_VALUE"""),8369516724)</f>
        <v>8369516724</v>
      </c>
      <c r="E720" s="1" t="str">
        <f ca="1">IFERROR(__xludf.DUMMYFUNCTION("""COMPUTED_VALUE"""),"Yes")</f>
        <v>Yes</v>
      </c>
      <c r="F720" s="1" t="str">
        <f ca="1">IFERROR(__xludf.DUMMYFUNCTION("""COMPUTED_VALUE"""),"हिन्दी")</f>
        <v>हिन्दी</v>
      </c>
      <c r="G720" s="1" t="str">
        <f ca="1">IFERROR(__xludf.DUMMYFUNCTION("""COMPUTED_VALUE"""),"परिवार निर्माण")</f>
        <v>परिवार निर्माण</v>
      </c>
      <c r="H720" s="1"/>
      <c r="I720" s="1"/>
      <c r="J720" s="1"/>
      <c r="K720" s="1"/>
      <c r="L720" s="1"/>
      <c r="M720" s="1" t="str">
        <f ca="1">IFERROR(__xludf.DUMMYFUNCTION("""COMPUTED_VALUE"""),"परिवार")</f>
        <v>परिवार</v>
      </c>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f ca="1">IFERROR(__xludf.DUMMYFUNCTION("""COMPUTED_VALUE"""),31)</f>
        <v>31</v>
      </c>
      <c r="BX720" s="1">
        <f ca="1">IFERROR(__xludf.DUMMYFUNCTION("""COMPUTED_VALUE"""),45)</f>
        <v>45</v>
      </c>
      <c r="BY720" s="1">
        <f ca="1">IFERROR(__xludf.DUMMYFUNCTION("""COMPUTED_VALUE"""),3)</f>
        <v>3</v>
      </c>
      <c r="BZ720" s="1">
        <f ca="1">IFERROR(__xludf.DUMMYFUNCTION("""COMPUTED_VALUE"""),40)</f>
        <v>40</v>
      </c>
      <c r="CA720" s="1"/>
      <c r="CB720" s="1"/>
      <c r="CC720" s="1" t="str">
        <f ca="1">IFERROR(__xludf.DUMMYFUNCTION("""COMPUTED_VALUE"""),"संतानउत्पादन और नृतत्व विज्ञान : H_PN_35")</f>
        <v>संतानउत्पादन और नृतत्व विज्ञान : H_PN_35</v>
      </c>
      <c r="CD720" s="3" t="str">
        <f ca="1">IFERROR(__xludf.DUMMYFUNCTION("""COMPUTED_VALUE"""),"https://vicharkrantibooks.org/productdetail?book_name=HINP0794_SANTANOTPADAN_AUR_NRUTATV_VIGYAN_xxyyyy&amp;product_id=1359")</f>
        <v>https://vicharkrantibooks.org/productdetail?book_name=HINP0794_SANTANOTPADAN_AUR_NRUTATV_VIGYAN_xxyyyy&amp;product_id=1359</v>
      </c>
      <c r="CE720" s="1" t="str">
        <f ca="1">IFERROR(__xludf.DUMMYFUNCTION("""COMPUTED_VALUE"""),"Audiobook : संतानउत्पादन और नृतत्व विज्ञान : H_PN_35 : shweta.r.gupta79@gmail.com : Recorded")</f>
        <v>Audiobook : संतानउत्पादन और नृतत्व विज्ञान : H_PN_35 : shweta.r.gupta79@gmail.com : Recorded</v>
      </c>
      <c r="CF720" s="1" t="str">
        <f ca="1">IFERROR(__xludf.DUMMYFUNCTION("""COMPUTED_VALUE"""),"Audiobook : संतानउत्पादन और नृतत्व विज्ञान : H_PN_35 : shweta.r.gupta79@gmail.com : Recorded")</f>
        <v>Audiobook : संतानउत्पादन और नृतत्व विज्ञान : H_PN_35 : shweta.r.gupta79@gmail.com : Recorded</v>
      </c>
      <c r="CG720" s="1" t="str">
        <f ca="1">IFERROR(__xludf.DUMMYFUNCTION("""COMPUTED_VALUE"""),"Adarniya Shweta Gupta  ji संतानउत्पादन और नृतत्व विज्ञान : H_PN_35 : Allocated on 03-Oct-23 Contact Number  8369516724")</f>
        <v>Adarniya Shweta Gupta  ji संतानउत्पादन और नृतत्व विज्ञान : H_PN_35 : Allocated on 03-Oct-23 Contact Number  8369516724</v>
      </c>
      <c r="CH720" s="1"/>
      <c r="CI720" s="1"/>
    </row>
    <row r="721" spans="1:87" x14ac:dyDescent="0.25">
      <c r="A721" s="5">
        <f ca="1">IFERROR(__xludf.DUMMYFUNCTION("""COMPUTED_VALUE"""),45202.5649939236)</f>
        <v>45202.564993923603</v>
      </c>
      <c r="B721" s="1" t="str">
        <f ca="1">IFERROR(__xludf.DUMMYFUNCTION("""COMPUTED_VALUE"""),"csprasad108@gmail.com")</f>
        <v>csprasad108@gmail.com</v>
      </c>
      <c r="C721" s="1" t="str">
        <f ca="1">IFERROR(__xludf.DUMMYFUNCTION("""COMPUTED_VALUE"""),"Kumkum prasad")</f>
        <v>Kumkum prasad</v>
      </c>
      <c r="D721" s="1">
        <f ca="1">IFERROR(__xludf.DUMMYFUNCTION("""COMPUTED_VALUE"""),7978055621)</f>
        <v>7978055621</v>
      </c>
      <c r="E721" s="1"/>
      <c r="F721" s="1" t="str">
        <f ca="1">IFERROR(__xludf.DUMMYFUNCTION("""COMPUTED_VALUE"""),"हिन्दी")</f>
        <v>हिन्दी</v>
      </c>
      <c r="G721" s="1" t="str">
        <f ca="1">IFERROR(__xludf.DUMMYFUNCTION("""COMPUTED_VALUE"""),"संस्कार, कर्मकाण्ड, पाठ, पूजा, गीत-संगीत")</f>
        <v>संस्कार, कर्मकाण्ड, पाठ, पूजा, गीत-संगीत</v>
      </c>
      <c r="H721" s="1"/>
      <c r="I721" s="1"/>
      <c r="J721" s="1"/>
      <c r="K721" s="1"/>
      <c r="L721" s="1"/>
      <c r="M721" s="1"/>
      <c r="N721" s="1"/>
      <c r="O721" s="1"/>
      <c r="P721" s="1"/>
      <c r="Q721" s="1"/>
      <c r="R721" s="1"/>
      <c r="S721" s="1"/>
      <c r="T721" s="1"/>
      <c r="U721" s="1"/>
      <c r="V721" s="1"/>
      <c r="W721" s="1" t="str">
        <f ca="1">IFERROR(__xludf.DUMMYFUNCTION("""COMPUTED_VALUE"""),"पर्व-त्यौहार, कर्मकाण्ड")</f>
        <v>पर्व-त्यौहार, कर्मकाण्ड</v>
      </c>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f ca="1">IFERROR(__xludf.DUMMYFUNCTION("""COMPUTED_VALUE"""),52)</f>
        <v>52</v>
      </c>
      <c r="BX721" s="1">
        <f ca="1">IFERROR(__xludf.DUMMYFUNCTION("""COMPUTED_VALUE"""),54)</f>
        <v>54</v>
      </c>
      <c r="BY721" s="1">
        <f ca="1">IFERROR(__xludf.DUMMYFUNCTION("""COMPUTED_VALUE"""),3)</f>
        <v>3</v>
      </c>
      <c r="BZ721" s="1">
        <f ca="1">IFERROR(__xludf.DUMMYFUNCTION("""COMPUTED_VALUE"""),24)</f>
        <v>24</v>
      </c>
      <c r="CA721" s="1"/>
      <c r="CB721" s="1"/>
      <c r="CC721" s="1" t="str">
        <f ca="1">IFERROR(__xludf.DUMMYFUNCTION("""COMPUTED_VALUE"""),"युग परिवर्तन में समर्थ दीपयज्ञ : H_JS_97")</f>
        <v>युग परिवर्तन में समर्थ दीपयज्ञ : H_JS_97</v>
      </c>
      <c r="CD721" s="3" t="str">
        <f ca="1">IFERROR(__xludf.DUMMYFUNCTION("""COMPUTED_VALUE"""),"https://vicharkrantibooks.org/productdetail?book_name=HINP1058_YUG_PARIVARTAN_MEIN_SAMARTH_DIPYAGY_xx2011&amp;product_id=1623")</f>
        <v>https://vicharkrantibooks.org/productdetail?book_name=HINP1058_YUG_PARIVARTAN_MEIN_SAMARTH_DIPYAGY_xx2011&amp;product_id=1623</v>
      </c>
      <c r="CE721" s="1" t="str">
        <f ca="1">IFERROR(__xludf.DUMMYFUNCTION("""COMPUTED_VALUE"""),"Audiobook : युग परिवर्तन में समर्थ दीपयज्ञ : H_JS_97 : csprasad108@gmail.com : Recorded")</f>
        <v>Audiobook : युग परिवर्तन में समर्थ दीपयज्ञ : H_JS_97 : csprasad108@gmail.com : Recorded</v>
      </c>
      <c r="CF721" s="1" t="str">
        <f ca="1">IFERROR(__xludf.DUMMYFUNCTION("""COMPUTED_VALUE"""),"Audiobook : युग परिवर्तन में समर्थ दीपयज्ञ : H_JS_97 : csprasad108@gmail.com : Recorded")</f>
        <v>Audiobook : युग परिवर्तन में समर्थ दीपयज्ञ : H_JS_97 : csprasad108@gmail.com : Recorded</v>
      </c>
      <c r="CG721" s="1" t="str">
        <f ca="1">IFERROR(__xludf.DUMMYFUNCTION("""COMPUTED_VALUE"""),"Adarniya Kumkum prasad ji युग परिवर्तन में समर्थ दीपयज्ञ : H_JS_97 : Allocated on 03-Oct-23 Contact Number  7978055621")</f>
        <v>Adarniya Kumkum prasad ji युग परिवर्तन में समर्थ दीपयज्ञ : H_JS_97 : Allocated on 03-Oct-23 Contact Number  7978055621</v>
      </c>
      <c r="CH721" s="1"/>
      <c r="CI721" s="1"/>
    </row>
    <row r="722" spans="1:87" x14ac:dyDescent="0.25">
      <c r="A722" s="5">
        <f ca="1">IFERROR(__xludf.DUMMYFUNCTION("""COMPUTED_VALUE"""),45201.8625850694)</f>
        <v>45201.862585069401</v>
      </c>
      <c r="B722" s="1" t="str">
        <f ca="1">IFERROR(__xludf.DUMMYFUNCTION("""COMPUTED_VALUE"""),"rs_7982@yahoo.co.in")</f>
        <v>rs_7982@yahoo.co.in</v>
      </c>
      <c r="C722" s="1" t="str">
        <f ca="1">IFERROR(__xludf.DUMMYFUNCTION("""COMPUTED_VALUE"""),"Ruchi Anand ")</f>
        <v xml:space="preserve">Ruchi Anand </v>
      </c>
      <c r="D722" s="1">
        <f ca="1">IFERROR(__xludf.DUMMYFUNCTION("""COMPUTED_VALUE"""),7972158098)</f>
        <v>7972158098</v>
      </c>
      <c r="E722" s="1" t="str">
        <f ca="1">IFERROR(__xludf.DUMMYFUNCTION("""COMPUTED_VALUE"""),"Yes")</f>
        <v>Yes</v>
      </c>
      <c r="F722" s="1" t="str">
        <f ca="1">IFERROR(__xludf.DUMMYFUNCTION("""COMPUTED_VALUE"""),"हिन्दी or English")</f>
        <v>हिन्दी or English</v>
      </c>
      <c r="G722" s="1" t="str">
        <f ca="1">IFERROR(__xludf.DUMMYFUNCTION("""COMPUTED_VALUE"""),"व्यक्ति निर्माण, युवा/विद्यार्थी एवं शिक्षक")</f>
        <v>व्यक्ति निर्माण, युवा/विद्यार्थी एवं शिक्षक</v>
      </c>
      <c r="H722" s="1"/>
      <c r="I722" s="1"/>
      <c r="J722" s="1"/>
      <c r="K722" s="1"/>
      <c r="L722" s="1"/>
      <c r="M722" s="1"/>
      <c r="N722" s="1"/>
      <c r="O722" s="1"/>
      <c r="P722" s="1"/>
      <c r="Q722" s="1"/>
      <c r="R722" s="1"/>
      <c r="S722" s="1"/>
      <c r="T722" s="1" t="str">
        <f ca="1">IFERROR(__xludf.DUMMYFUNCTION("""COMPUTED_VALUE"""),"काम उल्लास एवं ब्रह्मचर्य")</f>
        <v>काम उल्लास एवं ब्रह्मचर्य</v>
      </c>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f ca="1">IFERROR(__xludf.DUMMYFUNCTION("""COMPUTED_VALUE"""),4)</f>
        <v>4</v>
      </c>
      <c r="BX722" s="1">
        <f ca="1">IFERROR(__xludf.DUMMYFUNCTION("""COMPUTED_VALUE"""),3)</f>
        <v>3</v>
      </c>
      <c r="BY722" s="1">
        <f ca="1">IFERROR(__xludf.DUMMYFUNCTION("""COMPUTED_VALUE"""),2)</f>
        <v>2</v>
      </c>
      <c r="BZ722" s="1">
        <f ca="1">IFERROR(__xludf.DUMMYFUNCTION("""COMPUTED_VALUE"""),1)</f>
        <v>1</v>
      </c>
      <c r="CA722" s="1"/>
      <c r="CB722" s="1"/>
      <c r="CC722" s="1" t="str">
        <f ca="1">IFERROR(__xludf.DUMMYFUNCTION("""COMPUTED_VALUE"""),"आत्महत्या क्यों? : H_PP_09")</f>
        <v>आत्महत्या क्यों? : H_PP_09</v>
      </c>
      <c r="CD722" s="3" t="str">
        <f ca="1">IFERROR(__xludf.DUMMYFUNCTION("""COMPUTED_VALUE"""),"https://vicharkrantibooks.org/productdetail?book_name=HINP0094_ATMAHATYA_KYON_xxyyyy&amp;product_id=659")</f>
        <v>https://vicharkrantibooks.org/productdetail?book_name=HINP0094_ATMAHATYA_KYON_xxyyyy&amp;product_id=659</v>
      </c>
      <c r="CE722" s="1" t="str">
        <f ca="1">IFERROR(__xludf.DUMMYFUNCTION("""COMPUTED_VALUE"""),"Audiobook : आत्महत्या क्यों? : H_PP_09 : rs_7982@yahoo.co.in : Recorded")</f>
        <v>Audiobook : आत्महत्या क्यों? : H_PP_09 : rs_7982@yahoo.co.in : Recorded</v>
      </c>
      <c r="CF722" s="1" t="str">
        <f ca="1">IFERROR(__xludf.DUMMYFUNCTION("""COMPUTED_VALUE"""),"Audiobook : आत्महत्या क्यों? : H_PP_09 : rs_7982@yahoo.co.in : Recorded")</f>
        <v>Audiobook : आत्महत्या क्यों? : H_PP_09 : rs_7982@yahoo.co.in : Recorded</v>
      </c>
      <c r="CG722" s="1" t="str">
        <f ca="1">IFERROR(__xludf.DUMMYFUNCTION("""COMPUTED_VALUE"""),"Adarniya Ruchi Anand  ji आत्महत्या क्यों? : H_PP_09 : Allocated on 02-Oct-23 Contact Number  7972158098")</f>
        <v>Adarniya Ruchi Anand  ji आत्महत्या क्यों? : H_PP_09 : Allocated on 02-Oct-23 Contact Number  7972158098</v>
      </c>
      <c r="CH722" s="1"/>
      <c r="CI722" s="1"/>
    </row>
    <row r="723" spans="1:87" x14ac:dyDescent="0.25">
      <c r="A723" s="5">
        <f ca="1">IFERROR(__xludf.DUMMYFUNCTION("""COMPUTED_VALUE"""),45201.6295760879)</f>
        <v>45201.6295760879</v>
      </c>
      <c r="B723" s="1" t="str">
        <f ca="1">IFERROR(__xludf.DUMMYFUNCTION("""COMPUTED_VALUE"""),"nksaxena.yoga@gmail.com")</f>
        <v>nksaxena.yoga@gmail.com</v>
      </c>
      <c r="C723" s="1" t="str">
        <f ca="1">IFERROR(__xludf.DUMMYFUNCTION("""COMPUTED_VALUE"""),"Narendra Kumar Saxena ")</f>
        <v xml:space="preserve">Narendra Kumar Saxena </v>
      </c>
      <c r="D723" s="1">
        <f ca="1">IFERROR(__xludf.DUMMYFUNCTION("""COMPUTED_VALUE"""),8826499188)</f>
        <v>8826499188</v>
      </c>
      <c r="E723" s="1" t="str">
        <f ca="1">IFERROR(__xludf.DUMMYFUNCTION("""COMPUTED_VALUE"""),"Yes")</f>
        <v>Yes</v>
      </c>
      <c r="F723" s="1" t="str">
        <f ca="1">IFERROR(__xludf.DUMMYFUNCTION("""COMPUTED_VALUE"""),"हिन्दी")</f>
        <v>हिन्दी</v>
      </c>
      <c r="G723" s="1" t="str">
        <f ca="1">IFERROR(__xludf.DUMMYFUNCTION("""COMPUTED_VALUE"""),"समग्र स्वास्थ्य")</f>
        <v>समग्र स्वास्थ्य</v>
      </c>
      <c r="H723" s="1"/>
      <c r="I723" s="1"/>
      <c r="J723" s="1"/>
      <c r="K723" s="1"/>
      <c r="L723" s="1"/>
      <c r="M723" s="1"/>
      <c r="N723" s="1"/>
      <c r="O723" s="1"/>
      <c r="P723" s="1"/>
      <c r="Q723" s="1"/>
      <c r="R723" s="1"/>
      <c r="S723" s="1"/>
      <c r="T723" s="1"/>
      <c r="U723" s="1" t="str">
        <f ca="1">IFERROR(__xludf.DUMMYFUNCTION("""COMPUTED_VALUE"""),"आहार-विहार एवं उपवास")</f>
        <v>आहार-विहार एवं उपवास</v>
      </c>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f ca="1">IFERROR(__xludf.DUMMYFUNCTION("""COMPUTED_VALUE"""),29)</f>
        <v>29</v>
      </c>
      <c r="BX723" s="1">
        <f ca="1">IFERROR(__xludf.DUMMYFUNCTION("""COMPUTED_VALUE"""),30)</f>
        <v>30</v>
      </c>
      <c r="BY723" s="1">
        <f ca="1">IFERROR(__xludf.DUMMYFUNCTION("""COMPUTED_VALUE"""),3)</f>
        <v>3</v>
      </c>
      <c r="BZ723" s="1">
        <f ca="1">IFERROR(__xludf.DUMMYFUNCTION("""COMPUTED_VALUE"""),25)</f>
        <v>25</v>
      </c>
      <c r="CA723" s="1"/>
      <c r="CB723" s="1"/>
      <c r="CC723" s="1" t="str">
        <f ca="1">IFERROR(__xludf.DUMMYFUNCTION("""COMPUTED_VALUE"""),"काम उल्लास का सृजनात्मक उपयोग : H_VN_71")</f>
        <v>काम उल्लास का सृजनात्मक उपयोग : H_VN_71</v>
      </c>
      <c r="CD723" s="3" t="str">
        <f ca="1">IFERROR(__xludf.DUMMYFUNCTION("""COMPUTED_VALUE"""),"https://vicharkrantibooks.org/productdetail?book_name=HINP0414_KAM_ULLAS_KA_SRUJANATMAK_UPAYOG_xxyyyy&amp;product_id=979")</f>
        <v>https://vicharkrantibooks.org/productdetail?book_name=HINP0414_KAM_ULLAS_KA_SRUJANATMAK_UPAYOG_xxyyyy&amp;product_id=979</v>
      </c>
      <c r="CE723" s="1" t="str">
        <f ca="1">IFERROR(__xludf.DUMMYFUNCTION("""COMPUTED_VALUE"""),"Audiobook : काम उल्लास का सृजनात्मक उपयोग : H_VN_71 : nksaxena.yoga@gmail.com : Recorded")</f>
        <v>Audiobook : काम उल्लास का सृजनात्मक उपयोग : H_VN_71 : nksaxena.yoga@gmail.com : Recorded</v>
      </c>
      <c r="CF723" s="1" t="str">
        <f ca="1">IFERROR(__xludf.DUMMYFUNCTION("""COMPUTED_VALUE"""),"Audiobook : काम उल्लास का सृजनात्मक उपयोग : H_VN_71 : nksaxena.yoga@gmail.com : Recorded")</f>
        <v>Audiobook : काम उल्लास का सृजनात्मक उपयोग : H_VN_71 : nksaxena.yoga@gmail.com : Recorded</v>
      </c>
      <c r="CG723" s="1" t="str">
        <f ca="1">IFERROR(__xludf.DUMMYFUNCTION("""COMPUTED_VALUE"""),"Adarniya Narendra Kumar Saxena  ji काम उल्लास का सृजनात्मक उपयोग : H_VN_71 : Allocated on 02-Oct-23 Contact Number  8826499188")</f>
        <v>Adarniya Narendra Kumar Saxena  ji काम उल्लास का सृजनात्मक उपयोग : H_VN_71 : Allocated on 02-Oct-23 Contact Number  8826499188</v>
      </c>
      <c r="CH723" s="1"/>
      <c r="CI723" s="1"/>
    </row>
    <row r="724" spans="1:87" x14ac:dyDescent="0.25">
      <c r="A724" s="5">
        <f ca="1">IFERROR(__xludf.DUMMYFUNCTION("""COMPUTED_VALUE"""),45200.752596655)</f>
        <v>45200.752596655002</v>
      </c>
      <c r="B724" s="1" t="str">
        <f ca="1">IFERROR(__xludf.DUMMYFUNCTION("""COMPUTED_VALUE"""),"brphodmba@gmail.com")</f>
        <v>brphodmba@gmail.com</v>
      </c>
      <c r="C724" s="1" t="str">
        <f ca="1">IFERROR(__xludf.DUMMYFUNCTION("""COMPUTED_VALUE"""),"Dr. Baidyanath Ram Prajapati")</f>
        <v>Dr. Baidyanath Ram Prajapati</v>
      </c>
      <c r="D724" s="1">
        <f ca="1">IFERROR(__xludf.DUMMYFUNCTION("""COMPUTED_VALUE"""),9811724821)</f>
        <v>9811724821</v>
      </c>
      <c r="E724" s="1" t="str">
        <f ca="1">IFERROR(__xludf.DUMMYFUNCTION("""COMPUTED_VALUE"""),"No")</f>
        <v>No</v>
      </c>
      <c r="F724" s="1" t="str">
        <f ca="1">IFERROR(__xludf.DUMMYFUNCTION("""COMPUTED_VALUE"""),"हिन्दी or English")</f>
        <v>हिन्दी or English</v>
      </c>
      <c r="G724" s="1" t="str">
        <f ca="1">IFERROR(__xludf.DUMMYFUNCTION("""COMPUTED_VALUE"""),"अध्यात्म, धर्म एवं दर्शन")</f>
        <v>अध्यात्म, धर्म एवं दर्शन</v>
      </c>
      <c r="H724" s="1" t="str">
        <f ca="1">IFERROR(__xludf.DUMMYFUNCTION("""COMPUTED_VALUE"""),"आत्मज्ञान एवं आत्मनिर्माण")</f>
        <v>आत्मज्ञान एवं आत्मनिर्माण</v>
      </c>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f ca="1">IFERROR(__xludf.DUMMYFUNCTION("""COMPUTED_VALUE"""),12)</f>
        <v>12</v>
      </c>
      <c r="BX724" s="1">
        <f ca="1">IFERROR(__xludf.DUMMYFUNCTION("""COMPUTED_VALUE"""),10)</f>
        <v>10</v>
      </c>
      <c r="BY724" s="1">
        <f ca="1">IFERROR(__xludf.DUMMYFUNCTION("""COMPUTED_VALUE"""),4)</f>
        <v>4</v>
      </c>
      <c r="BZ724" s="1">
        <f ca="1">IFERROR(__xludf.DUMMYFUNCTION("""COMPUTED_VALUE"""),0)</f>
        <v>0</v>
      </c>
      <c r="CA724" s="1"/>
      <c r="CB724" s="1"/>
      <c r="CC724" s="1" t="str">
        <f ca="1">IFERROR(__xludf.DUMMYFUNCTION("""COMPUTED_VALUE"""),"अध्यात्म अपने परिष्कृत रुप में हमारे जीवन में उतरें : Rare Book")</f>
        <v>अध्यात्म अपने परिष्कृत रुप में हमारे जीवन में उतरें : Rare Book</v>
      </c>
      <c r="CD724" s="3" t="str">
        <f ca="1">IFERROR(__xludf.DUMMYFUNCTION("""COMPUTED_VALUE"""),"https://vicharkrantibooks.org/productdetail?book_name=HINF0006_ADHYATM_APANE_PARISHKRUT_RUP_MEIN_HAMARE_JIVAN_MEIN_UTARE_xxyyyy&amp;product_id=226")</f>
        <v>https://vicharkrantibooks.org/productdetail?book_name=HINF0006_ADHYATM_APANE_PARISHKRUT_RUP_MEIN_HAMARE_JIVAN_MEIN_UTARE_xxyyyy&amp;product_id=226</v>
      </c>
      <c r="CE724" s="1" t="str">
        <f ca="1">IFERROR(__xludf.DUMMYFUNCTION("""COMPUTED_VALUE"""),"Audiobook : अध्यात्म अपने परिष्कृत रुप में हमारे जीवन में उतरें : Rare Book : brphodmba@gmail.com : Recorded")</f>
        <v>Audiobook : अध्यात्म अपने परिष्कृत रुप में हमारे जीवन में उतरें : Rare Book : brphodmba@gmail.com : Recorded</v>
      </c>
      <c r="CF724" s="1" t="str">
        <f ca="1">IFERROR(__xludf.DUMMYFUNCTION("""COMPUTED_VALUE"""),"Audiobook : अध्यात्म अपने परिष्कृत रुप में हमारे जीवन में उतरें : Rare Book : brphodmba@gmail.com : Recorded")</f>
        <v>Audiobook : अध्यात्म अपने परिष्कृत रुप में हमारे जीवन में उतरें : Rare Book : brphodmba@gmail.com : Recorded</v>
      </c>
      <c r="CG724" s="1" t="str">
        <f ca="1">IFERROR(__xludf.DUMMYFUNCTION("""COMPUTED_VALUE"""),"Adarniya Dr. Baidyanath Ram Prajapati ji अध्यात्म अपने परिष्कृत रुप में हमारे जीवन में उतरें : Rare Book : Allocated on 01-Oct-23 Contact Number  9811724821")</f>
        <v>Adarniya Dr. Baidyanath Ram Prajapati ji अध्यात्म अपने परिष्कृत रुप में हमारे जीवन में उतरें : Rare Book : Allocated on 01-Oct-23 Contact Number  9811724821</v>
      </c>
      <c r="CH724" s="1"/>
      <c r="CI724" s="1"/>
    </row>
    <row r="725" spans="1:87" x14ac:dyDescent="0.25">
      <c r="A725" s="5">
        <f ca="1">IFERROR(__xludf.DUMMYFUNCTION("""COMPUTED_VALUE"""),45198.8423249421)</f>
        <v>45198.842324942103</v>
      </c>
      <c r="B725" s="1" t="str">
        <f ca="1">IFERROR(__xludf.DUMMYFUNCTION("""COMPUTED_VALUE"""),"vjatul025@gmail.com")</f>
        <v>vjatul025@gmail.com</v>
      </c>
      <c r="C725" s="1" t="str">
        <f ca="1">IFERROR(__xludf.DUMMYFUNCTION("""COMPUTED_VALUE"""),"Vandana Joshi ")</f>
        <v xml:space="preserve">Vandana Joshi </v>
      </c>
      <c r="D725" s="1">
        <f ca="1">IFERROR(__xludf.DUMMYFUNCTION("""COMPUTED_VALUE"""),9174756367)</f>
        <v>9174756367</v>
      </c>
      <c r="E725" s="1" t="str">
        <f ca="1">IFERROR(__xludf.DUMMYFUNCTION("""COMPUTED_VALUE"""),"Yes")</f>
        <v>Yes</v>
      </c>
      <c r="F725" s="1" t="str">
        <f ca="1">IFERROR(__xludf.DUMMYFUNCTION("""COMPUTED_VALUE"""),"हिन्दी")</f>
        <v>हिन्दी</v>
      </c>
      <c r="G725" s="1" t="str">
        <f ca="1">IFERROR(__xludf.DUMMYFUNCTION("""COMPUTED_VALUE"""),"समग्र स्वास्थ्य")</f>
        <v>समग्र स्वास्थ्य</v>
      </c>
      <c r="H725" s="1"/>
      <c r="I725" s="1"/>
      <c r="J725" s="1"/>
      <c r="K725" s="1"/>
      <c r="L725" s="1"/>
      <c r="M725" s="1"/>
      <c r="N725" s="1"/>
      <c r="O725" s="1"/>
      <c r="P725" s="1"/>
      <c r="Q725" s="1"/>
      <c r="R725" s="1"/>
      <c r="S725" s="1"/>
      <c r="T725" s="1"/>
      <c r="U725" s="1" t="str">
        <f ca="1">IFERROR(__xludf.DUMMYFUNCTION("""COMPUTED_VALUE"""),"मानसिक स्वास्थ्य")</f>
        <v>मानसिक स्वास्थ्य</v>
      </c>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f ca="1">IFERROR(__xludf.DUMMYFUNCTION("""COMPUTED_VALUE"""),8)</f>
        <v>8</v>
      </c>
      <c r="BX725" s="1">
        <f ca="1">IFERROR(__xludf.DUMMYFUNCTION("""COMPUTED_VALUE"""),6)</f>
        <v>6</v>
      </c>
      <c r="BY725" s="1">
        <f ca="1">IFERROR(__xludf.DUMMYFUNCTION("""COMPUTED_VALUE"""),2)</f>
        <v>2</v>
      </c>
      <c r="BZ725" s="1">
        <f ca="1">IFERROR(__xludf.DUMMYFUNCTION("""COMPUTED_VALUE"""),0)</f>
        <v>0</v>
      </c>
      <c r="CA725" s="1"/>
      <c r="CB725" s="1"/>
      <c r="CC725" s="1" t="str">
        <f ca="1">IFERROR(__xludf.DUMMYFUNCTION("""COMPUTED_VALUE"""),"आहार संतुलित रखें अपच से बचें : Rare Book")</f>
        <v>आहार संतुलित रखें अपच से बचें : Rare Book</v>
      </c>
      <c r="CD725" s="3" t="str">
        <f ca="1">IFERROR(__xludf.DUMMYFUNCTION("""COMPUTED_VALUE"""),"https://vicharkrantibooks.org/productdetail?book_name=ENGRE075_HEALTH_TIPS_FROM_THE_VEDAS_2nd2011&amp;product_id=3470")</f>
        <v>https://vicharkrantibooks.org/productdetail?book_name=ENGRE075_HEALTH_TIPS_FROM_THE_VEDAS_2nd2011&amp;product_id=3470</v>
      </c>
      <c r="CE725" s="1" t="str">
        <f ca="1">IFERROR(__xludf.DUMMYFUNCTION("""COMPUTED_VALUE"""),"Audiobook : आहार संतुलित रखें अपच से बचें : Rare Book : vjatul025@gmail.com : Recorded")</f>
        <v>Audiobook : आहार संतुलित रखें अपच से बचें : Rare Book : vjatul025@gmail.com : Recorded</v>
      </c>
      <c r="CF725" s="1" t="str">
        <f ca="1">IFERROR(__xludf.DUMMYFUNCTION("""COMPUTED_VALUE"""),"Audiobook : आहार संतुलित रखें अपच से बचें : Rare Book : vjatul025@gmail.com : Recorded")</f>
        <v>Audiobook : आहार संतुलित रखें अपच से बचें : Rare Book : vjatul025@gmail.com : Recorded</v>
      </c>
      <c r="CG725" s="1" t="str">
        <f ca="1">IFERROR(__xludf.DUMMYFUNCTION("""COMPUTED_VALUE"""),"Adarniya Vandana Joshi  ji आहार संतुलित रखें अपच से बचें : Rare Book : Allocated on 29-Sep-23 Contact Number  9174756367")</f>
        <v>Adarniya Vandana Joshi  ji आहार संतुलित रखें अपच से बचें : Rare Book : Allocated on 29-Sep-23 Contact Number  9174756367</v>
      </c>
      <c r="CH725" s="1"/>
      <c r="CI725" s="1"/>
    </row>
    <row r="726" spans="1:87" x14ac:dyDescent="0.25">
      <c r="A726" s="5">
        <f ca="1">IFERROR(__xludf.DUMMYFUNCTION("""COMPUTED_VALUE"""),45198.4815430208)</f>
        <v>45198.481543020796</v>
      </c>
      <c r="B726" s="1" t="str">
        <f ca="1">IFERROR(__xludf.DUMMYFUNCTION("""COMPUTED_VALUE"""),"vartikasharma@hotmail.com")</f>
        <v>vartikasharma@hotmail.com</v>
      </c>
      <c r="C726" s="1" t="str">
        <f ca="1">IFERROR(__xludf.DUMMYFUNCTION("""COMPUTED_VALUE"""),"Vartika Sharma")</f>
        <v>Vartika Sharma</v>
      </c>
      <c r="D726" s="1" t="str">
        <f ca="1">IFERROR(__xludf.DUMMYFUNCTION("""COMPUTED_VALUE"""),"+12896894365")</f>
        <v>+12896894365</v>
      </c>
      <c r="E726" s="1" t="str">
        <f ca="1">IFERROR(__xludf.DUMMYFUNCTION("""COMPUTED_VALUE"""),"No")</f>
        <v>No</v>
      </c>
      <c r="F726" s="1" t="str">
        <f ca="1">IFERROR(__xludf.DUMMYFUNCTION("""COMPUTED_VALUE"""),"English")</f>
        <v>English</v>
      </c>
      <c r="G726" s="1" t="str">
        <f ca="1">IFERROR(__xludf.DUMMYFUNCTION("""COMPUTED_VALUE"""),"English")</f>
        <v>English</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f ca="1">IFERROR(__xludf.DUMMYFUNCTION("""COMPUTED_VALUE"""),3)</f>
        <v>3</v>
      </c>
      <c r="BX726" s="1">
        <f ca="1">IFERROR(__xludf.DUMMYFUNCTION("""COMPUTED_VALUE"""),1)</f>
        <v>1</v>
      </c>
      <c r="BY726" s="1">
        <f ca="1">IFERROR(__xludf.DUMMYFUNCTION("""COMPUTED_VALUE"""),2)</f>
        <v>2</v>
      </c>
      <c r="BZ726" s="1">
        <f ca="1">IFERROR(__xludf.DUMMYFUNCTION("""COMPUTED_VALUE"""),0)</f>
        <v>0</v>
      </c>
      <c r="CA726" s="1"/>
      <c r="CB726" s="5">
        <f ca="1">IFERROR(__xludf.DUMMYFUNCTION("""COMPUTED_VALUE"""),45208.4815430208)</f>
        <v>45208.481543020796</v>
      </c>
      <c r="CC726" s="1" t="str">
        <f ca="1">IFERROR(__xludf.DUMMYFUNCTION("""COMPUTED_VALUE"""),"A Manual Of Hindu Marriage : EP_03")</f>
        <v>A Manual Of Hindu Marriage : EP_03</v>
      </c>
      <c r="CD726" s="3" t="str">
        <f ca="1">IFERROR(__xludf.DUMMYFUNCTION("""COMPUTED_VALUE"""),"http://literature.awgp.org/book/a_manual_of_hindu_marriage/v1")</f>
        <v>http://literature.awgp.org/book/a_manual_of_hindu_marriage/v1</v>
      </c>
      <c r="CE726" s="1" t="str">
        <f ca="1">IFERROR(__xludf.DUMMYFUNCTION("""COMPUTED_VALUE"""),"Audiobook : A Manual Of Hindu Marriage : EP_03 : vartikasharma@hotmail.com : Recorded")</f>
        <v>Audiobook : A Manual Of Hindu Marriage : EP_03 : vartikasharma@hotmail.com : Recorded</v>
      </c>
      <c r="CF726" s="1" t="str">
        <f ca="1">IFERROR(__xludf.DUMMYFUNCTION("""COMPUTED_VALUE"""),"#N/A")</f>
        <v>#N/A</v>
      </c>
      <c r="CG726" s="1" t="str">
        <f ca="1">IFERROR(__xludf.DUMMYFUNCTION("""COMPUTED_VALUE"""),"Adarniya Vartika Sharma ji A Manual Of Hindu Marriage : EP_03 : Allocated on 29-Sep-23 Contact Number  +12896894365")</f>
        <v>Adarniya Vartika Sharma ji A Manual Of Hindu Marriage : EP_03 : Allocated on 29-Sep-23 Contact Number  +12896894365</v>
      </c>
      <c r="CH726" s="1"/>
      <c r="CI726" s="1"/>
    </row>
    <row r="727" spans="1:87" x14ac:dyDescent="0.25">
      <c r="A727" s="5">
        <f ca="1">IFERROR(__xludf.DUMMYFUNCTION("""COMPUTED_VALUE"""),45197.6734558101)</f>
        <v>45197.673455810102</v>
      </c>
      <c r="B727" s="1" t="str">
        <f ca="1">IFERROR(__xludf.DUMMYFUNCTION("""COMPUTED_VALUE"""),"rbbansalriya@gmail.com")</f>
        <v>rbbansalriya@gmail.com</v>
      </c>
      <c r="C727" s="1" t="str">
        <f ca="1">IFERROR(__xludf.DUMMYFUNCTION("""COMPUTED_VALUE"""),"Riya Bansal ")</f>
        <v xml:space="preserve">Riya Bansal </v>
      </c>
      <c r="D727" s="1">
        <f ca="1">IFERROR(__xludf.DUMMYFUNCTION("""COMPUTED_VALUE"""),9176361023)</f>
        <v>9176361023</v>
      </c>
      <c r="E727" s="1" t="str">
        <f ca="1">IFERROR(__xludf.DUMMYFUNCTION("""COMPUTED_VALUE"""),"Yes")</f>
        <v>Yes</v>
      </c>
      <c r="F727" s="1" t="str">
        <f ca="1">IFERROR(__xludf.DUMMYFUNCTION("""COMPUTED_VALUE"""),"हिन्दी")</f>
        <v>हिन्दी</v>
      </c>
      <c r="G727" s="1" t="str">
        <f ca="1">IFERROR(__xludf.DUMMYFUNCTION("""COMPUTED_VALUE"""),"भारतीय संस्कृति")</f>
        <v>भारतीय संस्कृति</v>
      </c>
      <c r="H727" s="1"/>
      <c r="I727" s="1"/>
      <c r="J727" s="1"/>
      <c r="K727" s="1"/>
      <c r="L727" s="1"/>
      <c r="M727" s="1"/>
      <c r="N727" s="1"/>
      <c r="O727" s="1" t="str">
        <f ca="1">IFERROR(__xludf.DUMMYFUNCTION("""COMPUTED_VALUE"""),"भारतीय संस्कृति")</f>
        <v>भारतीय संस्कृति</v>
      </c>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f ca="1">IFERROR(__xludf.DUMMYFUNCTION("""COMPUTED_VALUE"""),54)</f>
        <v>54</v>
      </c>
      <c r="BX727" s="1">
        <f ca="1">IFERROR(__xludf.DUMMYFUNCTION("""COMPUTED_VALUE"""),55)</f>
        <v>55</v>
      </c>
      <c r="BY727" s="1">
        <f ca="1">IFERROR(__xludf.DUMMYFUNCTION("""COMPUTED_VALUE"""),9)</f>
        <v>9</v>
      </c>
      <c r="BZ727" s="1">
        <f ca="1">IFERROR(__xludf.DUMMYFUNCTION("""COMPUTED_VALUE"""),43)</f>
        <v>43</v>
      </c>
      <c r="CA727" s="1"/>
      <c r="CB727" s="1"/>
      <c r="CC727" s="1" t="str">
        <f ca="1">IFERROR(__xludf.DUMMYFUNCTION("""COMPUTED_VALUE"""),"पाँच प्राण पाँच कोश पाँच देवता : H_JS_31")</f>
        <v>पाँच प्राण पाँच कोश पाँच देवता : H_JS_31</v>
      </c>
      <c r="CD727" s="3" t="str">
        <f ca="1">IFERROR(__xludf.DUMMYFUNCTION("""COMPUTED_VALUE"""),"https://vicharkrantibooks.org/productdetail?book_name=ENGRE075_HEALTH_TIPS_FROM_THE_VEDAS_2nd2011&amp;product_id=3470")</f>
        <v>https://vicharkrantibooks.org/productdetail?book_name=ENGRE075_HEALTH_TIPS_FROM_THE_VEDAS_2nd2011&amp;product_id=3470</v>
      </c>
      <c r="CE727" s="1" t="str">
        <f ca="1">IFERROR(__xludf.DUMMYFUNCTION("""COMPUTED_VALUE"""),"Audiobook : पाँच प्राण पाँच कोश पाँच देवता : H_JS_31 : rbbansalriya@gmail.com : Recorded")</f>
        <v>Audiobook : पाँच प्राण पाँच कोश पाँच देवता : H_JS_31 : rbbansalriya@gmail.com : Recorded</v>
      </c>
      <c r="CF727" s="1" t="str">
        <f ca="1">IFERROR(__xludf.DUMMYFUNCTION("""COMPUTED_VALUE"""),"Audiobook : पाँच प्राण पाँच कोश पाँच देवता : H_JS_31 : rbbansalriya@gmail.com : Recorded")</f>
        <v>Audiobook : पाँच प्राण पाँच कोश पाँच देवता : H_JS_31 : rbbansalriya@gmail.com : Recorded</v>
      </c>
      <c r="CG727" s="1" t="str">
        <f ca="1">IFERROR(__xludf.DUMMYFUNCTION("""COMPUTED_VALUE"""),"Adarniya Riya Bansal  ji पाँच प्राण पाँच कोश पाँच देवता : H_JS_31 : Allocated on 28-Sep-23 Contact Number  9176361023")</f>
        <v>Adarniya Riya Bansal  ji पाँच प्राण पाँच कोश पाँच देवता : H_JS_31 : Allocated on 28-Sep-23 Contact Number  9176361023</v>
      </c>
      <c r="CH727" s="1"/>
      <c r="CI727" s="1"/>
    </row>
    <row r="728" spans="1:87" x14ac:dyDescent="0.25">
      <c r="A728" s="6">
        <f ca="1">IFERROR(__xludf.DUMMYFUNCTION("""COMPUTED_VALUE"""),45196)</f>
        <v>45196</v>
      </c>
      <c r="B728" s="1" t="str">
        <f ca="1">IFERROR(__xludf.DUMMYFUNCTION("""COMPUTED_VALUE"""),"sanjayneha1@yahoo.com")</f>
        <v>sanjayneha1@yahoo.com</v>
      </c>
      <c r="C728" s="1" t="str">
        <f ca="1">IFERROR(__xludf.DUMMYFUNCTION("""COMPUTED_VALUE"""),"Neha Manocha")</f>
        <v>Neha Manocha</v>
      </c>
      <c r="D728" s="1">
        <f ca="1">IFERROR(__xludf.DUMMYFUNCTION("""COMPUTED_VALUE"""),16174130446)</f>
        <v>16174130446</v>
      </c>
      <c r="E728" s="1" t="str">
        <f ca="1">IFERROR(__xludf.DUMMYFUNCTION("""COMPUTED_VALUE"""),"Yes")</f>
        <v>Yes</v>
      </c>
      <c r="F728" s="1" t="str">
        <f ca="1">IFERROR(__xludf.DUMMYFUNCTION("""COMPUTED_VALUE"""),"हिन्दी or English")</f>
        <v>हिन्दी or English</v>
      </c>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f ca="1">IFERROR(__xludf.DUMMYFUNCTION("""COMPUTED_VALUE"""),33)</f>
        <v>33</v>
      </c>
      <c r="BX728" s="1">
        <f ca="1">IFERROR(__xludf.DUMMYFUNCTION("""COMPUTED_VALUE"""),40)</f>
        <v>40</v>
      </c>
      <c r="BY728" s="1">
        <f ca="1">IFERROR(__xludf.DUMMYFUNCTION("""COMPUTED_VALUE"""),3)</f>
        <v>3</v>
      </c>
      <c r="BZ728" s="1">
        <f ca="1">IFERROR(__xludf.DUMMYFUNCTION("""COMPUTED_VALUE"""),22)</f>
        <v>22</v>
      </c>
      <c r="CA728" s="1"/>
      <c r="CB728" s="1"/>
      <c r="CC728" s="1" t="str">
        <f ca="1">IFERROR(__xludf.DUMMYFUNCTION("""COMPUTED_VALUE"""),"उन्नति के तीन गुण चार चरण : H_PP_35")</f>
        <v>उन्नति के तीन गुण चार चरण : H_PP_35</v>
      </c>
      <c r="CD728" s="3" t="str">
        <f ca="1">IFERROR(__xludf.DUMMYFUNCTION("""COMPUTED_VALUE"""),"https://vicharkrantibooks.org/productdetail?book_name=ENGRE075_HEALTH_TIPS_FROM_THE_VEDAS_2nd2011&amp;product_id=3470")</f>
        <v>https://vicharkrantibooks.org/productdetail?book_name=ENGRE075_HEALTH_TIPS_FROM_THE_VEDAS_2nd2011&amp;product_id=3470</v>
      </c>
      <c r="CE728" s="1" t="str">
        <f ca="1">IFERROR(__xludf.DUMMYFUNCTION("""COMPUTED_VALUE"""),"Audiobook : उन्नति के तीन गुण चार चरण : H_PP_35 : sanjayneha1@yahoo.com : Recorded")</f>
        <v>Audiobook : उन्नति के तीन गुण चार चरण : H_PP_35 : sanjayneha1@yahoo.com : Recorded</v>
      </c>
      <c r="CF728" s="1" t="str">
        <f ca="1">IFERROR(__xludf.DUMMYFUNCTION("""COMPUTED_VALUE"""),"#N/A")</f>
        <v>#N/A</v>
      </c>
      <c r="CG728" s="1" t="str">
        <f ca="1">IFERROR(__xludf.DUMMYFUNCTION("""COMPUTED_VALUE"""),"Adarniya Neha Manocha ji उन्नति के तीन गुण चार चरण : H_PP_35 : Allocated on 27-Sep-23 Contact Number  16174130446")</f>
        <v>Adarniya Neha Manocha ji उन्नति के तीन गुण चार चरण : H_PP_35 : Allocated on 27-Sep-23 Contact Number  16174130446</v>
      </c>
      <c r="CH728" s="1"/>
      <c r="CI728" s="1"/>
    </row>
    <row r="729" spans="1:87" x14ac:dyDescent="0.25">
      <c r="A729" s="5">
        <f ca="1">IFERROR(__xludf.DUMMYFUNCTION("""COMPUTED_VALUE"""),45195.7791553356)</f>
        <v>45195.7791553356</v>
      </c>
      <c r="B729" s="1" t="str">
        <f ca="1">IFERROR(__xludf.DUMMYFUNCTION("""COMPUTED_VALUE"""),"samidhachhr@gmail.com")</f>
        <v>samidhachhr@gmail.com</v>
      </c>
      <c r="C729" s="1" t="str">
        <f ca="1">IFERROR(__xludf.DUMMYFUNCTION("""COMPUTED_VALUE"""),"Samidha kendurkar")</f>
        <v>Samidha kendurkar</v>
      </c>
      <c r="D729" s="1" t="str">
        <f ca="1">IFERROR(__xludf.DUMMYFUNCTION("""COMPUTED_VALUE"""),"+919977227429")</f>
        <v>+919977227429</v>
      </c>
      <c r="E729" s="1" t="str">
        <f ca="1">IFERROR(__xludf.DUMMYFUNCTION("""COMPUTED_VALUE"""),"Yes")</f>
        <v>Yes</v>
      </c>
      <c r="F729" s="1" t="str">
        <f ca="1">IFERROR(__xludf.DUMMYFUNCTION("""COMPUTED_VALUE"""),"हिन्दी")</f>
        <v>हिन्दी</v>
      </c>
      <c r="G729" s="1" t="str">
        <f ca="1">IFERROR(__xludf.DUMMYFUNCTION("""COMPUTED_VALUE"""),"भारतीय संस्कृति")</f>
        <v>भारतीय संस्कृति</v>
      </c>
      <c r="H729" s="1"/>
      <c r="I729" s="1"/>
      <c r="J729" s="1"/>
      <c r="K729" s="1"/>
      <c r="L729" s="1"/>
      <c r="M729" s="1"/>
      <c r="N729" s="1"/>
      <c r="O729" s="1" t="str">
        <f ca="1">IFERROR(__xludf.DUMMYFUNCTION("""COMPUTED_VALUE"""),"भारतीय संस्कृति")</f>
        <v>भारतीय संस्कृति</v>
      </c>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f ca="1">IFERROR(__xludf.DUMMYFUNCTION("""COMPUTED_VALUE"""),7)</f>
        <v>7</v>
      </c>
      <c r="BX729" s="1">
        <f ca="1">IFERROR(__xludf.DUMMYFUNCTION("""COMPUTED_VALUE"""),6)</f>
        <v>6</v>
      </c>
      <c r="BY729" s="1">
        <f ca="1">IFERROR(__xludf.DUMMYFUNCTION("""COMPUTED_VALUE"""),4)</f>
        <v>4</v>
      </c>
      <c r="BZ729" s="1">
        <f ca="1">IFERROR(__xludf.DUMMYFUNCTION("""COMPUTED_VALUE"""),3)</f>
        <v>3</v>
      </c>
      <c r="CA729" s="1"/>
      <c r="CB729" s="5">
        <f ca="1">IFERROR(__xludf.DUMMYFUNCTION("""COMPUTED_VALUE"""),45205.7791553356)</f>
        <v>45205.7791553356</v>
      </c>
      <c r="CC729" s="1" t="str">
        <f ca="1">IFERROR(__xludf.DUMMYFUNCTION("""COMPUTED_VALUE"""),"गायत्री महाशक्ति की सर्वोपयोगी उपासना : Rare Book")</f>
        <v>गायत्री महाशक्ति की सर्वोपयोगी उपासना : Rare Book</v>
      </c>
      <c r="CD729" s="3" t="str">
        <f ca="1">IFERROR(__xludf.DUMMYFUNCTION("""COMPUTED_VALUE"""),"https://vicharkrantibooks.org/productdetail?book_name=HINP0284_GAYATRI_MAHASHAKTI_KI_SARVOPAYOGI_UPASANA_xx1980&amp;product_id=849")</f>
        <v>https://vicharkrantibooks.org/productdetail?book_name=HINP0284_GAYATRI_MAHASHAKTI_KI_SARVOPAYOGI_UPASANA_xx1980&amp;product_id=849</v>
      </c>
      <c r="CE729" s="1" t="str">
        <f ca="1">IFERROR(__xludf.DUMMYFUNCTION("""COMPUTED_VALUE"""),"Audiobook : गायत्री महाशक्ति की सर्वोपयोगी उपासना : Rare Book : samidhachhr@gmail.com : Recorded")</f>
        <v>Audiobook : गायत्री महाशक्ति की सर्वोपयोगी उपासना : Rare Book : samidhachhr@gmail.com : Recorded</v>
      </c>
      <c r="CF729" s="1" t="str">
        <f ca="1">IFERROR(__xludf.DUMMYFUNCTION("""COMPUTED_VALUE"""),"#N/A")</f>
        <v>#N/A</v>
      </c>
      <c r="CG729" s="1" t="str">
        <f ca="1">IFERROR(__xludf.DUMMYFUNCTION("""COMPUTED_VALUE"""),"Adarniya Samidha kendurkar ji गायत्री महाशक्ति की सर्वोपयोगी उपासना : Rare Book : Allocated on 26-Sep-23 Contact Number  +919977227429")</f>
        <v>Adarniya Samidha kendurkar ji गायत्री महाशक्ति की सर्वोपयोगी उपासना : Rare Book : Allocated on 26-Sep-23 Contact Number  +919977227429</v>
      </c>
      <c r="CH729" s="1"/>
      <c r="CI729" s="1"/>
    </row>
    <row r="730" spans="1:87" x14ac:dyDescent="0.25">
      <c r="A730" s="5">
        <f ca="1">IFERROR(__xludf.DUMMYFUNCTION("""COMPUTED_VALUE"""),45194.8841065277)</f>
        <v>45194.884106527701</v>
      </c>
      <c r="B730" s="1" t="str">
        <f ca="1">IFERROR(__xludf.DUMMYFUNCTION("""COMPUTED_VALUE"""),"vjatul025@gmail.com")</f>
        <v>vjatul025@gmail.com</v>
      </c>
      <c r="C730" s="1" t="str">
        <f ca="1">IFERROR(__xludf.DUMMYFUNCTION("""COMPUTED_VALUE"""),"Vandana Joshi ")</f>
        <v xml:space="preserve">Vandana Joshi </v>
      </c>
      <c r="D730" s="1">
        <f ca="1">IFERROR(__xludf.DUMMYFUNCTION("""COMPUTED_VALUE"""),9174756367)</f>
        <v>9174756367</v>
      </c>
      <c r="E730" s="1" t="str">
        <f ca="1">IFERROR(__xludf.DUMMYFUNCTION("""COMPUTED_VALUE"""),"Yes")</f>
        <v>Yes</v>
      </c>
      <c r="F730" s="1" t="str">
        <f ca="1">IFERROR(__xludf.DUMMYFUNCTION("""COMPUTED_VALUE"""),"हिन्दी")</f>
        <v>हिन्दी</v>
      </c>
      <c r="G730" s="1" t="str">
        <f ca="1">IFERROR(__xludf.DUMMYFUNCTION("""COMPUTED_VALUE"""),"जीवन प्रबंध")</f>
        <v>जीवन प्रबंध</v>
      </c>
      <c r="H730" s="1"/>
      <c r="I730" s="1"/>
      <c r="J730" s="1"/>
      <c r="K730" s="1"/>
      <c r="L730" s="1" t="str">
        <f ca="1">IFERROR(__xludf.DUMMYFUNCTION("""COMPUTED_VALUE"""),"सफल, संतुष्ट एवं सुखी जीवन")</f>
        <v>सफल, संतुष्ट एवं सुखी जीवन</v>
      </c>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f ca="1">IFERROR(__xludf.DUMMYFUNCTION("""COMPUTED_VALUE"""),8)</f>
        <v>8</v>
      </c>
      <c r="BX730" s="1">
        <f ca="1">IFERROR(__xludf.DUMMYFUNCTION("""COMPUTED_VALUE"""),6)</f>
        <v>6</v>
      </c>
      <c r="BY730" s="1">
        <f ca="1">IFERROR(__xludf.DUMMYFUNCTION("""COMPUTED_VALUE"""),2)</f>
        <v>2</v>
      </c>
      <c r="BZ730" s="1">
        <f ca="1">IFERROR(__xludf.DUMMYFUNCTION("""COMPUTED_VALUE"""),0)</f>
        <v>0</v>
      </c>
      <c r="CA730" s="1"/>
      <c r="CB730" s="5">
        <f ca="1">IFERROR(__xludf.DUMMYFUNCTION("""COMPUTED_VALUE"""),45204.8841065277)</f>
        <v>45204.884106527701</v>
      </c>
      <c r="CC730" s="1" t="str">
        <f ca="1">IFERROR(__xludf.DUMMYFUNCTION("""COMPUTED_VALUE"""),"अहमन्यता मिटे देवत्व की सदाशयता विकसे : Rare Book")</f>
        <v>अहमन्यता मिटे देवत्व की सदाशयता विकसे : Rare Book</v>
      </c>
      <c r="CD730" s="3" t="str">
        <f ca="1">IFERROR(__xludf.DUMMYFUNCTION("""COMPUTED_VALUE"""),"https://vicharkrantibooks.org/productdetail?book_name=HINF0020_AHAMANYATA_MITE_DEVATV_KI_SADASHAYATA_VIKASE_xxyyyy&amp;product_id=240")</f>
        <v>https://vicharkrantibooks.org/productdetail?book_name=HINF0020_AHAMANYATA_MITE_DEVATV_KI_SADASHAYATA_VIKASE_xxyyyy&amp;product_id=240</v>
      </c>
      <c r="CE730" s="1" t="str">
        <f ca="1">IFERROR(__xludf.DUMMYFUNCTION("""COMPUTED_VALUE"""),"Audiobook : अहमन्यता मिटे देवत्व की सदाशयता विकसे : Rare Book : vjatul025@gmail.com : Recorded")</f>
        <v>Audiobook : अहमन्यता मिटे देवत्व की सदाशयता विकसे : Rare Book : vjatul025@gmail.com : Recorded</v>
      </c>
      <c r="CF730" s="1" t="str">
        <f ca="1">IFERROR(__xludf.DUMMYFUNCTION("""COMPUTED_VALUE"""),"Audiobook : अहमन्यता मिटे देवत्व की सदाशयता विकसे : Rare Book : vjatul025@gmail.com : Recorded")</f>
        <v>Audiobook : अहमन्यता मिटे देवत्व की सदाशयता विकसे : Rare Book : vjatul025@gmail.com : Recorded</v>
      </c>
      <c r="CG730" s="1" t="str">
        <f ca="1">IFERROR(__xludf.DUMMYFUNCTION("""COMPUTED_VALUE"""),"Adarniya Vandana Joshi  ji अहमन्यता मिटे देवत्व की सदाशयता विकसे : Rare Book : Allocated on 25-Sep-23 Contact Number  9174756367")</f>
        <v>Adarniya Vandana Joshi  ji अहमन्यता मिटे देवत्व की सदाशयता विकसे : Rare Book : Allocated on 25-Sep-23 Contact Number  9174756367</v>
      </c>
      <c r="CH730" s="1"/>
      <c r="CI730" s="1"/>
    </row>
    <row r="731" spans="1:87" x14ac:dyDescent="0.25">
      <c r="A731" s="5">
        <f ca="1">IFERROR(__xludf.DUMMYFUNCTION("""COMPUTED_VALUE"""),45194.7485171759)</f>
        <v>45194.748517175904</v>
      </c>
      <c r="B731" s="1" t="str">
        <f ca="1">IFERROR(__xludf.DUMMYFUNCTION("""COMPUTED_VALUE"""),"meenakshisahu023@gmail.com")</f>
        <v>meenakshisahu023@gmail.com</v>
      </c>
      <c r="C731" s="1" t="str">
        <f ca="1">IFERROR(__xludf.DUMMYFUNCTION("""COMPUTED_VALUE"""),"MEENAKSHI SAHU")</f>
        <v>MEENAKSHI SAHU</v>
      </c>
      <c r="D731" s="1">
        <f ca="1">IFERROR(__xludf.DUMMYFUNCTION("""COMPUTED_VALUE"""),9582366273)</f>
        <v>9582366273</v>
      </c>
      <c r="E731" s="1" t="str">
        <f ca="1">IFERROR(__xludf.DUMMYFUNCTION("""COMPUTED_VALUE"""),"No")</f>
        <v>No</v>
      </c>
      <c r="F731" s="1" t="str">
        <f ca="1">IFERROR(__xludf.DUMMYFUNCTION("""COMPUTED_VALUE"""),"हिन्दी")</f>
        <v>हिन्दी</v>
      </c>
      <c r="G731" s="1" t="str">
        <f ca="1">IFERROR(__xludf.DUMMYFUNCTION("""COMPUTED_VALUE"""),"भारतीय संस्कृति")</f>
        <v>भारतीय संस्कृति</v>
      </c>
      <c r="H731" s="1"/>
      <c r="I731" s="1"/>
      <c r="J731" s="1"/>
      <c r="K731" s="1"/>
      <c r="L731" s="1"/>
      <c r="M731" s="1"/>
      <c r="N731" s="1"/>
      <c r="O731" s="1" t="str">
        <f ca="1">IFERROR(__xludf.DUMMYFUNCTION("""COMPUTED_VALUE"""),"भारतीय संस्कृति")</f>
        <v>भारतीय संस्कृति</v>
      </c>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f ca="1">IFERROR(__xludf.DUMMYFUNCTION("""COMPUTED_VALUE"""),1)</f>
        <v>1</v>
      </c>
      <c r="BX731" s="1">
        <f ca="1">IFERROR(__xludf.DUMMYFUNCTION("""COMPUTED_VALUE"""),0)</f>
        <v>0</v>
      </c>
      <c r="BY731" s="1">
        <f ca="1">IFERROR(__xludf.DUMMYFUNCTION("""COMPUTED_VALUE"""),1)</f>
        <v>1</v>
      </c>
      <c r="BZ731" s="1">
        <f ca="1">IFERROR(__xludf.DUMMYFUNCTION("""COMPUTED_VALUE"""),0)</f>
        <v>0</v>
      </c>
      <c r="CA731" s="1"/>
      <c r="CB731" s="5">
        <f ca="1">IFERROR(__xludf.DUMMYFUNCTION("""COMPUTED_VALUE"""),45204.7485171759)</f>
        <v>45204.748517175904</v>
      </c>
      <c r="CC731" s="1" t="str">
        <f ca="1">IFERROR(__xludf.DUMMYFUNCTION("""COMPUTED_VALUE"""),"उत्कृष्ट आदर्शवादिता की पक्षधर भारतीय संस्कृति : Rare Book")</f>
        <v>उत्कृष्ट आदर्शवादिता की पक्षधर भारतीय संस्कृति : Rare Book</v>
      </c>
      <c r="CD731" s="3" t="str">
        <f ca="1">IFERROR(__xludf.DUMMYFUNCTION("""COMPUTED_VALUE"""),"https://vicharkrantibooks.org/productdetail?book_name=HINF0304_UTKRUSHT_ADARSHAVADITA_KI_PAKSHADHAR_BHARATIY_SANSKRUTI_xxyyyy&amp;product_id=524")</f>
        <v>https://vicharkrantibooks.org/productdetail?book_name=HINF0304_UTKRUSHT_ADARSHAVADITA_KI_PAKSHADHAR_BHARATIY_SANSKRUTI_xxyyyy&amp;product_id=524</v>
      </c>
      <c r="CE731" s="1" t="str">
        <f ca="1">IFERROR(__xludf.DUMMYFUNCTION("""COMPUTED_VALUE"""),"Audiobook : उत्कृष्ट आदर्शवादिता की पक्षधर भारतीय संस्कृति : Rare Book : meenakshisahu023@gmail.com : Recorded")</f>
        <v>Audiobook : उत्कृष्ट आदर्शवादिता की पक्षधर भारतीय संस्कृति : Rare Book : meenakshisahu023@gmail.com : Recorded</v>
      </c>
      <c r="CF731" s="1" t="str">
        <f ca="1">IFERROR(__xludf.DUMMYFUNCTION("""COMPUTED_VALUE"""),"#N/A")</f>
        <v>#N/A</v>
      </c>
      <c r="CG731" s="1" t="str">
        <f ca="1">IFERROR(__xludf.DUMMYFUNCTION("""COMPUTED_VALUE"""),"Adarniya MEENAKSHI SAHU ji उत्कृष्ट आदर्शवादिता की पक्षधर भारतीय संस्कृति : Rare Book : Allocated on 25-Sep-23 Contact Number  9582366273")</f>
        <v>Adarniya MEENAKSHI SAHU ji उत्कृष्ट आदर्शवादिता की पक्षधर भारतीय संस्कृति : Rare Book : Allocated on 25-Sep-23 Contact Number  9582366273</v>
      </c>
      <c r="CH731" s="1"/>
      <c r="CI731" s="1"/>
    </row>
    <row r="732" spans="1:87" x14ac:dyDescent="0.25">
      <c r="A732" s="5">
        <f ca="1">IFERROR(__xludf.DUMMYFUNCTION("""COMPUTED_VALUE"""),45192.9429714699)</f>
        <v>45192.9429714699</v>
      </c>
      <c r="B732" s="1" t="str">
        <f ca="1">IFERROR(__xludf.DUMMYFUNCTION("""COMPUTED_VALUE"""),"Naina.MIstry@awgpuk.org")</f>
        <v>Naina.MIstry@awgpuk.org</v>
      </c>
      <c r="C732" s="1" t="str">
        <f ca="1">IFERROR(__xludf.DUMMYFUNCTION("""COMPUTED_VALUE"""),"Naina Mistry")</f>
        <v>Naina Mistry</v>
      </c>
      <c r="D732" s="1" t="str">
        <f ca="1">IFERROR(__xludf.DUMMYFUNCTION("""COMPUTED_VALUE"""),"07786996129")</f>
        <v>07786996129</v>
      </c>
      <c r="E732" s="1" t="str">
        <f ca="1">IFERROR(__xludf.DUMMYFUNCTION("""COMPUTED_VALUE"""),"Yes")</f>
        <v>Yes</v>
      </c>
      <c r="F732" s="1" t="str">
        <f ca="1">IFERROR(__xludf.DUMMYFUNCTION("""COMPUTED_VALUE"""),"English")</f>
        <v>English</v>
      </c>
      <c r="G732" s="1" t="str">
        <f ca="1">IFERROR(__xludf.DUMMYFUNCTION("""COMPUTED_VALUE"""),"English")</f>
        <v>English</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f ca="1">IFERROR(__xludf.DUMMYFUNCTION("""COMPUTED_VALUE"""),6)</f>
        <v>6</v>
      </c>
      <c r="BX732" s="1">
        <f ca="1">IFERROR(__xludf.DUMMYFUNCTION("""COMPUTED_VALUE"""),6)</f>
        <v>6</v>
      </c>
      <c r="BY732" s="1">
        <f ca="1">IFERROR(__xludf.DUMMYFUNCTION("""COMPUTED_VALUE"""),2)</f>
        <v>2</v>
      </c>
      <c r="BZ732" s="1">
        <f ca="1">IFERROR(__xludf.DUMMYFUNCTION("""COMPUTED_VALUE"""),3)</f>
        <v>3</v>
      </c>
      <c r="CA732" s="1"/>
      <c r="CB732" s="5">
        <f ca="1">IFERROR(__xludf.DUMMYFUNCTION("""COMPUTED_VALUE"""),45202.9429714699)</f>
        <v>45202.9429714699</v>
      </c>
      <c r="CC732" s="1" t="str">
        <f ca="1">IFERROR(__xludf.DUMMYFUNCTION("""COMPUTED_VALUE"""),"Health Tips From The Vedas : EP_75")</f>
        <v>Health Tips From The Vedas : EP_75</v>
      </c>
      <c r="CD732" s="3" t="str">
        <f ca="1">IFERROR(__xludf.DUMMYFUNCTION("""COMPUTED_VALUE"""),"https://vicharkrantibooks.org/productdetail?book_name=ENGRE075_HEALTH_TIPS_FROM_THE_VEDAS_2nd2011&amp;product_id=3470")</f>
        <v>https://vicharkrantibooks.org/productdetail?book_name=ENGRE075_HEALTH_TIPS_FROM_THE_VEDAS_2nd2011&amp;product_id=3470</v>
      </c>
      <c r="CE732" s="1" t="str">
        <f ca="1">IFERROR(__xludf.DUMMYFUNCTION("""COMPUTED_VALUE"""),"Audiobook : Health Tips From The Vedas : EP_75 : Naina.MIstry@awgpuk.org : Recorded")</f>
        <v>Audiobook : Health Tips From The Vedas : EP_75 : Naina.MIstry@awgpuk.org : Recorded</v>
      </c>
      <c r="CF732" s="1" t="str">
        <f ca="1">IFERROR(__xludf.DUMMYFUNCTION("""COMPUTED_VALUE"""),"Audiobook : Health Tips From The Vedas : EP_75 : Naina.MIstry@awgpuk.org : Recorded")</f>
        <v>Audiobook : Health Tips From The Vedas : EP_75 : Naina.MIstry@awgpuk.org : Recorded</v>
      </c>
      <c r="CG732" s="1" t="str">
        <f ca="1">IFERROR(__xludf.DUMMYFUNCTION("""COMPUTED_VALUE"""),"Adarniya Naina Mistry ji Health Tips From The Vedas : EP_75 : Allocated on 23-Sep-23 Contact Number  07786996129")</f>
        <v>Adarniya Naina Mistry ji Health Tips From The Vedas : EP_75 : Allocated on 23-Sep-23 Contact Number  07786996129</v>
      </c>
      <c r="CH732" s="1"/>
      <c r="CI732" s="1"/>
    </row>
    <row r="733" spans="1:87" x14ac:dyDescent="0.25">
      <c r="A733" s="5">
        <f ca="1">IFERROR(__xludf.DUMMYFUNCTION("""COMPUTED_VALUE"""),45192.8844167361)</f>
        <v>45192.884416736102</v>
      </c>
      <c r="B733" s="1" t="str">
        <f ca="1">IFERROR(__xludf.DUMMYFUNCTION("""COMPUTED_VALUE"""),"svrchwmp@gmail.com")</f>
        <v>svrchwmp@gmail.com</v>
      </c>
      <c r="C733" s="1" t="str">
        <f ca="1">IFERROR(__xludf.DUMMYFUNCTION("""COMPUTED_VALUE"""),"Sanjay ")</f>
        <v xml:space="preserve">Sanjay </v>
      </c>
      <c r="D733" s="1">
        <f ca="1">IFERROR(__xludf.DUMMYFUNCTION("""COMPUTED_VALUE"""),8959323445)</f>
        <v>8959323445</v>
      </c>
      <c r="E733" s="1" t="str">
        <f ca="1">IFERROR(__xludf.DUMMYFUNCTION("""COMPUTED_VALUE"""),"Yes")</f>
        <v>Yes</v>
      </c>
      <c r="F733" s="1" t="str">
        <f ca="1">IFERROR(__xludf.DUMMYFUNCTION("""COMPUTED_VALUE"""),"हिन्दी")</f>
        <v>हिन्दी</v>
      </c>
      <c r="G733" s="1" t="str">
        <f ca="1">IFERROR(__xludf.DUMMYFUNCTION("""COMPUTED_VALUE"""),"व्यक्ति निर्माण, युवा/विद्यार्थी एवं शिक्षक")</f>
        <v>व्यक्ति निर्माण, युवा/विद्यार्थी एवं शिक्षक</v>
      </c>
      <c r="H733" s="1"/>
      <c r="I733" s="1"/>
      <c r="J733" s="1"/>
      <c r="K733" s="1"/>
      <c r="L733" s="1"/>
      <c r="M733" s="1"/>
      <c r="N733" s="1"/>
      <c r="O733" s="1"/>
      <c r="P733" s="1"/>
      <c r="Q733" s="1"/>
      <c r="R733" s="1"/>
      <c r="S733" s="1"/>
      <c r="T733" s="1" t="str">
        <f ca="1">IFERROR(__xludf.DUMMYFUNCTION("""COMPUTED_VALUE"""),"विद्यार्थी एवं शिक्षक")</f>
        <v>विद्यार्थी एवं शिक्षक</v>
      </c>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f ca="1">IFERROR(__xludf.DUMMYFUNCTION("""COMPUTED_VALUE"""),1)</f>
        <v>1</v>
      </c>
      <c r="BX733" s="1">
        <f ca="1">IFERROR(__xludf.DUMMYFUNCTION("""COMPUTED_VALUE"""),0)</f>
        <v>0</v>
      </c>
      <c r="BY733" s="1">
        <f ca="1">IFERROR(__xludf.DUMMYFUNCTION("""COMPUTED_VALUE"""),1)</f>
        <v>1</v>
      </c>
      <c r="BZ733" s="1">
        <f ca="1">IFERROR(__xludf.DUMMYFUNCTION("""COMPUTED_VALUE"""),0)</f>
        <v>0</v>
      </c>
      <c r="CA733" s="1"/>
      <c r="CB733" s="5">
        <f ca="1">IFERROR(__xludf.DUMMYFUNCTION("""COMPUTED_VALUE"""),45202.8844167361)</f>
        <v>45202.884416736102</v>
      </c>
      <c r="CC733" s="1" t="str">
        <f ca="1">IFERROR(__xludf.DUMMYFUNCTION("""COMPUTED_VALUE"""),"इन छोटी छोटी बातों को महत्वहीन न समझें : Rare Book")</f>
        <v>इन छोटी छोटी बातों को महत्वहीन न समझें : Rare Book</v>
      </c>
      <c r="CD733" s="3" t="str">
        <f ca="1">IFERROR(__xludf.DUMMYFUNCTION("""COMPUTED_VALUE"""),"https://vicharkrantibooks.org/productdetail?book_name=HINP0359_IN_CHHOTI_CHHOTI_BATON_KO_MAHATVAHIN_NA_SAMAJHEN_xx1981&amp;product_id=924")</f>
        <v>https://vicharkrantibooks.org/productdetail?book_name=HINP0359_IN_CHHOTI_CHHOTI_BATON_KO_MAHATVAHIN_NA_SAMAJHEN_xx1981&amp;product_id=924</v>
      </c>
      <c r="CE733" s="1" t="str">
        <f ca="1">IFERROR(__xludf.DUMMYFUNCTION("""COMPUTED_VALUE"""),"Audiobook : इन छोटी छोटी बातों को महत्वहीन न समझें : Rare Book : svrchwmp@gmail.com : Recorded")</f>
        <v>Audiobook : इन छोटी छोटी बातों को महत्वहीन न समझें : Rare Book : svrchwmp@gmail.com : Recorded</v>
      </c>
      <c r="CF733" s="1" t="str">
        <f ca="1">IFERROR(__xludf.DUMMYFUNCTION("""COMPUTED_VALUE"""),"#N/A")</f>
        <v>#N/A</v>
      </c>
      <c r="CG733" s="1" t="str">
        <f ca="1">IFERROR(__xludf.DUMMYFUNCTION("""COMPUTED_VALUE"""),"Adarniya Sanjay  ji इन छोटी छोटी बातों को महत्वहीन न समझें : Rare Book : Allocated on 23-Sep-23 Contact Number  8959323445")</f>
        <v>Adarniya Sanjay  ji इन छोटी छोटी बातों को महत्वहीन न समझें : Rare Book : Allocated on 23-Sep-23 Contact Number  8959323445</v>
      </c>
      <c r="CH733" s="1"/>
      <c r="CI733" s="1"/>
    </row>
    <row r="734" spans="1:87" x14ac:dyDescent="0.25">
      <c r="A734" s="5">
        <f ca="1">IFERROR(__xludf.DUMMYFUNCTION("""COMPUTED_VALUE"""),45192.6135325925)</f>
        <v>45192.613532592499</v>
      </c>
      <c r="B734" s="1" t="str">
        <f ca="1">IFERROR(__xludf.DUMMYFUNCTION("""COMPUTED_VALUE"""),"jamunashukla17@gmail.com")</f>
        <v>jamunashukla17@gmail.com</v>
      </c>
      <c r="C734" s="1" t="str">
        <f ca="1">IFERROR(__xludf.DUMMYFUNCTION("""COMPUTED_VALUE"""),"Smt J S Shukla ")</f>
        <v xml:space="preserve">Smt J S Shukla </v>
      </c>
      <c r="D734" s="1">
        <f ca="1">IFERROR(__xludf.DUMMYFUNCTION("""COMPUTED_VALUE"""),8390353167)</f>
        <v>8390353167</v>
      </c>
      <c r="E734" s="1"/>
      <c r="F734" s="1" t="str">
        <f ca="1">IFERROR(__xludf.DUMMYFUNCTION("""COMPUTED_VALUE"""),"हिन्दी")</f>
        <v>हिन्दी</v>
      </c>
      <c r="G734" s="1" t="str">
        <f ca="1">IFERROR(__xludf.DUMMYFUNCTION("""COMPUTED_VALUE"""),"गायत्री परिवार")</f>
        <v>गायत्री परिवार</v>
      </c>
      <c r="H734" s="1"/>
      <c r="I734" s="1"/>
      <c r="J734" s="1" t="str">
        <f ca="1">IFERROR(__xludf.DUMMYFUNCTION("""COMPUTED_VALUE"""),"सृजन शिल्पियों की योजनाबद्ध कार्य पद्धति")</f>
        <v>सृजन शिल्पियों की योजनाबद्ध कार्य पद्धति</v>
      </c>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f ca="1">IFERROR(__xludf.DUMMYFUNCTION("""COMPUTED_VALUE"""),53)</f>
        <v>53</v>
      </c>
      <c r="BX734" s="1">
        <f ca="1">IFERROR(__xludf.DUMMYFUNCTION("""COMPUTED_VALUE"""),53)</f>
        <v>53</v>
      </c>
      <c r="BY734" s="1">
        <f ca="1">IFERROR(__xludf.DUMMYFUNCTION("""COMPUTED_VALUE"""),9)</f>
        <v>9</v>
      </c>
      <c r="BZ734" s="1">
        <f ca="1">IFERROR(__xludf.DUMMYFUNCTION("""COMPUTED_VALUE"""),25)</f>
        <v>25</v>
      </c>
      <c r="CA734" s="1"/>
      <c r="CB734" s="5">
        <f ca="1">IFERROR(__xludf.DUMMYFUNCTION("""COMPUTED_VALUE"""),45202.6135325925)</f>
        <v>45202.613532592499</v>
      </c>
      <c r="CC734" s="1" t="str">
        <f ca="1">IFERROR(__xludf.DUMMYFUNCTION("""COMPUTED_VALUE"""),"क्षुद्रता छोडें महानता के पठ पर चलें : H_JS_22")</f>
        <v>क्षुद्रता छोडें महानता के पठ पर चलें : H_JS_22</v>
      </c>
      <c r="CD734" s="3" t="str">
        <f ca="1">IFERROR(__xludf.DUMMYFUNCTION("""COMPUTED_VALUE"""),"https://vicharkrantibooks.org/productdetail?book_name=HINP0445_KSHUDRATA_CHHODEN_MAHANATA_KE_PATH_PAR_CHALEN_xx2011&amp;product_id=1010")</f>
        <v>https://vicharkrantibooks.org/productdetail?book_name=HINP0445_KSHUDRATA_CHHODEN_MAHANATA_KE_PATH_PAR_CHALEN_xx2011&amp;product_id=1010</v>
      </c>
      <c r="CE734" s="1" t="str">
        <f ca="1">IFERROR(__xludf.DUMMYFUNCTION("""COMPUTED_VALUE"""),"Audiobook : क्षुद्रता छोडें महानता के पठ पर चलें : H_JS_22 : jamunashukla17@gmail.com : Recorded")</f>
        <v>Audiobook : क्षुद्रता छोडें महानता के पठ पर चलें : H_JS_22 : jamunashukla17@gmail.com : Recorded</v>
      </c>
      <c r="CF734" s="1" t="str">
        <f ca="1">IFERROR(__xludf.DUMMYFUNCTION("""COMPUTED_VALUE"""),"Audiobook : क्षुद्रता छोडें महानता के पठ पर चलें : H_JS_22 : jamunashukla17@gmail.com : Recorded")</f>
        <v>Audiobook : क्षुद्रता छोडें महानता के पठ पर चलें : H_JS_22 : jamunashukla17@gmail.com : Recorded</v>
      </c>
      <c r="CG734" s="1" t="str">
        <f ca="1">IFERROR(__xludf.DUMMYFUNCTION("""COMPUTED_VALUE"""),"Adarniya Smt J S Shukla  ji क्षुद्रता छोडें महानता के पठ पर चलें : H_JS_22 : Allocated on 23-Sep-23 Contact Number  8390353167")</f>
        <v>Adarniya Smt J S Shukla  ji क्षुद्रता छोडें महानता के पठ पर चलें : H_JS_22 : Allocated on 23-Sep-23 Contact Number  8390353167</v>
      </c>
      <c r="CH734" s="1"/>
      <c r="CI734" s="1"/>
    </row>
    <row r="735" spans="1:87" x14ac:dyDescent="0.25">
      <c r="A735" s="5">
        <f ca="1">IFERROR(__xludf.DUMMYFUNCTION("""COMPUTED_VALUE"""),45192.5412911458)</f>
        <v>45192.541291145797</v>
      </c>
      <c r="B735" s="1" t="str">
        <f ca="1">IFERROR(__xludf.DUMMYFUNCTION("""COMPUTED_VALUE"""),"rajnivarma24.vns@gmail.com")</f>
        <v>rajnivarma24.vns@gmail.com</v>
      </c>
      <c r="C735" s="1" t="str">
        <f ca="1">IFERROR(__xludf.DUMMYFUNCTION("""COMPUTED_VALUE"""),"Rajni varma")</f>
        <v>Rajni varma</v>
      </c>
      <c r="D735" s="1">
        <f ca="1">IFERROR(__xludf.DUMMYFUNCTION("""COMPUTED_VALUE"""),9335661433)</f>
        <v>9335661433</v>
      </c>
      <c r="E735" s="1" t="str">
        <f ca="1">IFERROR(__xludf.DUMMYFUNCTION("""COMPUTED_VALUE"""),"No")</f>
        <v>No</v>
      </c>
      <c r="F735" s="1" t="str">
        <f ca="1">IFERROR(__xludf.DUMMYFUNCTION("""COMPUTED_VALUE"""),"हिन्दी")</f>
        <v>हिन्दी</v>
      </c>
      <c r="G735" s="1" t="str">
        <f ca="1">IFERROR(__xludf.DUMMYFUNCTION("""COMPUTED_VALUE"""),"भारतीय संस्कृति")</f>
        <v>भारतीय संस्कृति</v>
      </c>
      <c r="H735" s="1"/>
      <c r="I735" s="1"/>
      <c r="J735" s="1"/>
      <c r="K735" s="1"/>
      <c r="L735" s="1"/>
      <c r="M735" s="1"/>
      <c r="N735" s="1"/>
      <c r="O735" s="1" t="str">
        <f ca="1">IFERROR(__xludf.DUMMYFUNCTION("""COMPUTED_VALUE"""),"भारतीय संस्कृति")</f>
        <v>भारतीय संस्कृति</v>
      </c>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f ca="1">IFERROR(__xludf.DUMMYFUNCTION("""COMPUTED_VALUE"""),30)</f>
        <v>30</v>
      </c>
      <c r="BX735" s="1">
        <f ca="1">IFERROR(__xludf.DUMMYFUNCTION("""COMPUTED_VALUE"""),25)</f>
        <v>25</v>
      </c>
      <c r="BY735" s="1">
        <f ca="1">IFERROR(__xludf.DUMMYFUNCTION("""COMPUTED_VALUE"""),7)</f>
        <v>7</v>
      </c>
      <c r="BZ735" s="1">
        <f ca="1">IFERROR(__xludf.DUMMYFUNCTION("""COMPUTED_VALUE"""),7)</f>
        <v>7</v>
      </c>
      <c r="CA735" s="1"/>
      <c r="CB735" s="5">
        <f ca="1">IFERROR(__xludf.DUMMYFUNCTION("""COMPUTED_VALUE"""),45202.5412911458)</f>
        <v>45202.541291145797</v>
      </c>
      <c r="CC735" s="1" t="str">
        <f ca="1">IFERROR(__xludf.DUMMYFUNCTION("""COMPUTED_VALUE"""),"गायत्री उपासना की सफलता की तीन शर्ते : H_JS_28")</f>
        <v>गायत्री उपासना की सफलता की तीन शर्ते : H_JS_28</v>
      </c>
      <c r="CD735" s="3" t="str">
        <f ca="1">IFERROR(__xludf.DUMMYFUNCTION("""COMPUTED_VALUE"""),"https://vicharkrantibooks.org/productdetail?book_name=HINP0297_GAYATRI_UPASANA_KI_SAPHALATA_KI_TIN_SHARTE_xx2011&amp;product_id=862")</f>
        <v>https://vicharkrantibooks.org/productdetail?book_name=HINP0297_GAYATRI_UPASANA_KI_SAPHALATA_KI_TIN_SHARTE_xx2011&amp;product_id=862</v>
      </c>
      <c r="CE735" s="1" t="str">
        <f ca="1">IFERROR(__xludf.DUMMYFUNCTION("""COMPUTED_VALUE"""),"Audiobook : गायत्री उपासना की सफलता की तीन शर्ते : H_JS_28 : rajnivarma24.vns@gmail.com : Recorded")</f>
        <v>Audiobook : गायत्री उपासना की सफलता की तीन शर्ते : H_JS_28 : rajnivarma24.vns@gmail.com : Recorded</v>
      </c>
      <c r="CF735" s="1" t="str">
        <f ca="1">IFERROR(__xludf.DUMMYFUNCTION("""COMPUTED_VALUE"""),"Audiobook : गायत्री उपासना की सफलता की तीन शर्ते : H_JS_28 : rajnivarma24.vns@gmail.com : Recorded")</f>
        <v>Audiobook : गायत्री उपासना की सफलता की तीन शर्ते : H_JS_28 : rajnivarma24.vns@gmail.com : Recorded</v>
      </c>
      <c r="CG735" s="1" t="str">
        <f ca="1">IFERROR(__xludf.DUMMYFUNCTION("""COMPUTED_VALUE"""),"Adarniya Rajni varma ji गायत्री उपासना की सफलता की तीन शर्ते : H_JS_28 : Allocated on 23-Sep-23 Contact Number  9335661433")</f>
        <v>Adarniya Rajni varma ji गायत्री उपासना की सफलता की तीन शर्ते : H_JS_28 : Allocated on 23-Sep-23 Contact Number  9335661433</v>
      </c>
      <c r="CH735" s="1"/>
      <c r="CI735" s="1"/>
    </row>
    <row r="736" spans="1:87" x14ac:dyDescent="0.25">
      <c r="A736" s="5">
        <f ca="1">IFERROR(__xludf.DUMMYFUNCTION("""COMPUTED_VALUE"""),45191.8895114004)</f>
        <v>45191.889511400397</v>
      </c>
      <c r="B736" s="1" t="str">
        <f ca="1">IFERROR(__xludf.DUMMYFUNCTION("""COMPUTED_VALUE"""),"Dmt07960@gmail.com")</f>
        <v>Dmt07960@gmail.com</v>
      </c>
      <c r="C736" s="1" t="str">
        <f ca="1">IFERROR(__xludf.DUMMYFUNCTION("""COMPUTED_VALUE"""),"Dipti")</f>
        <v>Dipti</v>
      </c>
      <c r="D736" s="1" t="str">
        <f ca="1">IFERROR(__xludf.DUMMYFUNCTION("""COMPUTED_VALUE"""),"973-714-1062")</f>
        <v>973-714-1062</v>
      </c>
      <c r="E736" s="1" t="str">
        <f ca="1">IFERROR(__xludf.DUMMYFUNCTION("""COMPUTED_VALUE"""),"No")</f>
        <v>No</v>
      </c>
      <c r="F736" s="1" t="str">
        <f ca="1">IFERROR(__xludf.DUMMYFUNCTION("""COMPUTED_VALUE"""),"हिन्दी or English")</f>
        <v>हिन्दी or English</v>
      </c>
      <c r="G736" s="1" t="str">
        <f ca="1">IFERROR(__xludf.DUMMYFUNCTION("""COMPUTED_VALUE"""),"Any topic ")</f>
        <v xml:space="preserve">Any topic </v>
      </c>
      <c r="H736" s="1" t="str">
        <f ca="1">IFERROR(__xludf.DUMMYFUNCTION("""COMPUTED_VALUE"""),"आत्मज्ञान एवं आत्मनिर्माण")</f>
        <v>आत्मज्ञान एवं आत्मनिर्माण</v>
      </c>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f ca="1">IFERROR(__xludf.DUMMYFUNCTION("""COMPUTED_VALUE"""),1)</f>
        <v>1</v>
      </c>
      <c r="BX736" s="1">
        <f ca="1">IFERROR(__xludf.DUMMYFUNCTION("""COMPUTED_VALUE"""),0)</f>
        <v>0</v>
      </c>
      <c r="BY736" s="1">
        <f ca="1">IFERROR(__xludf.DUMMYFUNCTION("""COMPUTED_VALUE"""),1)</f>
        <v>1</v>
      </c>
      <c r="BZ736" s="1">
        <f ca="1">IFERROR(__xludf.DUMMYFUNCTION("""COMPUTED_VALUE"""),0)</f>
        <v>0</v>
      </c>
      <c r="CA736" s="1"/>
      <c r="CB736" s="5">
        <f ca="1">IFERROR(__xludf.DUMMYFUNCTION("""COMPUTED_VALUE"""),45201.8895114004)</f>
        <v>45201.889511400397</v>
      </c>
      <c r="CC736" s="1" t="str">
        <f ca="1">IFERROR(__xludf.DUMMYFUNCTION("""COMPUTED_VALUE"""),"Refinement Of Talents Need Of The Present Era Part 1 : EP_07")</f>
        <v>Refinement Of Talents Need Of The Present Era Part 1 : EP_07</v>
      </c>
      <c r="CD736" s="3" t="str">
        <f ca="1">IFERROR(__xludf.DUMMYFUNCTION("""COMPUTED_VALUE"""),"https://vicharkrantibooks.org/productdetail?book_name=ENGR1584_REFINEMENT_OF_TALENTS_NEED_OF_THE_PRESENT_ERA_PART_1_RE2010&amp;product_id=3400")</f>
        <v>https://vicharkrantibooks.org/productdetail?book_name=ENGR1584_REFINEMENT_OF_TALENTS_NEED_OF_THE_PRESENT_ERA_PART_1_RE2010&amp;product_id=3400</v>
      </c>
      <c r="CE736" s="1" t="str">
        <f ca="1">IFERROR(__xludf.DUMMYFUNCTION("""COMPUTED_VALUE"""),"Audiobook : Refinement Of Talents Need Of The Present Era Part 1 : EP_07 : Dmt07960@gmail.com : Recorded")</f>
        <v>Audiobook : Refinement Of Talents Need Of The Present Era Part 1 : EP_07 : Dmt07960@gmail.com : Recorded</v>
      </c>
      <c r="CF736" s="1" t="str">
        <f ca="1">IFERROR(__xludf.DUMMYFUNCTION("""COMPUTED_VALUE"""),"#N/A")</f>
        <v>#N/A</v>
      </c>
      <c r="CG736" s="1" t="str">
        <f ca="1">IFERROR(__xludf.DUMMYFUNCTION("""COMPUTED_VALUE"""),"Adarniya Dipti ji Refinement Of Talents Need Of The Present Era Part 1 : EP_07 : Allocated on 22-Sep-23 Contact Number  973-714-1062")</f>
        <v>Adarniya Dipti ji Refinement Of Talents Need Of The Present Era Part 1 : EP_07 : Allocated on 22-Sep-23 Contact Number  973-714-1062</v>
      </c>
      <c r="CH736" s="1"/>
      <c r="CI736" s="1"/>
    </row>
    <row r="737" spans="1:87" x14ac:dyDescent="0.25">
      <c r="A737" s="5">
        <f ca="1">IFERROR(__xludf.DUMMYFUNCTION("""COMPUTED_VALUE"""),45191.240942037)</f>
        <v>45191.240942037002</v>
      </c>
      <c r="B737" s="1" t="str">
        <f ca="1">IFERROR(__xludf.DUMMYFUNCTION("""COMPUTED_VALUE"""),"daleshwary67@gmail.com")</f>
        <v>daleshwary67@gmail.com</v>
      </c>
      <c r="C737" s="1" t="str">
        <f ca="1">IFERROR(__xludf.DUMMYFUNCTION("""COMPUTED_VALUE"""),"daleshwary sharma")</f>
        <v>daleshwary sharma</v>
      </c>
      <c r="D737" s="1">
        <f ca="1">IFERROR(__xludf.DUMMYFUNCTION("""COMPUTED_VALUE"""),8587900034)</f>
        <v>8587900034</v>
      </c>
      <c r="E737" s="1" t="str">
        <f ca="1">IFERROR(__xludf.DUMMYFUNCTION("""COMPUTED_VALUE"""),"No")</f>
        <v>No</v>
      </c>
      <c r="F737" s="1" t="str">
        <f ca="1">IFERROR(__xludf.DUMMYFUNCTION("""COMPUTED_VALUE"""),"हिन्दी")</f>
        <v>हिन्दी</v>
      </c>
      <c r="G737" s="1" t="str">
        <f ca="1">IFERROR(__xludf.DUMMYFUNCTION("""COMPUTED_VALUE"""),"समग्र स्वास्थ्य")</f>
        <v>समग्र स्वास्थ्य</v>
      </c>
      <c r="H737" s="1"/>
      <c r="I737" s="1"/>
      <c r="J737" s="1"/>
      <c r="K737" s="1"/>
      <c r="L737" s="1"/>
      <c r="M737" s="1"/>
      <c r="N737" s="1"/>
      <c r="O737" s="1"/>
      <c r="P737" s="1"/>
      <c r="Q737" s="1"/>
      <c r="R737" s="1"/>
      <c r="S737" s="1"/>
      <c r="T737" s="1"/>
      <c r="U737" s="1" t="str">
        <f ca="1">IFERROR(__xludf.DUMMYFUNCTION("""COMPUTED_VALUE"""),"स्वास्थ्य संवर्धन")</f>
        <v>स्वास्थ्य संवर्धन</v>
      </c>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f ca="1">IFERROR(__xludf.DUMMYFUNCTION("""COMPUTED_VALUE"""),15)</f>
        <v>15</v>
      </c>
      <c r="BX737" s="1">
        <f ca="1">IFERROR(__xludf.DUMMYFUNCTION("""COMPUTED_VALUE"""),9)</f>
        <v>9</v>
      </c>
      <c r="BY737" s="1">
        <f ca="1">IFERROR(__xludf.DUMMYFUNCTION("""COMPUTED_VALUE"""),5)</f>
        <v>5</v>
      </c>
      <c r="BZ737" s="1">
        <f ca="1">IFERROR(__xludf.DUMMYFUNCTION("""COMPUTED_VALUE"""),5)</f>
        <v>5</v>
      </c>
      <c r="CA737" s="1"/>
      <c r="CB737" s="5">
        <f ca="1">IFERROR(__xludf.DUMMYFUNCTION("""COMPUTED_VALUE"""),45201.240942037)</f>
        <v>45201.240942037002</v>
      </c>
      <c r="CC737" s="1" t="str">
        <f ca="1">IFERROR(__xludf.DUMMYFUNCTION("""COMPUTED_VALUE"""),"बिना औषधियों के कायाकल्प : H_SV_03")</f>
        <v>बिना औषधियों के कायाकल्प : H_SV_03</v>
      </c>
      <c r="CD737" s="3" t="str">
        <f ca="1">IFERROR(__xludf.DUMMYFUNCTION("""COMPUTED_VALUE"""),"http://literature.awgp.org/book/Rejuvenation_without_medicines/v1")</f>
        <v>http://literature.awgp.org/book/Rejuvenation_without_medicines/v1</v>
      </c>
      <c r="CE737" s="1" t="str">
        <f ca="1">IFERROR(__xludf.DUMMYFUNCTION("""COMPUTED_VALUE"""),"Audiobook : बिना औषधियों के कायाकल्प : H_SV_03 : daleshwary67@gmail.com : Recorded")</f>
        <v>Audiobook : बिना औषधियों के कायाकल्प : H_SV_03 : daleshwary67@gmail.com : Recorded</v>
      </c>
      <c r="CF737" s="1" t="str">
        <f ca="1">IFERROR(__xludf.DUMMYFUNCTION("""COMPUTED_VALUE"""),"Audiobook : बिना औषधियों के कायाकल्प : H_SV_03 : daleshwary67@gmail.com : Recorded")</f>
        <v>Audiobook : बिना औषधियों के कायाकल्प : H_SV_03 : daleshwary67@gmail.com : Recorded</v>
      </c>
      <c r="CG737" s="1" t="str">
        <f ca="1">IFERROR(__xludf.DUMMYFUNCTION("""COMPUTED_VALUE"""),"Adarniya daleshwary sharma ji बिना औषधियों के कायाकल्प : H_SV_03 : Allocated on 22-Sep-23 Contact Number  8587900034")</f>
        <v>Adarniya daleshwary sharma ji बिना औषधियों के कायाकल्प : H_SV_03 : Allocated on 22-Sep-23 Contact Number  8587900034</v>
      </c>
      <c r="CH737" s="1"/>
      <c r="CI737" s="1"/>
    </row>
    <row r="738" spans="1:87" x14ac:dyDescent="0.25">
      <c r="A738" s="5">
        <f ca="1">IFERROR(__xludf.DUMMYFUNCTION("""COMPUTED_VALUE"""),45191.0231775925)</f>
        <v>45191.023177592499</v>
      </c>
      <c r="B738" s="1" t="str">
        <f ca="1">IFERROR(__xludf.DUMMYFUNCTION("""COMPUTED_VALUE"""),"ojhakrishna2310@gmail.com")</f>
        <v>ojhakrishna2310@gmail.com</v>
      </c>
      <c r="C738" s="1" t="str">
        <f ca="1">IFERROR(__xludf.DUMMYFUNCTION("""COMPUTED_VALUE"""),"Krishna arunkuma  ojha")</f>
        <v>Krishna arunkuma  ojha</v>
      </c>
      <c r="D738" s="1">
        <f ca="1">IFERROR(__xludf.DUMMYFUNCTION("""COMPUTED_VALUE"""),9637907058)</f>
        <v>9637907058</v>
      </c>
      <c r="E738" s="1" t="str">
        <f ca="1">IFERROR(__xludf.DUMMYFUNCTION("""COMPUTED_VALUE"""),"No")</f>
        <v>No</v>
      </c>
      <c r="F738" s="1" t="str">
        <f ca="1">IFERROR(__xludf.DUMMYFUNCTION("""COMPUTED_VALUE"""),"हिन्दी")</f>
        <v>हिन्दी</v>
      </c>
      <c r="G738" s="1" t="str">
        <f ca="1">IFERROR(__xludf.DUMMYFUNCTION("""COMPUTED_VALUE"""),"परिवार निर्माण")</f>
        <v>परिवार निर्माण</v>
      </c>
      <c r="H738" s="1"/>
      <c r="I738" s="1"/>
      <c r="J738" s="1"/>
      <c r="K738" s="1"/>
      <c r="L738" s="1"/>
      <c r="M738" s="1" t="str">
        <f ca="1">IFERROR(__xludf.DUMMYFUNCTION("""COMPUTED_VALUE"""),"बाल मनोविज्ञान")</f>
        <v>बाल मनोविज्ञान</v>
      </c>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f ca="1">IFERROR(__xludf.DUMMYFUNCTION("""COMPUTED_VALUE"""),13)</f>
        <v>13</v>
      </c>
      <c r="BX738" s="1">
        <f ca="1">IFERROR(__xludf.DUMMYFUNCTION("""COMPUTED_VALUE"""),6)</f>
        <v>6</v>
      </c>
      <c r="BY738" s="1">
        <f ca="1">IFERROR(__xludf.DUMMYFUNCTION("""COMPUTED_VALUE"""),8)</f>
        <v>8</v>
      </c>
      <c r="BZ738" s="1">
        <f ca="1">IFERROR(__xludf.DUMMYFUNCTION("""COMPUTED_VALUE"""),0)</f>
        <v>0</v>
      </c>
      <c r="CA738" s="1"/>
      <c r="CB738" s="5">
        <f ca="1">IFERROR(__xludf.DUMMYFUNCTION("""COMPUTED_VALUE"""),45201.0231775925)</f>
        <v>45201.023177592499</v>
      </c>
      <c r="CC738" s="1" t="str">
        <f ca="1">IFERROR(__xludf.DUMMYFUNCTION("""COMPUTED_VALUE"""),"अधिकार गौण और कर्तव्य प्रधान : Rare Book")</f>
        <v>अधिकार गौण और कर्तव्य प्रधान : Rare Book</v>
      </c>
      <c r="CD738" s="3" t="str">
        <f ca="1">IFERROR(__xludf.DUMMYFUNCTION("""COMPUTED_VALUE"""),"https://vicharkrantibooks.org/productdetail?book_name=HINP0006_ADHIKAR_GAUN_AUR_KARTAVY_PRADHAN_xxyyyy&amp;product_id=571")</f>
        <v>https://vicharkrantibooks.org/productdetail?book_name=HINP0006_ADHIKAR_GAUN_AUR_KARTAVY_PRADHAN_xxyyyy&amp;product_id=571</v>
      </c>
      <c r="CE738" s="1" t="str">
        <f ca="1">IFERROR(__xludf.DUMMYFUNCTION("""COMPUTED_VALUE"""),"Audiobook : अधिकार गौण और कर्तव्य प्रधान : Rare Book : ojhakrishna2310@gmail.com : Recorded")</f>
        <v>Audiobook : अधिकार गौण और कर्तव्य प्रधान : Rare Book : ojhakrishna2310@gmail.com : Recorded</v>
      </c>
      <c r="CF738" s="1" t="str">
        <f ca="1">IFERROR(__xludf.DUMMYFUNCTION("""COMPUTED_VALUE"""),"Audiobook : अधिकार गौण और कर्तव्य प्रधान : Rare Book : ojhakrishna2310@gmail.com : Recorded")</f>
        <v>Audiobook : अधिकार गौण और कर्तव्य प्रधान : Rare Book : ojhakrishna2310@gmail.com : Recorded</v>
      </c>
      <c r="CG738" s="1" t="str">
        <f ca="1">IFERROR(__xludf.DUMMYFUNCTION("""COMPUTED_VALUE"""),"Adarniya Krishna arunkuma  ojha ji अधिकार गौण और कर्तव्य प्रधान : Rare Book : Allocated on 22-Sep-23 Contact Number  9637907058")</f>
        <v>Adarniya Krishna arunkuma  ojha ji अधिकार गौण और कर्तव्य प्रधान : Rare Book : Allocated on 22-Sep-23 Contact Number  9637907058</v>
      </c>
      <c r="CH738" s="1"/>
      <c r="CI738" s="1"/>
    </row>
    <row r="739" spans="1:87" x14ac:dyDescent="0.25">
      <c r="A739" s="5">
        <f ca="1">IFERROR(__xludf.DUMMYFUNCTION("""COMPUTED_VALUE"""),45190.5709074652)</f>
        <v>45190.570907465197</v>
      </c>
      <c r="B739" s="1" t="str">
        <f ca="1">IFERROR(__xludf.DUMMYFUNCTION("""COMPUTED_VALUE"""),"deepti.gu33@gmail.com")</f>
        <v>deepti.gu33@gmail.com</v>
      </c>
      <c r="C739" s="1" t="str">
        <f ca="1">IFERROR(__xludf.DUMMYFUNCTION("""COMPUTED_VALUE"""),"Deepti")</f>
        <v>Deepti</v>
      </c>
      <c r="D739" s="1" t="str">
        <f ca="1">IFERROR(__xludf.DUMMYFUNCTION("""COMPUTED_VALUE"""),"+447442569785")</f>
        <v>+447442569785</v>
      </c>
      <c r="E739" s="1" t="str">
        <f ca="1">IFERROR(__xludf.DUMMYFUNCTION("""COMPUTED_VALUE"""),"No")</f>
        <v>No</v>
      </c>
      <c r="F739" s="1" t="str">
        <f ca="1">IFERROR(__xludf.DUMMYFUNCTION("""COMPUTED_VALUE"""),"हिन्दी")</f>
        <v>हिन्दी</v>
      </c>
      <c r="G739" s="1" t="str">
        <f ca="1">IFERROR(__xludf.DUMMYFUNCTION("""COMPUTED_VALUE"""),"भारतीय संस्कृति")</f>
        <v>भारतीय संस्कृति</v>
      </c>
      <c r="H739" s="1"/>
      <c r="I739" s="1"/>
      <c r="J739" s="1"/>
      <c r="K739" s="1"/>
      <c r="L739" s="1"/>
      <c r="M739" s="1"/>
      <c r="N739" s="1"/>
      <c r="O739" s="1" t="str">
        <f ca="1">IFERROR(__xludf.DUMMYFUNCTION("""COMPUTED_VALUE"""),"योग एवं ध्यान")</f>
        <v>योग एवं ध्यान</v>
      </c>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f ca="1">IFERROR(__xludf.DUMMYFUNCTION("""COMPUTED_VALUE"""),1)</f>
        <v>1</v>
      </c>
      <c r="BX739" s="1">
        <f ca="1">IFERROR(__xludf.DUMMYFUNCTION("""COMPUTED_VALUE"""),0)</f>
        <v>0</v>
      </c>
      <c r="BY739" s="1">
        <f ca="1">IFERROR(__xludf.DUMMYFUNCTION("""COMPUTED_VALUE"""),1)</f>
        <v>1</v>
      </c>
      <c r="BZ739" s="1">
        <f ca="1">IFERROR(__xludf.DUMMYFUNCTION("""COMPUTED_VALUE"""),0)</f>
        <v>0</v>
      </c>
      <c r="CA739" s="1"/>
      <c r="CB739" s="5">
        <f ca="1">IFERROR(__xludf.DUMMYFUNCTION("""COMPUTED_VALUE"""),45200.5709074652)</f>
        <v>45200.570907465197</v>
      </c>
      <c r="CC739" s="1" t="str">
        <f ca="1">IFERROR(__xludf.DUMMYFUNCTION("""COMPUTED_VALUE"""),"आध्य शक्ति गायत्री युग शक्ति भी : Rare Book")</f>
        <v>आध्य शक्ति गायत्री युग शक्ति भी : Rare Book</v>
      </c>
      <c r="CD739" s="3" t="str">
        <f ca="1">IFERROR(__xludf.DUMMYFUNCTION("""COMPUTED_VALUE"""),"https://vicharkrantibooks.org/productdetail?book_name=HINF0005_ADHY_SHAKTI_GAYATRI_YUG_SHAKTI_BHI_xxyyyy&amp;product_id=225")</f>
        <v>https://vicharkrantibooks.org/productdetail?book_name=HINF0005_ADHY_SHAKTI_GAYATRI_YUG_SHAKTI_BHI_xxyyyy&amp;product_id=225</v>
      </c>
      <c r="CE739" s="1" t="str">
        <f ca="1">IFERROR(__xludf.DUMMYFUNCTION("""COMPUTED_VALUE"""),"Audiobook : आध्य शक्ति गायत्री युग शक्ति भी : Rare Book : deepti.gu33@gmail.com : Recorded")</f>
        <v>Audiobook : आध्य शक्ति गायत्री युग शक्ति भी : Rare Book : deepti.gu33@gmail.com : Recorded</v>
      </c>
      <c r="CF739" s="1" t="str">
        <f ca="1">IFERROR(__xludf.DUMMYFUNCTION("""COMPUTED_VALUE"""),"#N/A")</f>
        <v>#N/A</v>
      </c>
      <c r="CG739" s="1" t="str">
        <f ca="1">IFERROR(__xludf.DUMMYFUNCTION("""COMPUTED_VALUE"""),"Adarniya Deepti ji आध्य शक्ति गायत्री युग शक्ति भी : Rare Book : Allocated on 21-Sep-23 Contact Number  +447442569785")</f>
        <v>Adarniya Deepti ji आध्य शक्ति गायत्री युग शक्ति भी : Rare Book : Allocated on 21-Sep-23 Contact Number  +447442569785</v>
      </c>
      <c r="CH739" s="1"/>
      <c r="CI739" s="1"/>
    </row>
    <row r="740" spans="1:87" x14ac:dyDescent="0.25">
      <c r="A740" s="5">
        <f ca="1">IFERROR(__xludf.DUMMYFUNCTION("""COMPUTED_VALUE"""),45190.5262087731)</f>
        <v>45190.526208773103</v>
      </c>
      <c r="B740" s="1" t="str">
        <f ca="1">IFERROR(__xludf.DUMMYFUNCTION("""COMPUTED_VALUE"""),"shitalbenbhatt93@gmail.com")</f>
        <v>shitalbenbhatt93@gmail.com</v>
      </c>
      <c r="C740" s="1" t="str">
        <f ca="1">IFERROR(__xludf.DUMMYFUNCTION("""COMPUTED_VALUE"""),"Shitalbenbhatt ")</f>
        <v xml:space="preserve">Shitalbenbhatt </v>
      </c>
      <c r="D740" s="1">
        <f ca="1">IFERROR(__xludf.DUMMYFUNCTION("""COMPUTED_VALUE"""),9825794109)</f>
        <v>9825794109</v>
      </c>
      <c r="E740" s="1" t="str">
        <f ca="1">IFERROR(__xludf.DUMMYFUNCTION("""COMPUTED_VALUE"""),"Yes")</f>
        <v>Yes</v>
      </c>
      <c r="F740" s="1" t="str">
        <f ca="1">IFERROR(__xludf.DUMMYFUNCTION("""COMPUTED_VALUE"""),"हिन्दी")</f>
        <v>हिन्दी</v>
      </c>
      <c r="G740" s="1" t="str">
        <f ca="1">IFERROR(__xludf.DUMMYFUNCTION("""COMPUTED_VALUE"""),"वैज्ञानिक अध्यात्मवाद का प्रतिपादन")</f>
        <v>वैज्ञानिक अध्यात्मवाद का प्रतिपादन</v>
      </c>
      <c r="H740" s="1"/>
      <c r="I740" s="1"/>
      <c r="J740" s="1"/>
      <c r="K740" s="1"/>
      <c r="L740" s="1"/>
      <c r="M740" s="1"/>
      <c r="N740" s="1"/>
      <c r="O740" s="1"/>
      <c r="P740" s="1"/>
      <c r="Q740" s="1"/>
      <c r="R740" s="1"/>
      <c r="S740" s="1" t="str">
        <f ca="1">IFERROR(__xludf.DUMMYFUNCTION("""COMPUTED_VALUE"""),"वैज्ञानिक अध्यात्मवाद का प्रतिपादन")</f>
        <v>वैज्ञानिक अध्यात्मवाद का प्रतिपादन</v>
      </c>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f ca="1">IFERROR(__xludf.DUMMYFUNCTION("""COMPUTED_VALUE"""),2)</f>
        <v>2</v>
      </c>
      <c r="BX740" s="1">
        <f ca="1">IFERROR(__xludf.DUMMYFUNCTION("""COMPUTED_VALUE"""),0)</f>
        <v>0</v>
      </c>
      <c r="BY740" s="1">
        <f ca="1">IFERROR(__xludf.DUMMYFUNCTION("""COMPUTED_VALUE"""),2)</f>
        <v>2</v>
      </c>
      <c r="BZ740" s="1">
        <f ca="1">IFERROR(__xludf.DUMMYFUNCTION("""COMPUTED_VALUE"""),0)</f>
        <v>0</v>
      </c>
      <c r="CA740" s="1"/>
      <c r="CB740" s="5">
        <f ca="1">IFERROR(__xludf.DUMMYFUNCTION("""COMPUTED_VALUE"""),45200.5262087731)</f>
        <v>45200.526208773103</v>
      </c>
      <c r="CC740" s="1" t="str">
        <f ca="1">IFERROR(__xludf.DUMMYFUNCTION("""COMPUTED_VALUE"""),"अतीन्द्रिय सामर्थ्य एवं परब्रह्म की विधि व्यवस्था : Rare Book")</f>
        <v>अतीन्द्रिय सामर्थ्य एवं परब्रह्म की विधि व्यवस्था : Rare Book</v>
      </c>
      <c r="CD740" s="3" t="str">
        <f ca="1">IFERROR(__xludf.DUMMYFUNCTION("""COMPUTED_VALUE"""),"https://vicharkrantibooks.org/productdetail?book_name=HINF0043_ATINDRIY_SAMARTHY_EVAM_PARABRAHM_KI_VIDHI_VYAVASTHA_xxyyyy&amp;product_id=263")</f>
        <v>https://vicharkrantibooks.org/productdetail?book_name=HINF0043_ATINDRIY_SAMARTHY_EVAM_PARABRAHM_KI_VIDHI_VYAVASTHA_xxyyyy&amp;product_id=263</v>
      </c>
      <c r="CE740" s="1" t="str">
        <f ca="1">IFERROR(__xludf.DUMMYFUNCTION("""COMPUTED_VALUE"""),"Audiobook : अतीन्द्रिय सामर्थ्य एवं परब्रह्म की विधि व्यवस्था : Rare Book : shitalbenbhatt93@gmail.com : Recorded")</f>
        <v>Audiobook : अतीन्द्रिय सामर्थ्य एवं परब्रह्म की विधि व्यवस्था : Rare Book : shitalbenbhatt93@gmail.com : Recorded</v>
      </c>
      <c r="CF740" s="1" t="str">
        <f ca="1">IFERROR(__xludf.DUMMYFUNCTION("""COMPUTED_VALUE"""),"#N/A")</f>
        <v>#N/A</v>
      </c>
      <c r="CG740" s="1" t="str">
        <f ca="1">IFERROR(__xludf.DUMMYFUNCTION("""COMPUTED_VALUE"""),"Adarniya Shitalbenbhatt  ji अतीन्द्रिय सामर्थ्य एवं परब्रह्म की विधि व्यवस्था : Rare Book : Allocated on 21-Sep-23 Contact Number  9825794109")</f>
        <v>Adarniya Shitalbenbhatt  ji अतीन्द्रिय सामर्थ्य एवं परब्रह्म की विधि व्यवस्था : Rare Book : Allocated on 21-Sep-23 Contact Number  9825794109</v>
      </c>
      <c r="CH740" s="1"/>
      <c r="CI740" s="1"/>
    </row>
    <row r="741" spans="1:87" x14ac:dyDescent="0.25">
      <c r="A741" s="5">
        <f ca="1">IFERROR(__xludf.DUMMYFUNCTION("""COMPUTED_VALUE"""),45189.715750625)</f>
        <v>45189.715750625001</v>
      </c>
      <c r="B741" s="1" t="str">
        <f ca="1">IFERROR(__xludf.DUMMYFUNCTION("""COMPUTED_VALUE"""),"gayatrimantra56@gmail.com")</f>
        <v>gayatrimantra56@gmail.com</v>
      </c>
      <c r="C741" s="1" t="str">
        <f ca="1">IFERROR(__xludf.DUMMYFUNCTION("""COMPUTED_VALUE"""),"Sushma Rani Sharma")</f>
        <v>Sushma Rani Sharma</v>
      </c>
      <c r="D741" s="1">
        <f ca="1">IFERROR(__xludf.DUMMYFUNCTION("""COMPUTED_VALUE"""),9416956300)</f>
        <v>9416956300</v>
      </c>
      <c r="E741" s="1" t="str">
        <f ca="1">IFERROR(__xludf.DUMMYFUNCTION("""COMPUTED_VALUE"""),"Yes")</f>
        <v>Yes</v>
      </c>
      <c r="F741" s="1" t="str">
        <f ca="1">IFERROR(__xludf.DUMMYFUNCTION("""COMPUTED_VALUE"""),"हिन्दी")</f>
        <v>हिन्दी</v>
      </c>
      <c r="G741" s="1" t="str">
        <f ca="1">IFERROR(__xludf.DUMMYFUNCTION("""COMPUTED_VALUE"""),"भारतीय संस्कृति")</f>
        <v>भारतीय संस्कृति</v>
      </c>
      <c r="H741" s="1"/>
      <c r="I741" s="1"/>
      <c r="J741" s="1"/>
      <c r="K741" s="1"/>
      <c r="L741" s="1"/>
      <c r="M741" s="1"/>
      <c r="N741" s="1"/>
      <c r="O741" s="1" t="str">
        <f ca="1">IFERROR(__xludf.DUMMYFUNCTION("""COMPUTED_VALUE"""),"भारतीय संस्कृति")</f>
        <v>भारतीय संस्कृति</v>
      </c>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f ca="1">IFERROR(__xludf.DUMMYFUNCTION("""COMPUTED_VALUE"""),3)</f>
        <v>3</v>
      </c>
      <c r="BX741" s="1">
        <f ca="1">IFERROR(__xludf.DUMMYFUNCTION("""COMPUTED_VALUE"""),2)</f>
        <v>2</v>
      </c>
      <c r="BY741" s="1">
        <f ca="1">IFERROR(__xludf.DUMMYFUNCTION("""COMPUTED_VALUE"""),1)</f>
        <v>1</v>
      </c>
      <c r="BZ741" s="1">
        <f ca="1">IFERROR(__xludf.DUMMYFUNCTION("""COMPUTED_VALUE"""),0)</f>
        <v>0</v>
      </c>
      <c r="CA741" s="1"/>
      <c r="CB741" s="5">
        <f ca="1">IFERROR(__xludf.DUMMYFUNCTION("""COMPUTED_VALUE"""),45199.715750625)</f>
        <v>45199.715750625001</v>
      </c>
      <c r="CC741" s="1" t="str">
        <f ca="1">IFERROR(__xludf.DUMMYFUNCTION("""COMPUTED_VALUE"""),"प्राणाकर्षण प्राणायाम : Rare Book")</f>
        <v>प्राणाकर्षण प्राणायाम : Rare Book</v>
      </c>
      <c r="CD741" s="3" t="str">
        <f ca="1">IFERROR(__xludf.DUMMYFUNCTION("""COMPUTED_VALUE"""),"https://vicharkrantibooks.org/productdetail?book_name=HINP0666_PRANAKARSHAN_PRANAYAM_xxyyyy&amp;product_id=1231")</f>
        <v>https://vicharkrantibooks.org/productdetail?book_name=HINP0666_PRANAKARSHAN_PRANAYAM_xxyyyy&amp;product_id=1231</v>
      </c>
      <c r="CE741" s="1" t="str">
        <f ca="1">IFERROR(__xludf.DUMMYFUNCTION("""COMPUTED_VALUE"""),"Audiobook : प्राणाकर्षण प्राणायाम : Rare Book : gayatrimantra56@gmail.com : Recorded")</f>
        <v>Audiobook : प्राणाकर्षण प्राणायाम : Rare Book : gayatrimantra56@gmail.com : Recorded</v>
      </c>
      <c r="CF741" s="1" t="str">
        <f ca="1">IFERROR(__xludf.DUMMYFUNCTION("""COMPUTED_VALUE"""),"#N/A")</f>
        <v>#N/A</v>
      </c>
      <c r="CG741" s="1" t="str">
        <f ca="1">IFERROR(__xludf.DUMMYFUNCTION("""COMPUTED_VALUE"""),"Adarniya Sushma Rani Sharma ji प्राणाकर्षण प्राणायाम : Rare Book : Allocated on 20-Sep-23 Contact Number  9416956300")</f>
        <v>Adarniya Sushma Rani Sharma ji प्राणाकर्षण प्राणायाम : Rare Book : Allocated on 20-Sep-23 Contact Number  9416956300</v>
      </c>
      <c r="CH741" s="1"/>
      <c r="CI741" s="1"/>
    </row>
    <row r="742" spans="1:87" x14ac:dyDescent="0.25">
      <c r="A742" s="5">
        <f ca="1">IFERROR(__xludf.DUMMYFUNCTION("""COMPUTED_VALUE"""),45189.162802199)</f>
        <v>45189.162802199004</v>
      </c>
      <c r="B742" s="1" t="str">
        <f ca="1">IFERROR(__xludf.DUMMYFUNCTION("""COMPUTED_VALUE"""),"thummark58@gmail.com")</f>
        <v>thummark58@gmail.com</v>
      </c>
      <c r="C742" s="1" t="str">
        <f ca="1">IFERROR(__xludf.DUMMYFUNCTION("""COMPUTED_VALUE"""),"krishna thummar")</f>
        <v>krishna thummar</v>
      </c>
      <c r="D742" s="1" t="str">
        <f ca="1">IFERROR(__xludf.DUMMYFUNCTION("""COMPUTED_VALUE"""),"+1(437)799-6392")</f>
        <v>+1(437)799-6392</v>
      </c>
      <c r="E742" s="1" t="str">
        <f ca="1">IFERROR(__xludf.DUMMYFUNCTION("""COMPUTED_VALUE"""),"Yes")</f>
        <v>Yes</v>
      </c>
      <c r="F742" s="1" t="str">
        <f ca="1">IFERROR(__xludf.DUMMYFUNCTION("""COMPUTED_VALUE"""),"हिन्दी or English")</f>
        <v>हिन्दी or English</v>
      </c>
      <c r="G742" s="1" t="str">
        <f ca="1">IFERROR(__xludf.DUMMYFUNCTION("""COMPUTED_VALUE"""),"वैज्ञानिक अध्यात्मवाद का प्रतिपादन")</f>
        <v>वैज्ञानिक अध्यात्मवाद का प्रतिपादन</v>
      </c>
      <c r="H742" s="1"/>
      <c r="I742" s="1"/>
      <c r="J742" s="1"/>
      <c r="K742" s="1"/>
      <c r="L742" s="1"/>
      <c r="M742" s="1"/>
      <c r="N742" s="1"/>
      <c r="O742" s="1"/>
      <c r="P742" s="1"/>
      <c r="Q742" s="1"/>
      <c r="R742" s="1"/>
      <c r="S742" s="1" t="str">
        <f ca="1">IFERROR(__xludf.DUMMYFUNCTION("""COMPUTED_VALUE"""),"वैज्ञानिक अध्यात्मवाद का प्रतिपादन")</f>
        <v>वैज्ञानिक अध्यात्मवाद का प्रतिपादन</v>
      </c>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f ca="1">IFERROR(__xludf.DUMMYFUNCTION("""COMPUTED_VALUE"""),1)</f>
        <v>1</v>
      </c>
      <c r="BX742" s="1">
        <f ca="1">IFERROR(__xludf.DUMMYFUNCTION("""COMPUTED_VALUE"""),0)</f>
        <v>0</v>
      </c>
      <c r="BY742" s="1">
        <f ca="1">IFERROR(__xludf.DUMMYFUNCTION("""COMPUTED_VALUE"""),1)</f>
        <v>1</v>
      </c>
      <c r="BZ742" s="1">
        <f ca="1">IFERROR(__xludf.DUMMYFUNCTION("""COMPUTED_VALUE"""),0)</f>
        <v>0</v>
      </c>
      <c r="CA742" s="1"/>
      <c r="CB742" s="5">
        <f ca="1">IFERROR(__xludf.DUMMYFUNCTION("""COMPUTED_VALUE"""),45199.162802199)</f>
        <v>45199.162802199004</v>
      </c>
      <c r="CC742" s="1" t="str">
        <f ca="1">IFERROR(__xludf.DUMMYFUNCTION("""COMPUTED_VALUE"""),"Revival Of Satyug The Golden Age Towards A Bright Future : EP_01")</f>
        <v>Revival Of Satyug The Golden Age Towards A Bright Future : EP_01</v>
      </c>
      <c r="CD742" s="3" t="str">
        <f ca="1">IFERROR(__xludf.DUMMYFUNCTION("""COMPUTED_VALUE"""),"http://literature.awgp.org/book/The_Revival_of_Satyug_The_Golden_Age/v1")</f>
        <v>http://literature.awgp.org/book/The_Revival_of_Satyug_The_Golden_Age/v1</v>
      </c>
      <c r="CE742" s="1" t="str">
        <f ca="1">IFERROR(__xludf.DUMMYFUNCTION("""COMPUTED_VALUE"""),"Audiobook : Revival Of Satyug The Golden Age Towards A Bright Future : EP_01 : thummark58@gmail.com : Recorded")</f>
        <v>Audiobook : Revival Of Satyug The Golden Age Towards A Bright Future : EP_01 : thummark58@gmail.com : Recorded</v>
      </c>
      <c r="CF742" s="1" t="str">
        <f ca="1">IFERROR(__xludf.DUMMYFUNCTION("""COMPUTED_VALUE"""),"#N/A")</f>
        <v>#N/A</v>
      </c>
      <c r="CG742" s="1" t="str">
        <f ca="1">IFERROR(__xludf.DUMMYFUNCTION("""COMPUTED_VALUE"""),"Adarniya krishna thummar ji Revival Of Satyug The Golden Age Towards A Bright Future : EP_01 : Allocated on 20-Sep-23 Contact Number  +1(437)799-6392")</f>
        <v>Adarniya krishna thummar ji Revival Of Satyug The Golden Age Towards A Bright Future : EP_01 : Allocated on 20-Sep-23 Contact Number  +1(437)799-6392</v>
      </c>
      <c r="CH742" s="1"/>
      <c r="CI742" s="1"/>
    </row>
    <row r="743" spans="1:87" x14ac:dyDescent="0.25">
      <c r="A743" s="5">
        <f ca="1">IFERROR(__xludf.DUMMYFUNCTION("""COMPUTED_VALUE"""),45188.9557295601)</f>
        <v>45188.955729560097</v>
      </c>
      <c r="B743" s="1" t="str">
        <f ca="1">IFERROR(__xludf.DUMMYFUNCTION("""COMPUTED_VALUE"""),"rajnivarma24.vns@gmail.com")</f>
        <v>rajnivarma24.vns@gmail.com</v>
      </c>
      <c r="C743" s="1" t="str">
        <f ca="1">IFERROR(__xludf.DUMMYFUNCTION("""COMPUTED_VALUE"""),"Rajni varma")</f>
        <v>Rajni varma</v>
      </c>
      <c r="D743" s="1">
        <f ca="1">IFERROR(__xludf.DUMMYFUNCTION("""COMPUTED_VALUE"""),9335661433)</f>
        <v>9335661433</v>
      </c>
      <c r="E743" s="1" t="str">
        <f ca="1">IFERROR(__xludf.DUMMYFUNCTION("""COMPUTED_VALUE"""),"No")</f>
        <v>No</v>
      </c>
      <c r="F743" s="1" t="str">
        <f ca="1">IFERROR(__xludf.DUMMYFUNCTION("""COMPUTED_VALUE"""),"हिन्दी")</f>
        <v>हिन्दी</v>
      </c>
      <c r="G743" s="1" t="str">
        <f ca="1">IFERROR(__xludf.DUMMYFUNCTION("""COMPUTED_VALUE"""),"भारतीय संस्कृति")</f>
        <v>भारतीय संस्कृति</v>
      </c>
      <c r="H743" s="1"/>
      <c r="I743" s="1"/>
      <c r="J743" s="1"/>
      <c r="K743" s="1"/>
      <c r="L743" s="1"/>
      <c r="M743" s="1"/>
      <c r="N743" s="1"/>
      <c r="O743" s="1" t="str">
        <f ca="1">IFERROR(__xludf.DUMMYFUNCTION("""COMPUTED_VALUE"""),"भारतीय संस्कृति")</f>
        <v>भारतीय संस्कृति</v>
      </c>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f ca="1">IFERROR(__xludf.DUMMYFUNCTION("""COMPUTED_VALUE"""),30)</f>
        <v>30</v>
      </c>
      <c r="BX743" s="1">
        <f ca="1">IFERROR(__xludf.DUMMYFUNCTION("""COMPUTED_VALUE"""),25)</f>
        <v>25</v>
      </c>
      <c r="BY743" s="1">
        <f ca="1">IFERROR(__xludf.DUMMYFUNCTION("""COMPUTED_VALUE"""),7)</f>
        <v>7</v>
      </c>
      <c r="BZ743" s="1">
        <f ca="1">IFERROR(__xludf.DUMMYFUNCTION("""COMPUTED_VALUE"""),7)</f>
        <v>7</v>
      </c>
      <c r="CA743" s="1"/>
      <c r="CB743" s="5">
        <f ca="1">IFERROR(__xludf.DUMMYFUNCTION("""COMPUTED_VALUE"""),45198.9557295601)</f>
        <v>45198.955729560097</v>
      </c>
      <c r="CC743" s="1" t="str">
        <f ca="1">IFERROR(__xludf.DUMMYFUNCTION("""COMPUTED_VALUE"""),"नये युग का मंत्र गायत्री महामंत्र : H_JS_35")</f>
        <v>नये युग का मंत्र गायत्री महामंत्र : H_JS_35</v>
      </c>
      <c r="CD743" s="3" t="str">
        <f ca="1">IFERROR(__xludf.DUMMYFUNCTION("""COMPUTED_VALUE"""),"https://vicharkrantibooks.org/productdetail?book_name=HINP0597_NAYE_YUG_KA_MANTR_GAYATRI_MAHAMANTR_xx2011&amp;product_id=1162")</f>
        <v>https://vicharkrantibooks.org/productdetail?book_name=HINP0597_NAYE_YUG_KA_MANTR_GAYATRI_MAHAMANTR_xx2011&amp;product_id=1162</v>
      </c>
      <c r="CE743" s="1" t="str">
        <f ca="1">IFERROR(__xludf.DUMMYFUNCTION("""COMPUTED_VALUE"""),"Audiobook : नये युग का मंत्र गायत्री महामंत्र : H_JS_35 : rajnivarma24.vns@gmail.com : Recorded")</f>
        <v>Audiobook : नये युग का मंत्र गायत्री महामंत्र : H_JS_35 : rajnivarma24.vns@gmail.com : Recorded</v>
      </c>
      <c r="CF743" s="1" t="str">
        <f ca="1">IFERROR(__xludf.DUMMYFUNCTION("""COMPUTED_VALUE"""),"Audiobook : नये युग का मंत्र गायत्री महामंत्र : H_JS_35 : rajnivarma24.vns@gmail.com : Recorded")</f>
        <v>Audiobook : नये युग का मंत्र गायत्री महामंत्र : H_JS_35 : rajnivarma24.vns@gmail.com : Recorded</v>
      </c>
      <c r="CG743" s="1" t="str">
        <f ca="1">IFERROR(__xludf.DUMMYFUNCTION("""COMPUTED_VALUE"""),"Adarniya Rajni varma ji नये युग का मंत्र गायत्री महामंत्र : H_JS_35 : Allocated on 19-Sep-23 Contact Number  9335661433")</f>
        <v>Adarniya Rajni varma ji नये युग का मंत्र गायत्री महामंत्र : H_JS_35 : Allocated on 19-Sep-23 Contact Number  9335661433</v>
      </c>
      <c r="CH743" s="1"/>
      <c r="CI743" s="1"/>
    </row>
    <row r="744" spans="1:87" x14ac:dyDescent="0.25">
      <c r="A744" s="5">
        <f ca="1">IFERROR(__xludf.DUMMYFUNCTION("""COMPUTED_VALUE"""),45188.7075109838)</f>
        <v>45188.707510983797</v>
      </c>
      <c r="B744" s="1" t="str">
        <f ca="1">IFERROR(__xludf.DUMMYFUNCTION("""COMPUTED_VALUE"""),"hemachopada@gmail.com")</f>
        <v>hemachopada@gmail.com</v>
      </c>
      <c r="C744" s="1" t="str">
        <f ca="1">IFERROR(__xludf.DUMMYFUNCTION("""COMPUTED_VALUE"""),"Mrs Hema Mahesh Chopada ")</f>
        <v xml:space="preserve">Mrs Hema Mahesh Chopada </v>
      </c>
      <c r="D744" s="1">
        <f ca="1">IFERROR(__xludf.DUMMYFUNCTION("""COMPUTED_VALUE"""),9975767575)</f>
        <v>9975767575</v>
      </c>
      <c r="E744" s="1" t="str">
        <f ca="1">IFERROR(__xludf.DUMMYFUNCTION("""COMPUTED_VALUE"""),"No")</f>
        <v>No</v>
      </c>
      <c r="F744" s="1" t="str">
        <f ca="1">IFERROR(__xludf.DUMMYFUNCTION("""COMPUTED_VALUE"""),"हिन्दी")</f>
        <v>हिन्दी</v>
      </c>
      <c r="G744" s="1" t="str">
        <f ca="1">IFERROR(__xludf.DUMMYFUNCTION("""COMPUTED_VALUE"""),"व्यक्ति निर्माण, युवा/विद्यार्थी एवं शिक्षक")</f>
        <v>व्यक्ति निर्माण, युवा/विद्यार्थी एवं शिक्षक</v>
      </c>
      <c r="H744" s="1"/>
      <c r="I744" s="1"/>
      <c r="J744" s="1"/>
      <c r="K744" s="1"/>
      <c r="L744" s="1"/>
      <c r="M744" s="1"/>
      <c r="N744" s="1"/>
      <c r="O744" s="1"/>
      <c r="P744" s="1"/>
      <c r="Q744" s="1"/>
      <c r="R744" s="1"/>
      <c r="S744" s="1"/>
      <c r="T744" s="1" t="str">
        <f ca="1">IFERROR(__xludf.DUMMYFUNCTION("""COMPUTED_VALUE"""),"व्यक्तित्व परिष्कार")</f>
        <v>व्यक्तित्व परिष्कार</v>
      </c>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f ca="1">IFERROR(__xludf.DUMMYFUNCTION("""COMPUTED_VALUE"""),2)</f>
        <v>2</v>
      </c>
      <c r="BX744" s="1">
        <f ca="1">IFERROR(__xludf.DUMMYFUNCTION("""COMPUTED_VALUE"""),1)</f>
        <v>1</v>
      </c>
      <c r="BY744" s="1">
        <f ca="1">IFERROR(__xludf.DUMMYFUNCTION("""COMPUTED_VALUE"""),1)</f>
        <v>1</v>
      </c>
      <c r="BZ744" s="1">
        <f ca="1">IFERROR(__xludf.DUMMYFUNCTION("""COMPUTED_VALUE"""),1)</f>
        <v>1</v>
      </c>
      <c r="CA744" s="1"/>
      <c r="CB744" s="5">
        <f ca="1">IFERROR(__xludf.DUMMYFUNCTION("""COMPUTED_VALUE"""),45198.7075109838)</f>
        <v>45198.707510983797</v>
      </c>
      <c r="CC744" s="1" t="str">
        <f ca="1">IFERROR(__xludf.DUMMYFUNCTION("""COMPUTED_VALUE"""),"अपने अन्त: के देवता को जगाईये : Rare Book")</f>
        <v>अपने अन्त: के देवता को जगाईये : Rare Book</v>
      </c>
      <c r="CD744" s="3" t="str">
        <f ca="1">IFERROR(__xludf.DUMMYFUNCTION("""COMPUTED_VALUE"""),"https://vicharkrantibooks.org/productdetail?book_name=HINF0032_APANE_ANTAH_KE_DEVATA_KO_JAGAIE_xxyyyy&amp;product_id=252")</f>
        <v>https://vicharkrantibooks.org/productdetail?book_name=HINF0032_APANE_ANTAH_KE_DEVATA_KO_JAGAIE_xxyyyy&amp;product_id=252</v>
      </c>
      <c r="CE744" s="1" t="str">
        <f ca="1">IFERROR(__xludf.DUMMYFUNCTION("""COMPUTED_VALUE"""),"Audiobook : अपने अन्त: के देवता को जगाईये : Rare Book : hemachopada@gmail.com : Recorded")</f>
        <v>Audiobook : अपने अन्त: के देवता को जगाईये : Rare Book : hemachopada@gmail.com : Recorded</v>
      </c>
      <c r="CF744" s="1" t="str">
        <f ca="1">IFERROR(__xludf.DUMMYFUNCTION("""COMPUTED_VALUE"""),"#N/A")</f>
        <v>#N/A</v>
      </c>
      <c r="CG744" s="1" t="str">
        <f ca="1">IFERROR(__xludf.DUMMYFUNCTION("""COMPUTED_VALUE"""),"Adarniya Mrs Hema Mahesh Chopada  ji अपने अन्त: के देवता को जगाईये : Rare Book : Allocated on 19-Sep-23 Contact Number  9975767575")</f>
        <v>Adarniya Mrs Hema Mahesh Chopada  ji अपने अन्त: के देवता को जगाईये : Rare Book : Allocated on 19-Sep-23 Contact Number  9975767575</v>
      </c>
      <c r="CH744" s="1"/>
      <c r="CI744" s="1"/>
    </row>
    <row r="745" spans="1:87" x14ac:dyDescent="0.25">
      <c r="A745" s="5">
        <f ca="1">IFERROR(__xludf.DUMMYFUNCTION("""COMPUTED_VALUE"""),45187.8609283101)</f>
        <v>45187.860928310103</v>
      </c>
      <c r="B745" s="1" t="str">
        <f ca="1">IFERROR(__xludf.DUMMYFUNCTION("""COMPUTED_VALUE"""),"rbbansalriya@gmail.com")</f>
        <v>rbbansalriya@gmail.com</v>
      </c>
      <c r="C745" s="1" t="str">
        <f ca="1">IFERROR(__xludf.DUMMYFUNCTION("""COMPUTED_VALUE"""),"Riya bansal ")</f>
        <v xml:space="preserve">Riya bansal </v>
      </c>
      <c r="D745" s="1">
        <f ca="1">IFERROR(__xludf.DUMMYFUNCTION("""COMPUTED_VALUE"""),9176361023)</f>
        <v>9176361023</v>
      </c>
      <c r="E745" s="1" t="str">
        <f ca="1">IFERROR(__xludf.DUMMYFUNCTION("""COMPUTED_VALUE"""),"Yes")</f>
        <v>Yes</v>
      </c>
      <c r="F745" s="1" t="str">
        <f ca="1">IFERROR(__xludf.DUMMYFUNCTION("""COMPUTED_VALUE"""),"हिन्दी")</f>
        <v>हिन्दी</v>
      </c>
      <c r="G745" s="1" t="str">
        <f ca="1">IFERROR(__xludf.DUMMYFUNCTION("""COMPUTED_VALUE"""),"समाज निर्माण")</f>
        <v>समाज निर्माण</v>
      </c>
      <c r="H745" s="1"/>
      <c r="I745" s="1"/>
      <c r="J745" s="1"/>
      <c r="K745" s="1"/>
      <c r="L745" s="1"/>
      <c r="M745" s="1"/>
      <c r="N745" s="1"/>
      <c r="O745" s="1"/>
      <c r="P745" s="1"/>
      <c r="Q745" s="1"/>
      <c r="R745" s="1"/>
      <c r="S745" s="1"/>
      <c r="T745" s="1"/>
      <c r="U745" s="1"/>
      <c r="V745" s="1" t="str">
        <f ca="1">IFERROR(__xludf.DUMMYFUNCTION("""COMPUTED_VALUE"""),"आदर्श विवाहों का प्रचलन")</f>
        <v>आदर्श विवाहों का प्रचलन</v>
      </c>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f ca="1">IFERROR(__xludf.DUMMYFUNCTION("""COMPUTED_VALUE"""),54)</f>
        <v>54</v>
      </c>
      <c r="BX745" s="1">
        <f ca="1">IFERROR(__xludf.DUMMYFUNCTION("""COMPUTED_VALUE"""),55)</f>
        <v>55</v>
      </c>
      <c r="BY745" s="1">
        <f ca="1">IFERROR(__xludf.DUMMYFUNCTION("""COMPUTED_VALUE"""),9)</f>
        <v>9</v>
      </c>
      <c r="BZ745" s="1">
        <f ca="1">IFERROR(__xludf.DUMMYFUNCTION("""COMPUTED_VALUE"""),43)</f>
        <v>43</v>
      </c>
      <c r="CA745" s="1"/>
      <c r="CB745" s="5">
        <f ca="1">IFERROR(__xludf.DUMMYFUNCTION("""COMPUTED_VALUE"""),45197.8609283101)</f>
        <v>45197.860928310103</v>
      </c>
      <c r="CC745" s="1" t="str">
        <f ca="1">IFERROR(__xludf.DUMMYFUNCTION("""COMPUTED_VALUE"""),"नारी उत्थान के बिना गुजारा नहीं : H_PP_46")</f>
        <v>नारी उत्थान के बिना गुजारा नहीं : H_PP_46</v>
      </c>
      <c r="CD745" s="3" t="str">
        <f ca="1">IFERROR(__xludf.DUMMYFUNCTION("""COMPUTED_VALUE"""),"https://vicharkrantibooks.org/productdetail?book_name=HINP0584_NARI_UTTHAN_KE_BINA_GUJARA_NAHI_xxyyyy&amp;product_id=1149")</f>
        <v>https://vicharkrantibooks.org/productdetail?book_name=HINP0584_NARI_UTTHAN_KE_BINA_GUJARA_NAHI_xxyyyy&amp;product_id=1149</v>
      </c>
      <c r="CE745" s="1" t="str">
        <f ca="1">IFERROR(__xludf.DUMMYFUNCTION("""COMPUTED_VALUE"""),"Audiobook : नारी उत्थान के बिना गुजारा नहीं : H_PP_46 : rbbansalriya@gmail.com : Recorded")</f>
        <v>Audiobook : नारी उत्थान के बिना गुजारा नहीं : H_PP_46 : rbbansalriya@gmail.com : Recorded</v>
      </c>
      <c r="CF745" s="1" t="str">
        <f ca="1">IFERROR(__xludf.DUMMYFUNCTION("""COMPUTED_VALUE"""),"Audiobook : नारी उत्थान के बिना गुजारा नहीं : H_PP_46 : rbbansalriya@gmail.com : Recorded")</f>
        <v>Audiobook : नारी उत्थान के बिना गुजारा नहीं : H_PP_46 : rbbansalriya@gmail.com : Recorded</v>
      </c>
      <c r="CG745" s="1" t="str">
        <f ca="1">IFERROR(__xludf.DUMMYFUNCTION("""COMPUTED_VALUE"""),"Adarniya Riya bansal  ji नारी उत्थान के बिना गुजारा नहीं : H_PP_46 : Allocated on 18-Sep-23 Contact Number  9176361023")</f>
        <v>Adarniya Riya bansal  ji नारी उत्थान के बिना गुजारा नहीं : H_PP_46 : Allocated on 18-Sep-23 Contact Number  9176361023</v>
      </c>
      <c r="CH745" s="1"/>
      <c r="CI745" s="1"/>
    </row>
    <row r="746" spans="1:87" x14ac:dyDescent="0.25">
      <c r="A746" s="5">
        <f ca="1">IFERROR(__xludf.DUMMYFUNCTION("""COMPUTED_VALUE"""),45187.7413566551)</f>
        <v>45187.741356655097</v>
      </c>
      <c r="B746" s="1" t="str">
        <f ca="1">IFERROR(__xludf.DUMMYFUNCTION("""COMPUTED_VALUE"""),"druma4107@gmail.com")</f>
        <v>druma4107@gmail.com</v>
      </c>
      <c r="C746" s="1" t="str">
        <f ca="1">IFERROR(__xludf.DUMMYFUNCTION("""COMPUTED_VALUE"""),"Dr Uma Agrawal ")</f>
        <v xml:space="preserve">Dr Uma Agrawal </v>
      </c>
      <c r="D746" s="1">
        <f ca="1">IFERROR(__xludf.DUMMYFUNCTION("""COMPUTED_VALUE"""),9410861182)</f>
        <v>9410861182</v>
      </c>
      <c r="E746" s="1" t="str">
        <f ca="1">IFERROR(__xludf.DUMMYFUNCTION("""COMPUTED_VALUE"""),"Yes")</f>
        <v>Yes</v>
      </c>
      <c r="F746" s="1" t="str">
        <f ca="1">IFERROR(__xludf.DUMMYFUNCTION("""COMPUTED_VALUE"""),"हिन्दी")</f>
        <v>हिन्दी</v>
      </c>
      <c r="G746" s="1" t="str">
        <f ca="1">IFERROR(__xludf.DUMMYFUNCTION("""COMPUTED_VALUE"""),"समाज निर्माण")</f>
        <v>समाज निर्माण</v>
      </c>
      <c r="H746" s="1"/>
      <c r="I746" s="1"/>
      <c r="J746" s="1"/>
      <c r="K746" s="1"/>
      <c r="L746" s="1"/>
      <c r="M746" s="1"/>
      <c r="N746" s="1"/>
      <c r="O746" s="1"/>
      <c r="P746" s="1"/>
      <c r="Q746" s="1"/>
      <c r="R746" s="1"/>
      <c r="S746" s="1"/>
      <c r="T746" s="1"/>
      <c r="U746" s="1"/>
      <c r="V746" s="1" t="str">
        <f ca="1">IFERROR(__xludf.DUMMYFUNCTION("""COMPUTED_VALUE"""),"नारी सशक्तिकरण")</f>
        <v>नारी सशक्तिकरण</v>
      </c>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f ca="1">IFERROR(__xludf.DUMMYFUNCTION("""COMPUTED_VALUE"""),104)</f>
        <v>104</v>
      </c>
      <c r="BX746" s="1">
        <f ca="1">IFERROR(__xludf.DUMMYFUNCTION("""COMPUTED_VALUE"""),106)</f>
        <v>106</v>
      </c>
      <c r="BY746" s="1">
        <f ca="1">IFERROR(__xludf.DUMMYFUNCTION("""COMPUTED_VALUE"""),9)</f>
        <v>9</v>
      </c>
      <c r="BZ746" s="1">
        <f ca="1">IFERROR(__xludf.DUMMYFUNCTION("""COMPUTED_VALUE"""),43)</f>
        <v>43</v>
      </c>
      <c r="CA746" s="1"/>
      <c r="CB746" s="5">
        <f ca="1">IFERROR(__xludf.DUMMYFUNCTION("""COMPUTED_VALUE"""),45197.7413566551)</f>
        <v>45197.741356655097</v>
      </c>
      <c r="CC746" s="1" t="str">
        <f ca="1">IFERROR(__xludf.DUMMYFUNCTION("""COMPUTED_VALUE"""),"अस्पृश्यता धर्म विरोधी : Rare Book")</f>
        <v>अस्पृश्यता धर्म विरोधी : Rare Book</v>
      </c>
      <c r="CD746" s="3" t="str">
        <f ca="1">IFERROR(__xludf.DUMMYFUNCTION("""COMPUTED_VALUE"""),"https://vicharkrantibooks.org/productdetail?book_name=HINP0078_ASPRUSYATA_DHARM_VIRODHI_xxyyyy&amp;product_id=643")</f>
        <v>https://vicharkrantibooks.org/productdetail?book_name=HINP0078_ASPRUSYATA_DHARM_VIRODHI_xxyyyy&amp;product_id=643</v>
      </c>
      <c r="CE746" s="1" t="str">
        <f ca="1">IFERROR(__xludf.DUMMYFUNCTION("""COMPUTED_VALUE"""),"Audiobook : अस्पृश्यता धर्म विरोधी : Rare Book : druma4107@gmail.com : Recorded")</f>
        <v>Audiobook : अस्पृश्यता धर्म विरोधी : Rare Book : druma4107@gmail.com : Recorded</v>
      </c>
      <c r="CF746" s="1" t="str">
        <f ca="1">IFERROR(__xludf.DUMMYFUNCTION("""COMPUTED_VALUE"""),"Audiobook : अस्पृश्यता धर्म विरोधी : Rare Book : druma4107@gmail.com : Recorded")</f>
        <v>Audiobook : अस्पृश्यता धर्म विरोधी : Rare Book : druma4107@gmail.com : Recorded</v>
      </c>
      <c r="CG746" s="1" t="str">
        <f ca="1">IFERROR(__xludf.DUMMYFUNCTION("""COMPUTED_VALUE"""),"Adarniya Dr Uma Agrawal  ji अस्पृश्यता धर्म विरोधी : Rare Book : Allocated on 18-Sep-23 Contact Number  9410861182")</f>
        <v>Adarniya Dr Uma Agrawal  ji अस्पृश्यता धर्म विरोधी : Rare Book : Allocated on 18-Sep-23 Contact Number  9410861182</v>
      </c>
      <c r="CH746" s="1"/>
      <c r="CI746" s="1"/>
    </row>
    <row r="747" spans="1:87" x14ac:dyDescent="0.25">
      <c r="A747" s="5">
        <f ca="1">IFERROR(__xludf.DUMMYFUNCTION("""COMPUTED_VALUE"""),45186.2597409722)</f>
        <v>45186.2597409722</v>
      </c>
      <c r="B747" s="1" t="str">
        <f ca="1">IFERROR(__xludf.DUMMYFUNCTION("""COMPUTED_VALUE"""),"sanjayneha1@yahoo.com")</f>
        <v>sanjayneha1@yahoo.com</v>
      </c>
      <c r="C747" s="1" t="str">
        <f ca="1">IFERROR(__xludf.DUMMYFUNCTION("""COMPUTED_VALUE"""),"Neha Manocha")</f>
        <v>Neha Manocha</v>
      </c>
      <c r="D747" s="1">
        <f ca="1">IFERROR(__xludf.DUMMYFUNCTION("""COMPUTED_VALUE"""),16174130446)</f>
        <v>16174130446</v>
      </c>
      <c r="E747" s="1" t="str">
        <f ca="1">IFERROR(__xludf.DUMMYFUNCTION("""COMPUTED_VALUE"""),"Yes")</f>
        <v>Yes</v>
      </c>
      <c r="F747" s="1" t="str">
        <f ca="1">IFERROR(__xludf.DUMMYFUNCTION("""COMPUTED_VALUE"""),"हिन्दी or English")</f>
        <v>हिन्दी or English</v>
      </c>
      <c r="G747" s="1" t="str">
        <f ca="1">IFERROR(__xludf.DUMMYFUNCTION("""COMPUTED_VALUE"""),"युग द्रष्टा पं. श्रीराम शर्मा आचार्यजी")</f>
        <v>युग द्रष्टा पं. श्रीराम शर्मा आचार्यजी</v>
      </c>
      <c r="H747" s="1"/>
      <c r="I747" s="1"/>
      <c r="J747" s="1"/>
      <c r="K747" s="1"/>
      <c r="L747" s="1"/>
      <c r="M747" s="1"/>
      <c r="N747" s="1"/>
      <c r="O747" s="1"/>
      <c r="P747" s="1" t="str">
        <f ca="1">IFERROR(__xludf.DUMMYFUNCTION("""COMPUTED_VALUE"""),"युगॠषी की अमृतवाणी")</f>
        <v>युगॠषी की अमृतवाणी</v>
      </c>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f ca="1">IFERROR(__xludf.DUMMYFUNCTION("""COMPUTED_VALUE"""),33)</f>
        <v>33</v>
      </c>
      <c r="BX747" s="1">
        <f ca="1">IFERROR(__xludf.DUMMYFUNCTION("""COMPUTED_VALUE"""),40)</f>
        <v>40</v>
      </c>
      <c r="BY747" s="1">
        <f ca="1">IFERROR(__xludf.DUMMYFUNCTION("""COMPUTED_VALUE"""),3)</f>
        <v>3</v>
      </c>
      <c r="BZ747" s="1">
        <f ca="1">IFERROR(__xludf.DUMMYFUNCTION("""COMPUTED_VALUE"""),22)</f>
        <v>22</v>
      </c>
      <c r="CA747" s="1"/>
      <c r="CB747" s="5">
        <f ca="1">IFERROR(__xludf.DUMMYFUNCTION("""COMPUTED_VALUE"""),45196.2597409722)</f>
        <v>45196.2597409722</v>
      </c>
      <c r="CC747" s="1" t="str">
        <f ca="1">IFERROR(__xludf.DUMMYFUNCTION("""COMPUTED_VALUE"""),"Gayatri Yagya Vidhi : EP_62")</f>
        <v>Gayatri Yagya Vidhi : EP_62</v>
      </c>
      <c r="CD747" s="3" t="str">
        <f ca="1">IFERROR(__xludf.DUMMYFUNCTION("""COMPUTED_VALUE"""),"https://vicharkrantibooks.org/productdetail?product_id=3453")</f>
        <v>https://vicharkrantibooks.org/productdetail?product_id=3453</v>
      </c>
      <c r="CE747" s="1" t="str">
        <f ca="1">IFERROR(__xludf.DUMMYFUNCTION("""COMPUTED_VALUE"""),"Audiobook : Gayatri Yagya Vidhi : EP_62 : sanjayneha1@yahoo.com : Recorded")</f>
        <v>Audiobook : Gayatri Yagya Vidhi : EP_62 : sanjayneha1@yahoo.com : Recorded</v>
      </c>
      <c r="CF747" s="1" t="str">
        <f ca="1">IFERROR(__xludf.DUMMYFUNCTION("""COMPUTED_VALUE"""),"#N/A")</f>
        <v>#N/A</v>
      </c>
      <c r="CG747" s="1" t="str">
        <f ca="1">IFERROR(__xludf.DUMMYFUNCTION("""COMPUTED_VALUE"""),"Adarniya Neha Manocha ji Gayatri Yagya Vidhi : EP_62 : Allocated on 17-Sep-23 Contact Number  16174130446")</f>
        <v>Adarniya Neha Manocha ji Gayatri Yagya Vidhi : EP_62 : Allocated on 17-Sep-23 Contact Number  16174130446</v>
      </c>
      <c r="CH747" s="1"/>
      <c r="CI747" s="1"/>
    </row>
    <row r="748" spans="1:87" x14ac:dyDescent="0.25">
      <c r="A748" s="5">
        <f ca="1">IFERROR(__xludf.DUMMYFUNCTION("""COMPUTED_VALUE"""),45185.8659080787)</f>
        <v>45185.865908078697</v>
      </c>
      <c r="B748" s="1" t="str">
        <f ca="1">IFERROR(__xludf.DUMMYFUNCTION("""COMPUTED_VALUE"""),"hemachopada@gmail.com")</f>
        <v>hemachopada@gmail.com</v>
      </c>
      <c r="C748" s="1" t="str">
        <f ca="1">IFERROR(__xludf.DUMMYFUNCTION("""COMPUTED_VALUE"""),"Mrs Hema Mahesh Chopada ")</f>
        <v xml:space="preserve">Mrs Hema Mahesh Chopada </v>
      </c>
      <c r="D748" s="1">
        <f ca="1">IFERROR(__xludf.DUMMYFUNCTION("""COMPUTED_VALUE"""),9975767575)</f>
        <v>9975767575</v>
      </c>
      <c r="E748" s="1" t="str">
        <f ca="1">IFERROR(__xludf.DUMMYFUNCTION("""COMPUTED_VALUE"""),"No")</f>
        <v>No</v>
      </c>
      <c r="F748" s="1" t="str">
        <f ca="1">IFERROR(__xludf.DUMMYFUNCTION("""COMPUTED_VALUE"""),"हिन्दी")</f>
        <v>हिन्दी</v>
      </c>
      <c r="G748" s="1" t="str">
        <f ca="1">IFERROR(__xludf.DUMMYFUNCTION("""COMPUTED_VALUE"""),"परिवार निर्माण")</f>
        <v>परिवार निर्माण</v>
      </c>
      <c r="H748" s="1"/>
      <c r="I748" s="1"/>
      <c r="J748" s="1"/>
      <c r="K748" s="1"/>
      <c r="L748" s="1"/>
      <c r="M748" s="1" t="str">
        <f ca="1">IFERROR(__xludf.DUMMYFUNCTION("""COMPUTED_VALUE"""),"गर्भ संस्कार")</f>
        <v>गर्भ संस्कार</v>
      </c>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f ca="1">IFERROR(__xludf.DUMMYFUNCTION("""COMPUTED_VALUE"""),2)</f>
        <v>2</v>
      </c>
      <c r="BX748" s="1">
        <f ca="1">IFERROR(__xludf.DUMMYFUNCTION("""COMPUTED_VALUE"""),1)</f>
        <v>1</v>
      </c>
      <c r="BY748" s="1">
        <f ca="1">IFERROR(__xludf.DUMMYFUNCTION("""COMPUTED_VALUE"""),1)</f>
        <v>1</v>
      </c>
      <c r="BZ748" s="1">
        <f ca="1">IFERROR(__xludf.DUMMYFUNCTION("""COMPUTED_VALUE"""),1)</f>
        <v>1</v>
      </c>
      <c r="CA748" s="1"/>
      <c r="CB748" s="5">
        <f ca="1">IFERROR(__xludf.DUMMYFUNCTION("""COMPUTED_VALUE"""),45195.8659080787)</f>
        <v>45195.865908078697</v>
      </c>
      <c r="CC748" s="1" t="str">
        <f ca="1">IFERROR(__xludf.DUMMYFUNCTION("""COMPUTED_VALUE"""),"संतान कितनी और क्यों पैदा करें : Rare Book")</f>
        <v>संतान कितनी और क्यों पैदा करें : Rare Book</v>
      </c>
      <c r="CD748" s="3" t="str">
        <f ca="1">IFERROR(__xludf.DUMMYFUNCTION("""COMPUTED_VALUE"""),"https://vicharkrantibooks.org/productdetail?book_name=HINF0255_SANTAN_KITANI_AUR_KYON_PAIDA_KAREN_xxyyyy&amp;product_id=475")</f>
        <v>https://vicharkrantibooks.org/productdetail?book_name=HINF0255_SANTAN_KITANI_AUR_KYON_PAIDA_KAREN_xxyyyy&amp;product_id=475</v>
      </c>
      <c r="CE748" s="1" t="str">
        <f ca="1">IFERROR(__xludf.DUMMYFUNCTION("""COMPUTED_VALUE"""),"Audiobook : संतान कितनी और क्यों पैदा करें : Rare Book : hemachopada@gmail.com : Recorded")</f>
        <v>Audiobook : संतान कितनी और क्यों पैदा करें : Rare Book : hemachopada@gmail.com : Recorded</v>
      </c>
      <c r="CF748" s="1" t="str">
        <f ca="1">IFERROR(__xludf.DUMMYFUNCTION("""COMPUTED_VALUE"""),"Audiobook : संतान कितनी और क्यों पैदा करें : Rare Book : hemachopada@gmail.com : Recorded")</f>
        <v>Audiobook : संतान कितनी और क्यों पैदा करें : Rare Book : hemachopada@gmail.com : Recorded</v>
      </c>
      <c r="CG748" s="1" t="str">
        <f ca="1">IFERROR(__xludf.DUMMYFUNCTION("""COMPUTED_VALUE"""),"Adarniya Mrs Hema Mahesh Chopada  ji संतान कितनी और क्यों पैदा करें : Rare Book : Allocated on 16-Sep-23 Contact Number  9975767575")</f>
        <v>Adarniya Mrs Hema Mahesh Chopada  ji संतान कितनी और क्यों पैदा करें : Rare Book : Allocated on 16-Sep-23 Contact Number  9975767575</v>
      </c>
      <c r="CH748" s="1"/>
      <c r="CI748" s="1"/>
    </row>
    <row r="749" spans="1:87" x14ac:dyDescent="0.25">
      <c r="A749" s="5">
        <f ca="1">IFERROR(__xludf.DUMMYFUNCTION("""COMPUTED_VALUE"""),45184.9158212847)</f>
        <v>45184.915821284703</v>
      </c>
      <c r="B749" s="1" t="str">
        <f ca="1">IFERROR(__xludf.DUMMYFUNCTION("""COMPUTED_VALUE"""),"druma4107@gmail.com")</f>
        <v>druma4107@gmail.com</v>
      </c>
      <c r="C749" s="1" t="str">
        <f ca="1">IFERROR(__xludf.DUMMYFUNCTION("""COMPUTED_VALUE"""),"Dr Uma Agrawal ")</f>
        <v xml:space="preserve">Dr Uma Agrawal </v>
      </c>
      <c r="D749" s="1">
        <f ca="1">IFERROR(__xludf.DUMMYFUNCTION("""COMPUTED_VALUE"""),9410861182)</f>
        <v>9410861182</v>
      </c>
      <c r="E749" s="1" t="str">
        <f ca="1">IFERROR(__xludf.DUMMYFUNCTION("""COMPUTED_VALUE"""),"Yes")</f>
        <v>Yes</v>
      </c>
      <c r="F749" s="1" t="str">
        <f ca="1">IFERROR(__xludf.DUMMYFUNCTION("""COMPUTED_VALUE"""),"हिन्दी")</f>
        <v>हिन्दी</v>
      </c>
      <c r="G749" s="1" t="str">
        <f ca="1">IFERROR(__xludf.DUMMYFUNCTION("""COMPUTED_VALUE"""),"जीवन प्रबंध")</f>
        <v>जीवन प्रबंध</v>
      </c>
      <c r="H749" s="1"/>
      <c r="I749" s="1"/>
      <c r="J749" s="1"/>
      <c r="K749" s="1"/>
      <c r="L749" s="1" t="str">
        <f ca="1">IFERROR(__xludf.DUMMYFUNCTION("""COMPUTED_VALUE"""),"मन की शक्ति एवं मनोविज्ञान")</f>
        <v>मन की शक्ति एवं मनोविज्ञान</v>
      </c>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f ca="1">IFERROR(__xludf.DUMMYFUNCTION("""COMPUTED_VALUE"""),104)</f>
        <v>104</v>
      </c>
      <c r="BX749" s="1">
        <f ca="1">IFERROR(__xludf.DUMMYFUNCTION("""COMPUTED_VALUE"""),106)</f>
        <v>106</v>
      </c>
      <c r="BY749" s="1">
        <f ca="1">IFERROR(__xludf.DUMMYFUNCTION("""COMPUTED_VALUE"""),9)</f>
        <v>9</v>
      </c>
      <c r="BZ749" s="1">
        <f ca="1">IFERROR(__xludf.DUMMYFUNCTION("""COMPUTED_VALUE"""),43)</f>
        <v>43</v>
      </c>
      <c r="CA749" s="1"/>
      <c r="CB749" s="5">
        <f ca="1">IFERROR(__xludf.DUMMYFUNCTION("""COMPUTED_VALUE"""),45194.9158212847)</f>
        <v>45194.915821284703</v>
      </c>
      <c r="CC749" s="1" t="str">
        <f ca="1">IFERROR(__xludf.DUMMYFUNCTION("""COMPUTED_VALUE"""),"आदर्श निष्ठा हमारे अतीत की गरीमा : Rare Book")</f>
        <v>आदर्श निष्ठा हमारे अतीत की गरीमा : Rare Book</v>
      </c>
      <c r="CD749" s="3" t="str">
        <f ca="1">IFERROR(__xludf.DUMMYFUNCTION("""COMPUTED_VALUE"""),"https://vicharkrantibooks.org/productdetail?book_name=HINF0004_ADARSH_NISHTHA_HAMARE_ATIT_KI_GARIMA_xxyyyy&amp;product_id=224")</f>
        <v>https://vicharkrantibooks.org/productdetail?book_name=HINF0004_ADARSH_NISHTHA_HAMARE_ATIT_KI_GARIMA_xxyyyy&amp;product_id=224</v>
      </c>
      <c r="CE749" s="1" t="str">
        <f ca="1">IFERROR(__xludf.DUMMYFUNCTION("""COMPUTED_VALUE"""),"Audiobook : आदर्श निष्ठा हमारे अतीत की गरीमा : Rare Book : druma4107@gmail.com : Recorded")</f>
        <v>Audiobook : आदर्श निष्ठा हमारे अतीत की गरीमा : Rare Book : druma4107@gmail.com : Recorded</v>
      </c>
      <c r="CF749" s="1" t="str">
        <f ca="1">IFERROR(__xludf.DUMMYFUNCTION("""COMPUTED_VALUE"""),"Audiobook : आदर्श निष्ठा हमारे अतीत की गरीमा : Rare Book : druma4107@gmail.com : Recorded")</f>
        <v>Audiobook : आदर्श निष्ठा हमारे अतीत की गरीमा : Rare Book : druma4107@gmail.com : Recorded</v>
      </c>
      <c r="CG749" s="1" t="str">
        <f ca="1">IFERROR(__xludf.DUMMYFUNCTION("""COMPUTED_VALUE"""),"Adarniya Dr Uma Agrawal  ji आदर्श निष्ठा हमारे अतीत की गरीमा : Rare Book : Allocated on 15-Sep-23 Contact Number  9410861182")</f>
        <v>Adarniya Dr Uma Agrawal  ji आदर्श निष्ठा हमारे अतीत की गरीमा : Rare Book : Allocated on 15-Sep-23 Contact Number  9410861182</v>
      </c>
      <c r="CH749" s="1"/>
      <c r="CI749" s="1"/>
    </row>
    <row r="750" spans="1:87" x14ac:dyDescent="0.25">
      <c r="A750" s="5">
        <f ca="1">IFERROR(__xludf.DUMMYFUNCTION("""COMPUTED_VALUE"""),45184.3000921527)</f>
        <v>45184.300092152698</v>
      </c>
      <c r="B750" s="1" t="str">
        <f ca="1">IFERROR(__xludf.DUMMYFUNCTION("""COMPUTED_VALUE"""),"brphodmba@gmail.com")</f>
        <v>brphodmba@gmail.com</v>
      </c>
      <c r="C750" s="1" t="str">
        <f ca="1">IFERROR(__xludf.DUMMYFUNCTION("""COMPUTED_VALUE"""),"Dr.Baidyanath Ram Prajapati phd ")</f>
        <v xml:space="preserve">Dr.Baidyanath Ram Prajapati phd </v>
      </c>
      <c r="D750" s="1">
        <f ca="1">IFERROR(__xludf.DUMMYFUNCTION("""COMPUTED_VALUE"""),9811724821)</f>
        <v>9811724821</v>
      </c>
      <c r="E750" s="1" t="str">
        <f ca="1">IFERROR(__xludf.DUMMYFUNCTION("""COMPUTED_VALUE"""),"No")</f>
        <v>No</v>
      </c>
      <c r="F750" s="1" t="str">
        <f ca="1">IFERROR(__xludf.DUMMYFUNCTION("""COMPUTED_VALUE"""),"हिन्दी or English")</f>
        <v>हिन्दी or English</v>
      </c>
      <c r="G750" s="1" t="str">
        <f ca="1">IFERROR(__xludf.DUMMYFUNCTION("""COMPUTED_VALUE"""),"अध्यात्म, धर्म एवं दर्शन")</f>
        <v>अध्यात्म, धर्म एवं दर्शन</v>
      </c>
      <c r="H750" s="1" t="str">
        <f ca="1">IFERROR(__xludf.DUMMYFUNCTION("""COMPUTED_VALUE"""),"अध्यात्म, धर्म एवं आस्तिकता")</f>
        <v>अध्यात्म, धर्म एवं आस्तिकता</v>
      </c>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f ca="1">IFERROR(__xludf.DUMMYFUNCTION("""COMPUTED_VALUE"""),12)</f>
        <v>12</v>
      </c>
      <c r="BX750" s="1">
        <f ca="1">IFERROR(__xludf.DUMMYFUNCTION("""COMPUTED_VALUE"""),10)</f>
        <v>10</v>
      </c>
      <c r="BY750" s="1">
        <f ca="1">IFERROR(__xludf.DUMMYFUNCTION("""COMPUTED_VALUE"""),4)</f>
        <v>4</v>
      </c>
      <c r="BZ750" s="1">
        <f ca="1">IFERROR(__xludf.DUMMYFUNCTION("""COMPUTED_VALUE"""),0)</f>
        <v>0</v>
      </c>
      <c r="CA750" s="1"/>
      <c r="CB750" s="5">
        <f ca="1">IFERROR(__xludf.DUMMYFUNCTION("""COMPUTED_VALUE"""),45194.3000921527)</f>
        <v>45194.300092152698</v>
      </c>
      <c r="CC750" s="1" t="str">
        <f ca="1">IFERROR(__xludf.DUMMYFUNCTION("""COMPUTED_VALUE"""),"अंतराल की वैभवपूर्ण सत्ता का जागरण उन्नयन : Rare Book")</f>
        <v>अंतराल की वैभवपूर्ण सत्ता का जागरण उन्नयन : Rare Book</v>
      </c>
      <c r="CD750" s="3" t="str">
        <f ca="1">IFERROR(__xludf.DUMMYFUNCTION("""COMPUTED_VALUE"""),"https://vicharkrantibooks.org/productdetail?book_name=HINF0029_ANTARAL_KI_VAIBHAVAPURN_SATTA_KA_JAGARAN_UNNAYAN_xxyyyy&amp;product_id=249")</f>
        <v>https://vicharkrantibooks.org/productdetail?book_name=HINF0029_ANTARAL_KI_VAIBHAVAPURN_SATTA_KA_JAGARAN_UNNAYAN_xxyyyy&amp;product_id=249</v>
      </c>
      <c r="CE750" s="1" t="str">
        <f ca="1">IFERROR(__xludf.DUMMYFUNCTION("""COMPUTED_VALUE"""),"Audiobook : अंतराल की वैभवपूर्ण सत्ता का जागरण उन्नयन : Rare Book : brphodmba@gmail.com : Recorded")</f>
        <v>Audiobook : अंतराल की वैभवपूर्ण सत्ता का जागरण उन्नयन : Rare Book : brphodmba@gmail.com : Recorded</v>
      </c>
      <c r="CF750" s="1" t="str">
        <f ca="1">IFERROR(__xludf.DUMMYFUNCTION("""COMPUTED_VALUE"""),"Audiobook : अंतराल की वैभवपूर्ण सत्ता का जागरण उन्नयन : Rare Book : brphodmba@gmail.com : Recorded")</f>
        <v>Audiobook : अंतराल की वैभवपूर्ण सत्ता का जागरण उन्नयन : Rare Book : brphodmba@gmail.com : Recorded</v>
      </c>
      <c r="CG750" s="1" t="str">
        <f ca="1">IFERROR(__xludf.DUMMYFUNCTION("""COMPUTED_VALUE"""),"Adarniya Dr.Baidyanath Ram Prajapati phd  ji अंतराल की वैभवपूर्ण सत्ता का जागरण उन्नयन : Rare Book : Allocated on 15-Sep-23 Contact Number  9811724821")</f>
        <v>Adarniya Dr.Baidyanath Ram Prajapati phd  ji अंतराल की वैभवपूर्ण सत्ता का जागरण उन्नयन : Rare Book : Allocated on 15-Sep-23 Contact Number  9811724821</v>
      </c>
      <c r="CH750" s="1"/>
      <c r="CI750" s="1"/>
    </row>
    <row r="751" spans="1:87" x14ac:dyDescent="0.25">
      <c r="A751" s="5">
        <f ca="1">IFERROR(__xludf.DUMMYFUNCTION("""COMPUTED_VALUE"""),45183.7632781481)</f>
        <v>45183.763278148101</v>
      </c>
      <c r="B751" s="1" t="str">
        <f ca="1">IFERROR(__xludf.DUMMYFUNCTION("""COMPUTED_VALUE"""),"shrutidube.86@gmail.com")</f>
        <v>shrutidube.86@gmail.com</v>
      </c>
      <c r="C751" s="1" t="str">
        <f ca="1">IFERROR(__xludf.DUMMYFUNCTION("""COMPUTED_VALUE"""),"Shruti")</f>
        <v>Shruti</v>
      </c>
      <c r="D751" s="1">
        <f ca="1">IFERROR(__xludf.DUMMYFUNCTION("""COMPUTED_VALUE"""),7021294023)</f>
        <v>7021294023</v>
      </c>
      <c r="E751" s="1" t="str">
        <f ca="1">IFERROR(__xludf.DUMMYFUNCTION("""COMPUTED_VALUE"""),"Yes")</f>
        <v>Yes</v>
      </c>
      <c r="F751" s="1" t="str">
        <f ca="1">IFERROR(__xludf.DUMMYFUNCTION("""COMPUTED_VALUE"""),"English")</f>
        <v>English</v>
      </c>
      <c r="G751" s="1" t="str">
        <f ca="1">IFERROR(__xludf.DUMMYFUNCTION("""COMPUTED_VALUE"""),"English")</f>
        <v>English</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f ca="1">IFERROR(__xludf.DUMMYFUNCTION("""COMPUTED_VALUE"""),8)</f>
        <v>8</v>
      </c>
      <c r="BX751" s="1">
        <f ca="1">IFERROR(__xludf.DUMMYFUNCTION("""COMPUTED_VALUE"""),4)</f>
        <v>4</v>
      </c>
      <c r="BY751" s="1">
        <f ca="1">IFERROR(__xludf.DUMMYFUNCTION("""COMPUTED_VALUE"""),4)</f>
        <v>4</v>
      </c>
      <c r="BZ751" s="1">
        <f ca="1">IFERROR(__xludf.DUMMYFUNCTION("""COMPUTED_VALUE"""),1)</f>
        <v>1</v>
      </c>
      <c r="CA751" s="1"/>
      <c r="CB751" s="5">
        <f ca="1">IFERROR(__xludf.DUMMYFUNCTION("""COMPUTED_VALUE"""),45193.7632781481)</f>
        <v>45193.763278148101</v>
      </c>
      <c r="CC751" s="1" t="str">
        <f ca="1">IFERROR(__xludf.DUMMYFUNCTION("""COMPUTED_VALUE"""),"The Meaning Purpose And Benefits Of Worship : EP_69")</f>
        <v>The Meaning Purpose And Benefits Of Worship : EP_69</v>
      </c>
      <c r="CD751" s="3" t="str">
        <f ca="1">IFERROR(__xludf.DUMMYFUNCTION("""COMPUTED_VALUE"""),"https://vicharkrantibooks.org/productdetail?book_name=ENGR1434_THE_MEANING_PURPOSE_AND_BENEFITS_OF_WORSHIP_RE2011&amp;product_id=3459")</f>
        <v>https://vicharkrantibooks.org/productdetail?book_name=ENGR1434_THE_MEANING_PURPOSE_AND_BENEFITS_OF_WORSHIP_RE2011&amp;product_id=3459</v>
      </c>
      <c r="CE751" s="1" t="str">
        <f ca="1">IFERROR(__xludf.DUMMYFUNCTION("""COMPUTED_VALUE"""),"Audiobook : The Meaning Purpose And Benefits Of Worship : EP_69 : shrutidube.86@gmail.com : Recorded")</f>
        <v>Audiobook : The Meaning Purpose And Benefits Of Worship : EP_69 : shrutidube.86@gmail.com : Recorded</v>
      </c>
      <c r="CF751" s="1" t="str">
        <f ca="1">IFERROR(__xludf.DUMMYFUNCTION("""COMPUTED_VALUE"""),"#N/A")</f>
        <v>#N/A</v>
      </c>
      <c r="CG751" s="1" t="str">
        <f ca="1">IFERROR(__xludf.DUMMYFUNCTION("""COMPUTED_VALUE"""),"Adarniya Shruti ji The Meaning Purpose And Benefits Of Worship : EP_69 : Allocated on 14-Sep-23 Contact Number  7021294023")</f>
        <v>Adarniya Shruti ji The Meaning Purpose And Benefits Of Worship : EP_69 : Allocated on 14-Sep-23 Contact Number  7021294023</v>
      </c>
      <c r="CH751" s="1"/>
      <c r="CI751" s="1"/>
    </row>
    <row r="752" spans="1:87" x14ac:dyDescent="0.25">
      <c r="A752" s="5">
        <f ca="1">IFERROR(__xludf.DUMMYFUNCTION("""COMPUTED_VALUE"""),45183.6539701157)</f>
        <v>45183.653970115702</v>
      </c>
      <c r="B752" s="1" t="str">
        <f ca="1">IFERROR(__xludf.DUMMYFUNCTION("""COMPUTED_VALUE"""),"ojhakrishna2310@gmail.com")</f>
        <v>ojhakrishna2310@gmail.com</v>
      </c>
      <c r="C752" s="1" t="str">
        <f ca="1">IFERROR(__xludf.DUMMYFUNCTION("""COMPUTED_VALUE"""),"Krishna ojha")</f>
        <v>Krishna ojha</v>
      </c>
      <c r="D752" s="1">
        <f ca="1">IFERROR(__xludf.DUMMYFUNCTION("""COMPUTED_VALUE"""),9637907058)</f>
        <v>9637907058</v>
      </c>
      <c r="E752" s="1" t="str">
        <f ca="1">IFERROR(__xludf.DUMMYFUNCTION("""COMPUTED_VALUE"""),"Yes")</f>
        <v>Yes</v>
      </c>
      <c r="F752" s="1" t="str">
        <f ca="1">IFERROR(__xludf.DUMMYFUNCTION("""COMPUTED_VALUE"""),"हिन्दी")</f>
        <v>हिन्दी</v>
      </c>
      <c r="G752" s="1" t="str">
        <f ca="1">IFERROR(__xludf.DUMMYFUNCTION("""COMPUTED_VALUE"""),"भारतीय संस्कृति")</f>
        <v>भारतीय संस्कृति</v>
      </c>
      <c r="H752" s="1"/>
      <c r="I752" s="1"/>
      <c r="J752" s="1"/>
      <c r="K752" s="1"/>
      <c r="L752" s="1"/>
      <c r="M752" s="1"/>
      <c r="N752" s="1"/>
      <c r="O752" s="1" t="str">
        <f ca="1">IFERROR(__xludf.DUMMYFUNCTION("""COMPUTED_VALUE"""),"भारतीय संस्कृति")</f>
        <v>भारतीय संस्कृति</v>
      </c>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f ca="1">IFERROR(__xludf.DUMMYFUNCTION("""COMPUTED_VALUE"""),13)</f>
        <v>13</v>
      </c>
      <c r="BX752" s="1">
        <f ca="1">IFERROR(__xludf.DUMMYFUNCTION("""COMPUTED_VALUE"""),6)</f>
        <v>6</v>
      </c>
      <c r="BY752" s="1">
        <f ca="1">IFERROR(__xludf.DUMMYFUNCTION("""COMPUTED_VALUE"""),8)</f>
        <v>8</v>
      </c>
      <c r="BZ752" s="1">
        <f ca="1">IFERROR(__xludf.DUMMYFUNCTION("""COMPUTED_VALUE"""),0)</f>
        <v>0</v>
      </c>
      <c r="CA752" s="1"/>
      <c r="CB752" s="5">
        <f ca="1">IFERROR(__xludf.DUMMYFUNCTION("""COMPUTED_VALUE"""),45193.6539701157)</f>
        <v>45193.653970115702</v>
      </c>
      <c r="CC752" s="1" t="str">
        <f ca="1">IFERROR(__xludf.DUMMYFUNCTION("""COMPUTED_VALUE"""),"गायत्री एकमुखी और पंचमुखी : Rare Book")</f>
        <v>गायत्री एकमुखी और पंचमुखी : Rare Book</v>
      </c>
      <c r="CD752" s="3" t="str">
        <f ca="1">IFERROR(__xludf.DUMMYFUNCTION("""COMPUTED_VALUE"""),"https://vicharkrantibooks.org/productdetail?book_name=HINP1107_GAYATRI_EKMUKHI_AUR_PANCHAMUKHI_xx1979&amp;product_id=1672")</f>
        <v>https://vicharkrantibooks.org/productdetail?book_name=HINP1107_GAYATRI_EKMUKHI_AUR_PANCHAMUKHI_xx1979&amp;product_id=1672</v>
      </c>
      <c r="CE752" s="1" t="str">
        <f ca="1">IFERROR(__xludf.DUMMYFUNCTION("""COMPUTED_VALUE"""),"Audiobook : गायत्री एकमुखी और पंचमुखी : Rare Book : ojhakrishna2310@gmail.com : Recorded")</f>
        <v>Audiobook : गायत्री एकमुखी और पंचमुखी : Rare Book : ojhakrishna2310@gmail.com : Recorded</v>
      </c>
      <c r="CF752" s="1" t="str">
        <f ca="1">IFERROR(__xludf.DUMMYFUNCTION("""COMPUTED_VALUE"""),"#N/A")</f>
        <v>#N/A</v>
      </c>
      <c r="CG752" s="1" t="str">
        <f ca="1">IFERROR(__xludf.DUMMYFUNCTION("""COMPUTED_VALUE"""),"Adarniya Krishna ojha ji गायत्री एकमुखी और पंचमुखी : Rare Book : Allocated on 14-Sep-23 Contact Number  9637907058")</f>
        <v>Adarniya Krishna ojha ji गायत्री एकमुखी और पंचमुखी : Rare Book : Allocated on 14-Sep-23 Contact Number  9637907058</v>
      </c>
      <c r="CH752" s="1"/>
      <c r="CI752" s="1"/>
    </row>
    <row r="753" spans="1:87" x14ac:dyDescent="0.25">
      <c r="A753" s="5">
        <f ca="1">IFERROR(__xludf.DUMMYFUNCTION("""COMPUTED_VALUE"""),45183.6363736342)</f>
        <v>45183.636373634203</v>
      </c>
      <c r="B753" s="1" t="str">
        <f ca="1">IFERROR(__xludf.DUMMYFUNCTION("""COMPUTED_VALUE"""),"guptarakhi072@gmail.com")</f>
        <v>guptarakhi072@gmail.com</v>
      </c>
      <c r="C753" s="1" t="str">
        <f ca="1">IFERROR(__xludf.DUMMYFUNCTION("""COMPUTED_VALUE"""),"Rakhi gupta ")</f>
        <v xml:space="preserve">Rakhi gupta </v>
      </c>
      <c r="D753" s="1">
        <f ca="1">IFERROR(__xludf.DUMMYFUNCTION("""COMPUTED_VALUE"""),8128540757)</f>
        <v>8128540757</v>
      </c>
      <c r="E753" s="1" t="str">
        <f ca="1">IFERROR(__xludf.DUMMYFUNCTION("""COMPUTED_VALUE"""),"Yes")</f>
        <v>Yes</v>
      </c>
      <c r="F753" s="1" t="str">
        <f ca="1">IFERROR(__xludf.DUMMYFUNCTION("""COMPUTED_VALUE"""),"हिन्दी")</f>
        <v>हिन्दी</v>
      </c>
      <c r="G753" s="1" t="str">
        <f ca="1">IFERROR(__xludf.DUMMYFUNCTION("""COMPUTED_VALUE"""),"युग द्रष्टा पं. श्रीराम शर्मा आचार्यजी")</f>
        <v>युग द्रष्टा पं. श्रीराम शर्मा आचार्यजी</v>
      </c>
      <c r="H753" s="1"/>
      <c r="I753" s="1"/>
      <c r="J753" s="1"/>
      <c r="K753" s="1"/>
      <c r="L753" s="1"/>
      <c r="M753" s="1"/>
      <c r="N753" s="1"/>
      <c r="O753" s="1"/>
      <c r="P753" s="1" t="str">
        <f ca="1">IFERROR(__xludf.DUMMYFUNCTION("""COMPUTED_VALUE"""),"युगॠषी का जीवनदर्शन")</f>
        <v>युगॠषी का जीवनदर्शन</v>
      </c>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f ca="1">IFERROR(__xludf.DUMMYFUNCTION("""COMPUTED_VALUE"""),21)</f>
        <v>21</v>
      </c>
      <c r="BX753" s="1">
        <f ca="1">IFERROR(__xludf.DUMMYFUNCTION("""COMPUTED_VALUE"""),20)</f>
        <v>20</v>
      </c>
      <c r="BY753" s="1">
        <f ca="1">IFERROR(__xludf.DUMMYFUNCTION("""COMPUTED_VALUE"""),2)</f>
        <v>2</v>
      </c>
      <c r="BZ753" s="1">
        <f ca="1">IFERROR(__xludf.DUMMYFUNCTION("""COMPUTED_VALUE"""),14)</f>
        <v>14</v>
      </c>
      <c r="CA753" s="1"/>
      <c r="CB753" s="5">
        <f ca="1">IFERROR(__xludf.DUMMYFUNCTION("""COMPUTED_VALUE"""),45193.6363736342)</f>
        <v>45193.636373634203</v>
      </c>
      <c r="CC753" s="1" t="str">
        <f ca="1">IFERROR(__xludf.DUMMYFUNCTION("""COMPUTED_VALUE"""),"युग ऋषि की अपेक्षाएँ हम सबसे : H_SC_06")</f>
        <v>युग ऋषि की अपेक्षाएँ हम सबसे : H_SC_06</v>
      </c>
      <c r="CD753" s="3" t="str">
        <f ca="1">IFERROR(__xludf.DUMMYFUNCTION("""COMPUTED_VALUE"""),"https://vicharkrantibooks.org/productdetail?book_name=HINP1061_YUG_RUSHI_KI_APEKSHAEN_HAM_SABASE_xxyyyy&amp;product_id=1626")</f>
        <v>https://vicharkrantibooks.org/productdetail?book_name=HINP1061_YUG_RUSHI_KI_APEKSHAEN_HAM_SABASE_xxyyyy&amp;product_id=1626</v>
      </c>
      <c r="CE753" s="1" t="str">
        <f ca="1">IFERROR(__xludf.DUMMYFUNCTION("""COMPUTED_VALUE"""),"Audiobook : युग ऋषि की अपेक्षाएँ हम सबसे : H_SC_06 : guptarakhi072@gmail.com : Recorded")</f>
        <v>Audiobook : युग ऋषि की अपेक्षाएँ हम सबसे : H_SC_06 : guptarakhi072@gmail.com : Recorded</v>
      </c>
      <c r="CF753" s="1" t="str">
        <f ca="1">IFERROR(__xludf.DUMMYFUNCTION("""COMPUTED_VALUE"""),"Audiobook : युग ऋषि की अपेक्षाएँ हम सबसे : H_SC_06 : guptarakhi072@gmail.com : Recorded")</f>
        <v>Audiobook : युग ऋषि की अपेक्षाएँ हम सबसे : H_SC_06 : guptarakhi072@gmail.com : Recorded</v>
      </c>
      <c r="CG753" s="1" t="str">
        <f ca="1">IFERROR(__xludf.DUMMYFUNCTION("""COMPUTED_VALUE"""),"Adarniya Rakhi gupta  ji युग ऋषि की अपेक्षाएँ हम सबसे : H_SC_06 : Allocated on 14-Sep-23 Contact Number  8128540757")</f>
        <v>Adarniya Rakhi gupta  ji युग ऋषि की अपेक्षाएँ हम सबसे : H_SC_06 : Allocated on 14-Sep-23 Contact Number  8128540757</v>
      </c>
      <c r="CH753" s="1"/>
      <c r="CI753" s="1"/>
    </row>
    <row r="754" spans="1:87" x14ac:dyDescent="0.25">
      <c r="A754" s="5">
        <f ca="1">IFERROR(__xludf.DUMMYFUNCTION("""COMPUTED_VALUE"""),45183.4634910763)</f>
        <v>45183.463491076298</v>
      </c>
      <c r="B754" s="1" t="str">
        <f ca="1">IFERROR(__xludf.DUMMYFUNCTION("""COMPUTED_VALUE"""),"subhashbaghelkar@gmail.com")</f>
        <v>subhashbaghelkar@gmail.com</v>
      </c>
      <c r="C754" s="1" t="str">
        <f ca="1">IFERROR(__xludf.DUMMYFUNCTION("""COMPUTED_VALUE"""),"सुभाष बघेलकर")</f>
        <v>सुभाष बघेलकर</v>
      </c>
      <c r="D754" s="1">
        <f ca="1">IFERROR(__xludf.DUMMYFUNCTION("""COMPUTED_VALUE"""),8800989458)</f>
        <v>8800989458</v>
      </c>
      <c r="E754" s="1" t="str">
        <f ca="1">IFERROR(__xludf.DUMMYFUNCTION("""COMPUTED_VALUE"""),"Yes")</f>
        <v>Yes</v>
      </c>
      <c r="F754" s="1" t="str">
        <f ca="1">IFERROR(__xludf.DUMMYFUNCTION("""COMPUTED_VALUE"""),"English")</f>
        <v>English</v>
      </c>
      <c r="G754" s="1" t="str">
        <f ca="1">IFERROR(__xludf.DUMMYFUNCTION("""COMPUTED_VALUE"""),"English")</f>
        <v>English</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f ca="1">IFERROR(__xludf.DUMMYFUNCTION("""COMPUTED_VALUE"""),4)</f>
        <v>4</v>
      </c>
      <c r="BX754" s="1">
        <f ca="1">IFERROR(__xludf.DUMMYFUNCTION("""COMPUTED_VALUE"""),3)</f>
        <v>3</v>
      </c>
      <c r="BY754" s="1">
        <f ca="1">IFERROR(__xludf.DUMMYFUNCTION("""COMPUTED_VALUE"""),2)</f>
        <v>2</v>
      </c>
      <c r="BZ754" s="1">
        <f ca="1">IFERROR(__xludf.DUMMYFUNCTION("""COMPUTED_VALUE"""),0)</f>
        <v>0</v>
      </c>
      <c r="CA754" s="1"/>
      <c r="CB754" s="5">
        <f ca="1">IFERROR(__xludf.DUMMYFUNCTION("""COMPUTED_VALUE"""),45193.4634910763)</f>
        <v>45193.463491076298</v>
      </c>
      <c r="CC754" s="1" t="str">
        <f ca="1">IFERROR(__xludf.DUMMYFUNCTION("""COMPUTED_VALUE"""),"Elite Should Come Forward To Manage The religious Set up : EP_09")</f>
        <v>Elite Should Come Forward To Manage The religious Set up : EP_09</v>
      </c>
      <c r="CD754" s="3" t="str">
        <f ca="1">IFERROR(__xludf.DUMMYFUNCTION("""COMPUTED_VALUE"""),"https://vicharkrantibooks.org/productdetail?book_name=ENGR0976_ELITE_SHOULD_COME_FORWARD_TO_MANAGE_THE_RELIGIOUS_SET_UP_RE2011&amp;product_id=3402")</f>
        <v>https://vicharkrantibooks.org/productdetail?book_name=ENGR0976_ELITE_SHOULD_COME_FORWARD_TO_MANAGE_THE_RELIGIOUS_SET_UP_RE2011&amp;product_id=3402</v>
      </c>
      <c r="CE754" s="1" t="str">
        <f ca="1">IFERROR(__xludf.DUMMYFUNCTION("""COMPUTED_VALUE"""),"Audiobook : Elite Should Come Forward To Manage The religious Set up : EP_09 : subhashbaghelkar@gmail.com : Recorded")</f>
        <v>Audiobook : Elite Should Come Forward To Manage The religious Set up : EP_09 : subhashbaghelkar@gmail.com : Recorded</v>
      </c>
      <c r="CF754" s="1" t="str">
        <f ca="1">IFERROR(__xludf.DUMMYFUNCTION("""COMPUTED_VALUE"""),"Audiobook : Elite Should Come Forward To Manage The religious Set up : EP_09 : subhashbaghelkar@gmail.com : Recorded")</f>
        <v>Audiobook : Elite Should Come Forward To Manage The religious Set up : EP_09 : subhashbaghelkar@gmail.com : Recorded</v>
      </c>
      <c r="CG754" s="1" t="str">
        <f ca="1">IFERROR(__xludf.DUMMYFUNCTION("""COMPUTED_VALUE"""),"Adarniya सुभाष बघेलकर ji Elite Should Come Forward To Manage The religious Set up : EP_09 : Allocated on 14-Sep-23 Contact Number  8800989458")</f>
        <v>Adarniya सुभाष बघेलकर ji Elite Should Come Forward To Manage The religious Set up : EP_09 : Allocated on 14-Sep-23 Contact Number  8800989458</v>
      </c>
      <c r="CH754" s="1"/>
      <c r="CI754" s="1"/>
    </row>
    <row r="755" spans="1:87" x14ac:dyDescent="0.25">
      <c r="A755" s="5">
        <f ca="1">IFERROR(__xludf.DUMMYFUNCTION("""COMPUTED_VALUE"""),45183.0042544328)</f>
        <v>45183.004254432803</v>
      </c>
      <c r="B755" s="1" t="str">
        <f ca="1">IFERROR(__xludf.DUMMYFUNCTION("""COMPUTED_VALUE"""),"ojhakrishna@gmail.com")</f>
        <v>ojhakrishna@gmail.com</v>
      </c>
      <c r="C755" s="1" t="str">
        <f ca="1">IFERROR(__xludf.DUMMYFUNCTION("""COMPUTED_VALUE"""),"Krishna arunkumar ojha")</f>
        <v>Krishna arunkumar ojha</v>
      </c>
      <c r="D755" s="1">
        <f ca="1">IFERROR(__xludf.DUMMYFUNCTION("""COMPUTED_VALUE"""),9637907058)</f>
        <v>9637907058</v>
      </c>
      <c r="E755" s="1" t="str">
        <f ca="1">IFERROR(__xludf.DUMMYFUNCTION("""COMPUTED_VALUE"""),"Yes")</f>
        <v>Yes</v>
      </c>
      <c r="F755" s="1" t="str">
        <f ca="1">IFERROR(__xludf.DUMMYFUNCTION("""COMPUTED_VALUE"""),"हिन्दी")</f>
        <v>हिन्दी</v>
      </c>
      <c r="G755" s="1" t="str">
        <f ca="1">IFERROR(__xludf.DUMMYFUNCTION("""COMPUTED_VALUE"""),"भारतीय संस्कृति")</f>
        <v>भारतीय संस्कृति</v>
      </c>
      <c r="H755" s="1"/>
      <c r="I755" s="1"/>
      <c r="J755" s="1"/>
      <c r="K755" s="1"/>
      <c r="L755" s="1"/>
      <c r="M755" s="1"/>
      <c r="N755" s="1"/>
      <c r="O755" s="1" t="str">
        <f ca="1">IFERROR(__xludf.DUMMYFUNCTION("""COMPUTED_VALUE"""),"भारतीय संस्कृति")</f>
        <v>भारतीय संस्कृति</v>
      </c>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f ca="1">IFERROR(__xludf.DUMMYFUNCTION("""COMPUTED_VALUE"""),1)</f>
        <v>1</v>
      </c>
      <c r="BX755" s="1">
        <f ca="1">IFERROR(__xludf.DUMMYFUNCTION("""COMPUTED_VALUE"""),0)</f>
        <v>0</v>
      </c>
      <c r="BY755" s="1">
        <f ca="1">IFERROR(__xludf.DUMMYFUNCTION("""COMPUTED_VALUE"""),1)</f>
        <v>1</v>
      </c>
      <c r="BZ755" s="1">
        <f ca="1">IFERROR(__xludf.DUMMYFUNCTION("""COMPUTED_VALUE"""),0)</f>
        <v>0</v>
      </c>
      <c r="CA755" s="1"/>
      <c r="CB755" s="5">
        <f ca="1">IFERROR(__xludf.DUMMYFUNCTION("""COMPUTED_VALUE"""),45193.0042544328)</f>
        <v>45193.004254432803</v>
      </c>
      <c r="CC755" s="1" t="str">
        <f ca="1">IFERROR(__xludf.DUMMYFUNCTION("""COMPUTED_VALUE"""),"गायत्री के पाँच मुख पाँच दिव्य कोष : Rare Book")</f>
        <v>गायत्री के पाँच मुख पाँच दिव्य कोष : Rare Book</v>
      </c>
      <c r="CD755" s="3" t="str">
        <f ca="1">IFERROR(__xludf.DUMMYFUNCTION("""COMPUTED_VALUE"""),"https://vicharkrantibooks.org/productdetail?book_name=HINR0426_GAYATRI_KE_PANCH_MUKH_PANCH_DIVY_KOSH_xx2010&amp;product_id=2111")</f>
        <v>https://vicharkrantibooks.org/productdetail?book_name=HINR0426_GAYATRI_KE_PANCH_MUKH_PANCH_DIVY_KOSH_xx2010&amp;product_id=2111</v>
      </c>
      <c r="CE755" s="1" t="str">
        <f ca="1">IFERROR(__xludf.DUMMYFUNCTION("""COMPUTED_VALUE"""),"Audiobook : गायत्री के पाँच मुख पाँच दिव्य कोष : Rare Book : ojhakrishna@gmail.com : Recorded")</f>
        <v>Audiobook : गायत्री के पाँच मुख पाँच दिव्य कोष : Rare Book : ojhakrishna@gmail.com : Recorded</v>
      </c>
      <c r="CF755" s="1" t="str">
        <f ca="1">IFERROR(__xludf.DUMMYFUNCTION("""COMPUTED_VALUE"""),"#N/A")</f>
        <v>#N/A</v>
      </c>
      <c r="CG755" s="1" t="str">
        <f ca="1">IFERROR(__xludf.DUMMYFUNCTION("""COMPUTED_VALUE"""),"Adarniya Krishna arunkumar ojha ji गायत्री के पाँच मुख पाँच दिव्य कोष : Rare Book : Allocated on 14-Sep-23 Contact Number  9637907058")</f>
        <v>Adarniya Krishna arunkumar ojha ji गायत्री के पाँच मुख पाँच दिव्य कोष : Rare Book : Allocated on 14-Sep-23 Contact Number  9637907058</v>
      </c>
      <c r="CH755" s="1"/>
      <c r="CI755" s="1"/>
    </row>
    <row r="756" spans="1:87" x14ac:dyDescent="0.25">
      <c r="A756" s="5">
        <f ca="1">IFERROR(__xludf.DUMMYFUNCTION("""COMPUTED_VALUE"""),45181.7572289467)</f>
        <v>45181.757228946699</v>
      </c>
      <c r="B756" s="1" t="str">
        <f ca="1">IFERROR(__xludf.DUMMYFUNCTION("""COMPUTED_VALUE"""),"jamunashukla17@gmail.com")</f>
        <v>jamunashukla17@gmail.com</v>
      </c>
      <c r="C756" s="1" t="str">
        <f ca="1">IFERROR(__xludf.DUMMYFUNCTION("""COMPUTED_VALUE"""),"Smt J S Shukla")</f>
        <v>Smt J S Shukla</v>
      </c>
      <c r="D756" s="1">
        <f ca="1">IFERROR(__xludf.DUMMYFUNCTION("""COMPUTED_VALUE"""),8390353167)</f>
        <v>8390353167</v>
      </c>
      <c r="E756" s="1" t="str">
        <f ca="1">IFERROR(__xludf.DUMMYFUNCTION("""COMPUTED_VALUE"""),"Yes")</f>
        <v>Yes</v>
      </c>
      <c r="F756" s="1" t="str">
        <f ca="1">IFERROR(__xludf.DUMMYFUNCTION("""COMPUTED_VALUE"""),"हिन्दी")</f>
        <v>हिन्दी</v>
      </c>
      <c r="G756" s="1" t="str">
        <f ca="1">IFERROR(__xludf.DUMMYFUNCTION("""COMPUTED_VALUE"""),"अध्यात्म, धर्म एवं दर्शन")</f>
        <v>अध्यात्म, धर्म एवं दर्शन</v>
      </c>
      <c r="H756" s="1" t="str">
        <f ca="1">IFERROR(__xludf.DUMMYFUNCTION("""COMPUTED_VALUE"""),"अध्यात्म, धर्म एवं आस्तिकता")</f>
        <v>अध्यात्म, धर्म एवं आस्तिकता</v>
      </c>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f ca="1">IFERROR(__xludf.DUMMYFUNCTION("""COMPUTED_VALUE"""),53)</f>
        <v>53</v>
      </c>
      <c r="BX756" s="1">
        <f ca="1">IFERROR(__xludf.DUMMYFUNCTION("""COMPUTED_VALUE"""),53)</f>
        <v>53</v>
      </c>
      <c r="BY756" s="1">
        <f ca="1">IFERROR(__xludf.DUMMYFUNCTION("""COMPUTED_VALUE"""),9)</f>
        <v>9</v>
      </c>
      <c r="BZ756" s="1">
        <f ca="1">IFERROR(__xludf.DUMMYFUNCTION("""COMPUTED_VALUE"""),25)</f>
        <v>25</v>
      </c>
      <c r="CA756" s="1"/>
      <c r="CB756" s="5">
        <f ca="1">IFERROR(__xludf.DUMMYFUNCTION("""COMPUTED_VALUE"""),45191.7572289467)</f>
        <v>45191.757228946699</v>
      </c>
      <c r="CC756" s="1" t="str">
        <f ca="1">IFERROR(__xludf.DUMMYFUNCTION("""COMPUTED_VALUE"""),"प्रायश्चित विधान से ब्रह्मवर्चस की प्राप्ति : H_SA_33")</f>
        <v>प्रायश्चित विधान से ब्रह्मवर्चस की प्राप्ति : H_SA_33</v>
      </c>
      <c r="CD756" s="3" t="str">
        <f ca="1">IFERROR(__xludf.DUMMYFUNCTION("""COMPUTED_VALUE"""),"https://vicharkrantibooks.org/productdetail?book_name=HINP0687_PRAYASHCHIT_VIDHAN_SE_BRAHMAVARCHAS_KI_PRAPTI_xxyyyy&amp;product_id=1252")</f>
        <v>https://vicharkrantibooks.org/productdetail?book_name=HINP0687_PRAYASHCHIT_VIDHAN_SE_BRAHMAVARCHAS_KI_PRAPTI_xxyyyy&amp;product_id=1252</v>
      </c>
      <c r="CE756" s="1" t="str">
        <f ca="1">IFERROR(__xludf.DUMMYFUNCTION("""COMPUTED_VALUE"""),"Audiobook : प्रायश्चित विधान से ब्रह्मवर्चस की प्राप्ति : H_SA_33 : jamunashukla17@gmail.com : Recorded")</f>
        <v>Audiobook : प्रायश्चित विधान से ब्रह्मवर्चस की प्राप्ति : H_SA_33 : jamunashukla17@gmail.com : Recorded</v>
      </c>
      <c r="CF756" s="1" t="str">
        <f ca="1">IFERROR(__xludf.DUMMYFUNCTION("""COMPUTED_VALUE"""),"Audiobook : प्रायश्चित विधान से ब्रह्मवर्चस की प्राप्ति : H_SA_33 : jamunashukla17@gmail.com : Recorded")</f>
        <v>Audiobook : प्रायश्चित विधान से ब्रह्मवर्चस की प्राप्ति : H_SA_33 : jamunashukla17@gmail.com : Recorded</v>
      </c>
      <c r="CG756" s="1" t="str">
        <f ca="1">IFERROR(__xludf.DUMMYFUNCTION("""COMPUTED_VALUE"""),"Adarniya Smt J S Shukla ji प्रायश्चित विधान से ब्रह्मवर्चस की प्राप्ति : H_SA_33 : Allocated on 12-Sep-23 Contact Number  8390353167")</f>
        <v>Adarniya Smt J S Shukla ji प्रायश्चित विधान से ब्रह्मवर्चस की प्राप्ति : H_SA_33 : Allocated on 12-Sep-23 Contact Number  8390353167</v>
      </c>
      <c r="CH756" s="1"/>
      <c r="CI756" s="1"/>
    </row>
    <row r="757" spans="1:87" x14ac:dyDescent="0.25">
      <c r="A757" s="5">
        <f ca="1">IFERROR(__xludf.DUMMYFUNCTION("""COMPUTED_VALUE"""),45181.6212302777)</f>
        <v>45181.621230277698</v>
      </c>
      <c r="B757" s="1" t="str">
        <f ca="1">IFERROR(__xludf.DUMMYFUNCTION("""COMPUTED_VALUE"""),"rbbansalriya@gmail.com")</f>
        <v>rbbansalriya@gmail.com</v>
      </c>
      <c r="C757" s="1" t="str">
        <f ca="1">IFERROR(__xludf.DUMMYFUNCTION("""COMPUTED_VALUE"""),"Riya bansal ")</f>
        <v xml:space="preserve">Riya bansal </v>
      </c>
      <c r="D757" s="1">
        <f ca="1">IFERROR(__xludf.DUMMYFUNCTION("""COMPUTED_VALUE"""),9176361023)</f>
        <v>9176361023</v>
      </c>
      <c r="E757" s="1" t="str">
        <f ca="1">IFERROR(__xludf.DUMMYFUNCTION("""COMPUTED_VALUE"""),"Yes")</f>
        <v>Yes</v>
      </c>
      <c r="F757" s="1" t="str">
        <f ca="1">IFERROR(__xludf.DUMMYFUNCTION("""COMPUTED_VALUE"""),"हिन्दी")</f>
        <v>हिन्दी</v>
      </c>
      <c r="G757" s="1" t="str">
        <f ca="1">IFERROR(__xludf.DUMMYFUNCTION("""COMPUTED_VALUE"""),"समाज निर्माण")</f>
        <v>समाज निर्माण</v>
      </c>
      <c r="H757" s="1"/>
      <c r="I757" s="1"/>
      <c r="J757" s="1"/>
      <c r="K757" s="1"/>
      <c r="L757" s="1"/>
      <c r="M757" s="1"/>
      <c r="N757" s="1"/>
      <c r="O757" s="1"/>
      <c r="P757" s="1"/>
      <c r="Q757" s="1"/>
      <c r="R757" s="1"/>
      <c r="S757" s="1"/>
      <c r="T757" s="1"/>
      <c r="U757" s="1"/>
      <c r="V757" s="1" t="str">
        <f ca="1">IFERROR(__xludf.DUMMYFUNCTION("""COMPUTED_VALUE"""),"आदर्श विवाहों का प्रचलन")</f>
        <v>आदर्श विवाहों का प्रचलन</v>
      </c>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f ca="1">IFERROR(__xludf.DUMMYFUNCTION("""COMPUTED_VALUE"""),54)</f>
        <v>54</v>
      </c>
      <c r="BX757" s="1">
        <f ca="1">IFERROR(__xludf.DUMMYFUNCTION("""COMPUTED_VALUE"""),55)</f>
        <v>55</v>
      </c>
      <c r="BY757" s="1">
        <f ca="1">IFERROR(__xludf.DUMMYFUNCTION("""COMPUTED_VALUE"""),9)</f>
        <v>9</v>
      </c>
      <c r="BZ757" s="1">
        <f ca="1">IFERROR(__xludf.DUMMYFUNCTION("""COMPUTED_VALUE"""),43)</f>
        <v>43</v>
      </c>
      <c r="CA757" s="1"/>
      <c r="CB757" s="5">
        <f ca="1">IFERROR(__xludf.DUMMYFUNCTION("""COMPUTED_VALUE"""),45191.6212302777)</f>
        <v>45191.621230277698</v>
      </c>
      <c r="CC757" s="1" t="str">
        <f ca="1">IFERROR(__xludf.DUMMYFUNCTION("""COMPUTED_VALUE"""),"नशेबाजी से हानि ही हानि : H_VM_14")</f>
        <v>नशेबाजी से हानि ही हानि : H_VM_14</v>
      </c>
      <c r="CD757" s="3" t="str">
        <f ca="1">IFERROR(__xludf.DUMMYFUNCTION("""COMPUTED_VALUE"""),"https://vicharkrantibooks.org/productdetail?book_name=HINP0593_NASHEBAJI_SE_HANI_HI_HANI_xxyyyy&amp;product_id=1158")</f>
        <v>https://vicharkrantibooks.org/productdetail?book_name=HINP0593_NASHEBAJI_SE_HANI_HI_HANI_xxyyyy&amp;product_id=1158</v>
      </c>
      <c r="CE757" s="1" t="str">
        <f ca="1">IFERROR(__xludf.DUMMYFUNCTION("""COMPUTED_VALUE"""),"Audiobook : नशेबाजी से हानि ही हानि : H_VM_14 : rbbansalriya@gmail.com : Recorded")</f>
        <v>Audiobook : नशेबाजी से हानि ही हानि : H_VM_14 : rbbansalriya@gmail.com : Recorded</v>
      </c>
      <c r="CF757" s="1" t="str">
        <f ca="1">IFERROR(__xludf.DUMMYFUNCTION("""COMPUTED_VALUE"""),"Audiobook : नशेबाजी से हानि ही हानि : H_VM_14 : rbbansalriya@gmail.com : Recorded")</f>
        <v>Audiobook : नशेबाजी से हानि ही हानि : H_VM_14 : rbbansalriya@gmail.com : Recorded</v>
      </c>
      <c r="CG757" s="1" t="str">
        <f ca="1">IFERROR(__xludf.DUMMYFUNCTION("""COMPUTED_VALUE"""),"Adarniya Riya bansal  ji नशेबाजी से हानि ही हानि : H_VM_14 : Allocated on 12-Sep-23 Contact Number  9176361023")</f>
        <v>Adarniya Riya bansal  ji नशेबाजी से हानि ही हानि : H_VM_14 : Allocated on 12-Sep-23 Contact Number  9176361023</v>
      </c>
      <c r="CH757" s="1"/>
      <c r="CI757" s="1"/>
    </row>
    <row r="758" spans="1:87" x14ac:dyDescent="0.25">
      <c r="A758" s="5">
        <f ca="1">IFERROR(__xludf.DUMMYFUNCTION("""COMPUTED_VALUE"""),45181.6026916319)</f>
        <v>45181.602691631902</v>
      </c>
      <c r="B758" s="1" t="str">
        <f ca="1">IFERROR(__xludf.DUMMYFUNCTION("""COMPUTED_VALUE"""),"druma4107@gmail.com")</f>
        <v>druma4107@gmail.com</v>
      </c>
      <c r="C758" s="1" t="str">
        <f ca="1">IFERROR(__xludf.DUMMYFUNCTION("""COMPUTED_VALUE"""),"Dr Uma Agrawal ")</f>
        <v xml:space="preserve">Dr Uma Agrawal </v>
      </c>
      <c r="D758" s="1">
        <f ca="1">IFERROR(__xludf.DUMMYFUNCTION("""COMPUTED_VALUE"""),9410861182)</f>
        <v>9410861182</v>
      </c>
      <c r="E758" s="1" t="str">
        <f ca="1">IFERROR(__xludf.DUMMYFUNCTION("""COMPUTED_VALUE"""),"Yes")</f>
        <v>Yes</v>
      </c>
      <c r="F758" s="1" t="str">
        <f ca="1">IFERROR(__xludf.DUMMYFUNCTION("""COMPUTED_VALUE"""),"हिन्दी")</f>
        <v>हिन्दी</v>
      </c>
      <c r="G758" s="1" t="str">
        <f ca="1">IFERROR(__xludf.DUMMYFUNCTION("""COMPUTED_VALUE"""),"जीवन प्रबंध")</f>
        <v>जीवन प्रबंध</v>
      </c>
      <c r="H758" s="1"/>
      <c r="I758" s="1"/>
      <c r="J758" s="1"/>
      <c r="K758" s="1"/>
      <c r="L758" s="1" t="str">
        <f ca="1">IFERROR(__xludf.DUMMYFUNCTION("""COMPUTED_VALUE"""),"मन की शक्ति एवं मनोविज्ञान")</f>
        <v>मन की शक्ति एवं मनोविज्ञान</v>
      </c>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f ca="1">IFERROR(__xludf.DUMMYFUNCTION("""COMPUTED_VALUE"""),104)</f>
        <v>104</v>
      </c>
      <c r="BX758" s="1">
        <f ca="1">IFERROR(__xludf.DUMMYFUNCTION("""COMPUTED_VALUE"""),106)</f>
        <v>106</v>
      </c>
      <c r="BY758" s="1">
        <f ca="1">IFERROR(__xludf.DUMMYFUNCTION("""COMPUTED_VALUE"""),9)</f>
        <v>9</v>
      </c>
      <c r="BZ758" s="1">
        <f ca="1">IFERROR(__xludf.DUMMYFUNCTION("""COMPUTED_VALUE"""),43)</f>
        <v>43</v>
      </c>
      <c r="CA758" s="1"/>
      <c r="CB758" s="5">
        <f ca="1">IFERROR(__xludf.DUMMYFUNCTION("""COMPUTED_VALUE"""),45191.6026916319)</f>
        <v>45191.602691631902</v>
      </c>
      <c r="CC758" s="1" t="str">
        <f ca="1">IFERROR(__xludf.DUMMYFUNCTION("""COMPUTED_VALUE"""),"जीवन साधना : Rare Book")</f>
        <v>जीवन साधना : Rare Book</v>
      </c>
      <c r="CD758" s="3" t="str">
        <f ca="1">IFERROR(__xludf.DUMMYFUNCTION("""COMPUTED_VALUE"""),"https://vicharkrantibooks.org/productdetail?book_name=HINP0392_JIVAN_SADHANA_xxyyyy&amp;product_id=957")</f>
        <v>https://vicharkrantibooks.org/productdetail?book_name=HINP0392_JIVAN_SADHANA_xxyyyy&amp;product_id=957</v>
      </c>
      <c r="CE758" s="1" t="str">
        <f ca="1">IFERROR(__xludf.DUMMYFUNCTION("""COMPUTED_VALUE"""),"Audiobook : जीवन साधना : Rare Book : druma4107@gmail.com : Recorded")</f>
        <v>Audiobook : जीवन साधना : Rare Book : druma4107@gmail.com : Recorded</v>
      </c>
      <c r="CF758" s="1" t="str">
        <f ca="1">IFERROR(__xludf.DUMMYFUNCTION("""COMPUTED_VALUE"""),"Audiobook : जीवन साधना : Rare Book : druma4107@gmail.com : Recorded")</f>
        <v>Audiobook : जीवन साधना : Rare Book : druma4107@gmail.com : Recorded</v>
      </c>
      <c r="CG758" s="1" t="str">
        <f ca="1">IFERROR(__xludf.DUMMYFUNCTION("""COMPUTED_VALUE"""),"Adarniya Dr Uma Agrawal  ji जीवन साधना : Rare Book : Allocated on 12-Sep-23 Contact Number  9410861182")</f>
        <v>Adarniya Dr Uma Agrawal  ji जीवन साधना : Rare Book : Allocated on 12-Sep-23 Contact Number  9410861182</v>
      </c>
      <c r="CH758" s="1"/>
      <c r="CI758" s="1"/>
    </row>
    <row r="759" spans="1:87" x14ac:dyDescent="0.25">
      <c r="A759" s="5">
        <f ca="1">IFERROR(__xludf.DUMMYFUNCTION("""COMPUTED_VALUE"""),45180.8941715625)</f>
        <v>45180.894171562497</v>
      </c>
      <c r="B759" s="1" t="str">
        <f ca="1">IFERROR(__xludf.DUMMYFUNCTION("""COMPUTED_VALUE"""),"shweta.r.gupta79@gmail.com")</f>
        <v>shweta.r.gupta79@gmail.com</v>
      </c>
      <c r="C759" s="1" t="str">
        <f ca="1">IFERROR(__xludf.DUMMYFUNCTION("""COMPUTED_VALUE"""),"Shweta Gupta ")</f>
        <v xml:space="preserve">Shweta Gupta </v>
      </c>
      <c r="D759" s="1">
        <f ca="1">IFERROR(__xludf.DUMMYFUNCTION("""COMPUTED_VALUE"""),8369516724)</f>
        <v>8369516724</v>
      </c>
      <c r="E759" s="1" t="str">
        <f ca="1">IFERROR(__xludf.DUMMYFUNCTION("""COMPUTED_VALUE"""),"Yes")</f>
        <v>Yes</v>
      </c>
      <c r="F759" s="1" t="str">
        <f ca="1">IFERROR(__xludf.DUMMYFUNCTION("""COMPUTED_VALUE"""),"हिन्दी")</f>
        <v>हिन्दी</v>
      </c>
      <c r="G759" s="1" t="str">
        <f ca="1">IFERROR(__xludf.DUMMYFUNCTION("""COMPUTED_VALUE"""),"परिवार निर्माण")</f>
        <v>परिवार निर्माण</v>
      </c>
      <c r="H759" s="1"/>
      <c r="I759" s="1"/>
      <c r="J759" s="1"/>
      <c r="K759" s="1"/>
      <c r="L759" s="1"/>
      <c r="M759" s="1" t="str">
        <f ca="1">IFERROR(__xludf.DUMMYFUNCTION("""COMPUTED_VALUE"""),"परिवार")</f>
        <v>परिवार</v>
      </c>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f ca="1">IFERROR(__xludf.DUMMYFUNCTION("""COMPUTED_VALUE"""),31)</f>
        <v>31</v>
      </c>
      <c r="BX759" s="1">
        <f ca="1">IFERROR(__xludf.DUMMYFUNCTION("""COMPUTED_VALUE"""),45)</f>
        <v>45</v>
      </c>
      <c r="BY759" s="1">
        <f ca="1">IFERROR(__xludf.DUMMYFUNCTION("""COMPUTED_VALUE"""),3)</f>
        <v>3</v>
      </c>
      <c r="BZ759" s="1">
        <f ca="1">IFERROR(__xludf.DUMMYFUNCTION("""COMPUTED_VALUE"""),40)</f>
        <v>40</v>
      </c>
      <c r="CA759" s="1"/>
      <c r="CB759" s="5">
        <f ca="1">IFERROR(__xludf.DUMMYFUNCTION("""COMPUTED_VALUE"""),45190.8941715625)</f>
        <v>45190.894171562497</v>
      </c>
      <c r="CC759" s="1" t="str">
        <f ca="1">IFERROR(__xludf.DUMMYFUNCTION("""COMPUTED_VALUE"""),"सुसंतति निर्माण की समग्र प्रक्रिया : H_PN_36")</f>
        <v>सुसंतति निर्माण की समग्र प्रक्रिया : H_PN_36</v>
      </c>
      <c r="CD759" s="3" t="str">
        <f ca="1">IFERROR(__xludf.DUMMYFUNCTION("""COMPUTED_VALUE"""),"https://vicharkrantibooks.org/productdetail?book_name=HINP0880_SUSANTATI_NIRMAN_KI_SAMAGR_PRAKRIYA_xxyyyy&amp;product_id=1445")</f>
        <v>https://vicharkrantibooks.org/productdetail?book_name=HINP0880_SUSANTATI_NIRMAN_KI_SAMAGR_PRAKRIYA_xxyyyy&amp;product_id=1445</v>
      </c>
      <c r="CE759" s="1" t="str">
        <f ca="1">IFERROR(__xludf.DUMMYFUNCTION("""COMPUTED_VALUE"""),"Audiobook : सुसंतति निर्माण की समग्र प्रक्रिया : H_PN_36 : shweta.r.gupta79@gmail.com : Recorded")</f>
        <v>Audiobook : सुसंतति निर्माण की समग्र प्रक्रिया : H_PN_36 : shweta.r.gupta79@gmail.com : Recorded</v>
      </c>
      <c r="CF759" s="1" t="str">
        <f ca="1">IFERROR(__xludf.DUMMYFUNCTION("""COMPUTED_VALUE"""),"Audiobook : सुसंतति निर्माण की समग्र प्रक्रिया : H_PN_36 : shweta.r.gupta79@gmail.com : Recorded")</f>
        <v>Audiobook : सुसंतति निर्माण की समग्र प्रक्रिया : H_PN_36 : shweta.r.gupta79@gmail.com : Recorded</v>
      </c>
      <c r="CG759" s="1" t="str">
        <f ca="1">IFERROR(__xludf.DUMMYFUNCTION("""COMPUTED_VALUE"""),"Adarniya Shweta Gupta  ji सुसंतति निर्माण की समग्र प्रक्रिया : H_PN_36 : Allocated on 11-Sep-23 Contact Number  8369516724")</f>
        <v>Adarniya Shweta Gupta  ji सुसंतति निर्माण की समग्र प्रक्रिया : H_PN_36 : Allocated on 11-Sep-23 Contact Number  8369516724</v>
      </c>
      <c r="CH759" s="1"/>
      <c r="CI759" s="1"/>
    </row>
    <row r="760" spans="1:87" x14ac:dyDescent="0.25">
      <c r="A760" s="5">
        <f ca="1">IFERROR(__xludf.DUMMYFUNCTION("""COMPUTED_VALUE"""),45180.8912258449)</f>
        <v>45180.891225844898</v>
      </c>
      <c r="B760" s="1" t="str">
        <f ca="1">IFERROR(__xludf.DUMMYFUNCTION("""COMPUTED_VALUE"""),"anita7sinha@gmail.com")</f>
        <v>anita7sinha@gmail.com</v>
      </c>
      <c r="C760" s="1" t="str">
        <f ca="1">IFERROR(__xludf.DUMMYFUNCTION("""COMPUTED_VALUE"""),"Anita Sinha ")</f>
        <v xml:space="preserve">Anita Sinha </v>
      </c>
      <c r="D760" s="1">
        <f ca="1">IFERROR(__xludf.DUMMYFUNCTION("""COMPUTED_VALUE"""),9871341370)</f>
        <v>9871341370</v>
      </c>
      <c r="E760" s="1" t="str">
        <f ca="1">IFERROR(__xludf.DUMMYFUNCTION("""COMPUTED_VALUE"""),"Yes")</f>
        <v>Yes</v>
      </c>
      <c r="F760" s="1" t="str">
        <f ca="1">IFERROR(__xludf.DUMMYFUNCTION("""COMPUTED_VALUE"""),"English")</f>
        <v>English</v>
      </c>
      <c r="G760" s="1" t="str">
        <f ca="1">IFERROR(__xludf.DUMMYFUNCTION("""COMPUTED_VALUE"""),"English")</f>
        <v>English</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f ca="1">IFERROR(__xludf.DUMMYFUNCTION("""COMPUTED_VALUE"""),3)</f>
        <v>3</v>
      </c>
      <c r="BX760" s="1">
        <f ca="1">IFERROR(__xludf.DUMMYFUNCTION("""COMPUTED_VALUE"""),2)</f>
        <v>2</v>
      </c>
      <c r="BY760" s="1">
        <f ca="1">IFERROR(__xludf.DUMMYFUNCTION("""COMPUTED_VALUE"""),1)</f>
        <v>1</v>
      </c>
      <c r="BZ760" s="1">
        <f ca="1">IFERROR(__xludf.DUMMYFUNCTION("""COMPUTED_VALUE"""),0)</f>
        <v>0</v>
      </c>
      <c r="CA760" s="1"/>
      <c r="CB760" s="5">
        <f ca="1">IFERROR(__xludf.DUMMYFUNCTION("""COMPUTED_VALUE"""),45190.8912258449)</f>
        <v>45190.891225844898</v>
      </c>
      <c r="CC760" s="1" t="str">
        <f ca="1">IFERROR(__xludf.DUMMYFUNCTION("""COMPUTED_VALUE"""),"The Folly Of The Wise : EP_13")</f>
        <v>The Folly Of The Wise : EP_13</v>
      </c>
      <c r="CD760" s="3" t="str">
        <f ca="1">IFERROR(__xludf.DUMMYFUNCTION("""COMPUTED_VALUE"""),"http://literature.awgp.org/book/Folly_of_the_wise/v2")</f>
        <v>http://literature.awgp.org/book/Folly_of_the_wise/v2</v>
      </c>
      <c r="CE760" s="1" t="str">
        <f ca="1">IFERROR(__xludf.DUMMYFUNCTION("""COMPUTED_VALUE"""),"Audiobook : The Folly Of The Wise : EP_13 : anita7sinha@gmail.com : Recorded")</f>
        <v>Audiobook : The Folly Of The Wise : EP_13 : anita7sinha@gmail.com : Recorded</v>
      </c>
      <c r="CF760" s="1" t="str">
        <f ca="1">IFERROR(__xludf.DUMMYFUNCTION("""COMPUTED_VALUE"""),"#N/A")</f>
        <v>#N/A</v>
      </c>
      <c r="CG760" s="1" t="str">
        <f ca="1">IFERROR(__xludf.DUMMYFUNCTION("""COMPUTED_VALUE"""),"Adarniya Anita Sinha  ji The Folly Of The Wise : EP_13 : Allocated on 11-Sep-23 Contact Number  9871341370")</f>
        <v>Adarniya Anita Sinha  ji The Folly Of The Wise : EP_13 : Allocated on 11-Sep-23 Contact Number  9871341370</v>
      </c>
      <c r="CH760" s="1"/>
      <c r="CI760" s="1"/>
    </row>
    <row r="761" spans="1:87" x14ac:dyDescent="0.25">
      <c r="A761" s="5">
        <f ca="1">IFERROR(__xludf.DUMMYFUNCTION("""COMPUTED_VALUE"""),45180.6801996296)</f>
        <v>45180.680199629598</v>
      </c>
      <c r="B761" s="1" t="str">
        <f ca="1">IFERROR(__xludf.DUMMYFUNCTION("""COMPUTED_VALUE"""),"vandana15rastogi@gmail.com")</f>
        <v>vandana15rastogi@gmail.com</v>
      </c>
      <c r="C761" s="1" t="str">
        <f ca="1">IFERROR(__xludf.DUMMYFUNCTION("""COMPUTED_VALUE"""),"Vandana Rastogi")</f>
        <v>Vandana Rastogi</v>
      </c>
      <c r="D761" s="1">
        <f ca="1">IFERROR(__xludf.DUMMYFUNCTION("""COMPUTED_VALUE"""),9359528684)</f>
        <v>9359528684</v>
      </c>
      <c r="E761" s="1" t="str">
        <f ca="1">IFERROR(__xludf.DUMMYFUNCTION("""COMPUTED_VALUE"""),"Yes")</f>
        <v>Yes</v>
      </c>
      <c r="F761" s="1" t="str">
        <f ca="1">IFERROR(__xludf.DUMMYFUNCTION("""COMPUTED_VALUE"""),"हिन्दी")</f>
        <v>हिन्दी</v>
      </c>
      <c r="G761" s="1" t="str">
        <f ca="1">IFERROR(__xludf.DUMMYFUNCTION("""COMPUTED_VALUE"""),"भारतीय संस्कृति")</f>
        <v>भारतीय संस्कृति</v>
      </c>
      <c r="H761" s="1"/>
      <c r="I761" s="1"/>
      <c r="J761" s="1"/>
      <c r="K761" s="1"/>
      <c r="L761" s="1"/>
      <c r="M761" s="1"/>
      <c r="N761" s="1"/>
      <c r="O761" s="1" t="str">
        <f ca="1">IFERROR(__xludf.DUMMYFUNCTION("""COMPUTED_VALUE"""),"योग एवं ध्यान")</f>
        <v>योग एवं ध्यान</v>
      </c>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f ca="1">IFERROR(__xludf.DUMMYFUNCTION("""COMPUTED_VALUE"""),33)</f>
        <v>33</v>
      </c>
      <c r="BX761" s="1">
        <f ca="1">IFERROR(__xludf.DUMMYFUNCTION("""COMPUTED_VALUE"""),19)</f>
        <v>19</v>
      </c>
      <c r="BY761" s="1">
        <f ca="1">IFERROR(__xludf.DUMMYFUNCTION("""COMPUTED_VALUE"""),17)</f>
        <v>17</v>
      </c>
      <c r="BZ761" s="1">
        <f ca="1">IFERROR(__xludf.DUMMYFUNCTION("""COMPUTED_VALUE"""),14)</f>
        <v>14</v>
      </c>
      <c r="CA761" s="1"/>
      <c r="CB761" s="5">
        <f ca="1">IFERROR(__xludf.DUMMYFUNCTION("""COMPUTED_VALUE"""),45190.6801996296)</f>
        <v>45190.680199629598</v>
      </c>
      <c r="CC761" s="1" t="str">
        <f ca="1">IFERROR(__xludf.DUMMYFUNCTION("""COMPUTED_VALUE"""),"बलिवैश्व यज्ञ : H_YS_42")</f>
        <v>बलिवैश्व यज्ञ : H_YS_42</v>
      </c>
      <c r="CD761" s="3" t="str">
        <f ca="1">IFERROR(__xludf.DUMMYFUNCTION("""COMPUTED_VALUE"""),"https://vicharkrantibooks.org/productdetail?book_name=HINP0132_BALIVAISHV_YAGY_Re2014&amp;product_id=697")</f>
        <v>https://vicharkrantibooks.org/productdetail?book_name=HINP0132_BALIVAISHV_YAGY_Re2014&amp;product_id=697</v>
      </c>
      <c r="CE761" s="1" t="str">
        <f ca="1">IFERROR(__xludf.DUMMYFUNCTION("""COMPUTED_VALUE"""),"Audiobook : बलिवैश्व यज्ञ : H_YS_42 : vandana15rastogi@gmail.com : Recorded")</f>
        <v>Audiobook : बलिवैश्व यज्ञ : H_YS_42 : vandana15rastogi@gmail.com : Recorded</v>
      </c>
      <c r="CF761" s="1" t="str">
        <f ca="1">IFERROR(__xludf.DUMMYFUNCTION("""COMPUTED_VALUE"""),"#N/A")</f>
        <v>#N/A</v>
      </c>
      <c r="CG761" s="1" t="str">
        <f ca="1">IFERROR(__xludf.DUMMYFUNCTION("""COMPUTED_VALUE"""),"Adarniya Vandana Rastogi ji बलिवैश्व यज्ञ : H_YS_42 : Allocated on 11-Sep-23 Contact Number  9359528684")</f>
        <v>Adarniya Vandana Rastogi ji बलिवैश्व यज्ञ : H_YS_42 : Allocated on 11-Sep-23 Contact Number  9359528684</v>
      </c>
      <c r="CH761" s="1"/>
      <c r="CI761" s="1"/>
    </row>
    <row r="762" spans="1:87" x14ac:dyDescent="0.25">
      <c r="A762" s="5">
        <f ca="1">IFERROR(__xludf.DUMMYFUNCTION("""COMPUTED_VALUE"""),45180.6075013541)</f>
        <v>45180.607501354098</v>
      </c>
      <c r="B762" s="1" t="str">
        <f ca="1">IFERROR(__xludf.DUMMYFUNCTION("""COMPUTED_VALUE"""),"vjatul025@gmail.com")</f>
        <v>vjatul025@gmail.com</v>
      </c>
      <c r="C762" s="1" t="str">
        <f ca="1">IFERROR(__xludf.DUMMYFUNCTION("""COMPUTED_VALUE"""),"Vandana Joshi ")</f>
        <v xml:space="preserve">Vandana Joshi </v>
      </c>
      <c r="D762" s="1">
        <f ca="1">IFERROR(__xludf.DUMMYFUNCTION("""COMPUTED_VALUE"""),9174756367)</f>
        <v>9174756367</v>
      </c>
      <c r="E762" s="1" t="str">
        <f ca="1">IFERROR(__xludf.DUMMYFUNCTION("""COMPUTED_VALUE"""),"Yes")</f>
        <v>Yes</v>
      </c>
      <c r="F762" s="1" t="str">
        <f ca="1">IFERROR(__xludf.DUMMYFUNCTION("""COMPUTED_VALUE"""),"हिन्दी")</f>
        <v>हिन्दी</v>
      </c>
      <c r="G762" s="1" t="str">
        <f ca="1">IFERROR(__xludf.DUMMYFUNCTION("""COMPUTED_VALUE"""),"भारतीय संस्कृति")</f>
        <v>भारतीय संस्कृति</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f ca="1">IFERROR(__xludf.DUMMYFUNCTION("""COMPUTED_VALUE"""),8)</f>
        <v>8</v>
      </c>
      <c r="BX762" s="1">
        <f ca="1">IFERROR(__xludf.DUMMYFUNCTION("""COMPUTED_VALUE"""),6)</f>
        <v>6</v>
      </c>
      <c r="BY762" s="1">
        <f ca="1">IFERROR(__xludf.DUMMYFUNCTION("""COMPUTED_VALUE"""),2)</f>
        <v>2</v>
      </c>
      <c r="BZ762" s="1">
        <f ca="1">IFERROR(__xludf.DUMMYFUNCTION("""COMPUTED_VALUE"""),0)</f>
        <v>0</v>
      </c>
      <c r="CA762" s="1"/>
      <c r="CB762" s="5">
        <f ca="1">IFERROR(__xludf.DUMMYFUNCTION("""COMPUTED_VALUE"""),45190.6075013541)</f>
        <v>45190.607501354098</v>
      </c>
      <c r="CC762" s="1" t="str">
        <f ca="1">IFERROR(__xludf.DUMMYFUNCTION("""COMPUTED_VALUE"""),"गायत्री की दिव्य शक्तियाँ : Rare Book")</f>
        <v>गायत्री की दिव्य शक्तियाँ : Rare Book</v>
      </c>
      <c r="CD762" s="3" t="str">
        <f ca="1">IFERROR(__xludf.DUMMYFUNCTION("""COMPUTED_VALUE"""),"https://vicharkrantibooks.org/productdetail?book_name=HINP0282_GAYATRI_KI_DIVY_SHAKTIYAN_xxyyyy&amp;product_id=847")</f>
        <v>https://vicharkrantibooks.org/productdetail?book_name=HINP0282_GAYATRI_KI_DIVY_SHAKTIYAN_xxyyyy&amp;product_id=847</v>
      </c>
      <c r="CE762" s="1" t="str">
        <f ca="1">IFERROR(__xludf.DUMMYFUNCTION("""COMPUTED_VALUE"""),"Audiobook : गायत्री की दिव्य शक्तियाँ : Rare Book : vjatul025@gmail.com : Recorded")</f>
        <v>Audiobook : गायत्री की दिव्य शक्तियाँ : Rare Book : vjatul025@gmail.com : Recorded</v>
      </c>
      <c r="CF762" s="1" t="str">
        <f ca="1">IFERROR(__xludf.DUMMYFUNCTION("""COMPUTED_VALUE"""),"Audiobook : गायत्री की दिव्य शक्तियाँ : Rare Book : vjatul025@gmail.com : Recorded")</f>
        <v>Audiobook : गायत्री की दिव्य शक्तियाँ : Rare Book : vjatul025@gmail.com : Recorded</v>
      </c>
      <c r="CG762" s="1" t="str">
        <f ca="1">IFERROR(__xludf.DUMMYFUNCTION("""COMPUTED_VALUE"""),"Adarniya Vandana Joshi  ji गायत्री की दिव्य शक्तियाँ : Rare Book : Allocated on 11-Sep-23 Contact Number  9174756367")</f>
        <v>Adarniya Vandana Joshi  ji गायत्री की दिव्य शक्तियाँ : Rare Book : Allocated on 11-Sep-23 Contact Number  9174756367</v>
      </c>
      <c r="CH762" s="1"/>
      <c r="CI762" s="1"/>
    </row>
    <row r="763" spans="1:87" x14ac:dyDescent="0.25">
      <c r="A763" s="5">
        <f ca="1">IFERROR(__xludf.DUMMYFUNCTION("""COMPUTED_VALUE"""),45180.5856132986)</f>
        <v>45180.585613298601</v>
      </c>
      <c r="B763" s="1" t="str">
        <f ca="1">IFERROR(__xludf.DUMMYFUNCTION("""COMPUTED_VALUE"""),"rajnivarma24.vns@gmail.com")</f>
        <v>rajnivarma24.vns@gmail.com</v>
      </c>
      <c r="C763" s="1" t="str">
        <f ca="1">IFERROR(__xludf.DUMMYFUNCTION("""COMPUTED_VALUE"""),"Rajni varma")</f>
        <v>Rajni varma</v>
      </c>
      <c r="D763" s="1">
        <f ca="1">IFERROR(__xludf.DUMMYFUNCTION("""COMPUTED_VALUE"""),9335661433)</f>
        <v>9335661433</v>
      </c>
      <c r="E763" s="1" t="str">
        <f ca="1">IFERROR(__xludf.DUMMYFUNCTION("""COMPUTED_VALUE"""),"No")</f>
        <v>No</v>
      </c>
      <c r="F763" s="1" t="str">
        <f ca="1">IFERROR(__xludf.DUMMYFUNCTION("""COMPUTED_VALUE"""),"हिन्दी")</f>
        <v>हिन्दी</v>
      </c>
      <c r="G763" s="1" t="str">
        <f ca="1">IFERROR(__xludf.DUMMYFUNCTION("""COMPUTED_VALUE"""),"अध्यात्म, धर्म एवं दर्शन")</f>
        <v>अध्यात्म, धर्म एवं दर्शन</v>
      </c>
      <c r="H763" s="1" t="str">
        <f ca="1">IFERROR(__xludf.DUMMYFUNCTION("""COMPUTED_VALUE"""),"अध्यात्म, धर्म एवं आस्तिकता")</f>
        <v>अध्यात्म, धर्म एवं आस्तिकता</v>
      </c>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f ca="1">IFERROR(__xludf.DUMMYFUNCTION("""COMPUTED_VALUE"""),30)</f>
        <v>30</v>
      </c>
      <c r="BX763" s="1">
        <f ca="1">IFERROR(__xludf.DUMMYFUNCTION("""COMPUTED_VALUE"""),25)</f>
        <v>25</v>
      </c>
      <c r="BY763" s="1">
        <f ca="1">IFERROR(__xludf.DUMMYFUNCTION("""COMPUTED_VALUE"""),7)</f>
        <v>7</v>
      </c>
      <c r="BZ763" s="1">
        <f ca="1">IFERROR(__xludf.DUMMYFUNCTION("""COMPUTED_VALUE"""),7)</f>
        <v>7</v>
      </c>
      <c r="CA763" s="1"/>
      <c r="CB763" s="5">
        <f ca="1">IFERROR(__xludf.DUMMYFUNCTION("""COMPUTED_VALUE"""),45190.5856132986)</f>
        <v>45190.585613298601</v>
      </c>
      <c r="CC763" s="1" t="str">
        <f ca="1">IFERROR(__xludf.DUMMYFUNCTION("""COMPUTED_VALUE"""),"आत्मतेजोबलम बलम : Rare Book")</f>
        <v>आत्मतेजोबलम बलम : Rare Book</v>
      </c>
      <c r="CD763" s="3" t="str">
        <f ca="1">IFERROR(__xludf.DUMMYFUNCTION("""COMPUTED_VALUE"""),"https://vicharkrantibooks.org/productdetail?book_name=HINP0110_ATMTEJOBALAM_BALAM_xx1979&amp;product_id=675")</f>
        <v>https://vicharkrantibooks.org/productdetail?book_name=HINP0110_ATMTEJOBALAM_BALAM_xx1979&amp;product_id=675</v>
      </c>
      <c r="CE763" s="1" t="str">
        <f ca="1">IFERROR(__xludf.DUMMYFUNCTION("""COMPUTED_VALUE"""),"Audiobook : आत्मतेजोबलम बलम : Rare Book : rajnivarma24.vns@gmail.com : Recorded")</f>
        <v>Audiobook : आत्मतेजोबलम बलम : Rare Book : rajnivarma24.vns@gmail.com : Recorded</v>
      </c>
      <c r="CF763" s="1" t="str">
        <f ca="1">IFERROR(__xludf.DUMMYFUNCTION("""COMPUTED_VALUE"""),"#N/A")</f>
        <v>#N/A</v>
      </c>
      <c r="CG763" s="1" t="str">
        <f ca="1">IFERROR(__xludf.DUMMYFUNCTION("""COMPUTED_VALUE"""),"Adarniya Rajni varma ji आत्मतेजोबलम बलम : Rare Book : Allocated on 11-Sep-23 Contact Number  9335661433")</f>
        <v>Adarniya Rajni varma ji आत्मतेजोबलम बलम : Rare Book : Allocated on 11-Sep-23 Contact Number  9335661433</v>
      </c>
      <c r="CH763" s="1"/>
      <c r="CI763" s="1"/>
    </row>
    <row r="764" spans="1:87" x14ac:dyDescent="0.25">
      <c r="A764" s="5">
        <f ca="1">IFERROR(__xludf.DUMMYFUNCTION("""COMPUTED_VALUE"""),45178.9548999074)</f>
        <v>45178.954899907403</v>
      </c>
      <c r="B764" s="1" t="str">
        <f ca="1">IFERROR(__xludf.DUMMYFUNCTION("""COMPUTED_VALUE"""),"vjatul025@gmail.com")</f>
        <v>vjatul025@gmail.com</v>
      </c>
      <c r="C764" s="1" t="str">
        <f ca="1">IFERROR(__xludf.DUMMYFUNCTION("""COMPUTED_VALUE"""),"Vandana Joshi ")</f>
        <v xml:space="preserve">Vandana Joshi </v>
      </c>
      <c r="D764" s="1">
        <f ca="1">IFERROR(__xludf.DUMMYFUNCTION("""COMPUTED_VALUE"""),9174756367)</f>
        <v>9174756367</v>
      </c>
      <c r="E764" s="1" t="str">
        <f ca="1">IFERROR(__xludf.DUMMYFUNCTION("""COMPUTED_VALUE"""),"Yes")</f>
        <v>Yes</v>
      </c>
      <c r="F764" s="1" t="str">
        <f ca="1">IFERROR(__xludf.DUMMYFUNCTION("""COMPUTED_VALUE"""),"हिन्दी")</f>
        <v>हिन्दी</v>
      </c>
      <c r="G764" s="1" t="str">
        <f ca="1">IFERROR(__xludf.DUMMYFUNCTION("""COMPUTED_VALUE"""),"भारतीय संस्कृति")</f>
        <v>भारतीय संस्कृति</v>
      </c>
      <c r="H764" s="1"/>
      <c r="I764" s="1"/>
      <c r="J764" s="1"/>
      <c r="K764" s="1"/>
      <c r="L764" s="1"/>
      <c r="M764" s="1"/>
      <c r="N764" s="1"/>
      <c r="O764" s="1" t="str">
        <f ca="1">IFERROR(__xludf.DUMMYFUNCTION("""COMPUTED_VALUE"""),"भारतीय संस्कृति")</f>
        <v>भारतीय संस्कृति</v>
      </c>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f ca="1">IFERROR(__xludf.DUMMYFUNCTION("""COMPUTED_VALUE"""),8)</f>
        <v>8</v>
      </c>
      <c r="BX764" s="1">
        <f ca="1">IFERROR(__xludf.DUMMYFUNCTION("""COMPUTED_VALUE"""),6)</f>
        <v>6</v>
      </c>
      <c r="BY764" s="1">
        <f ca="1">IFERROR(__xludf.DUMMYFUNCTION("""COMPUTED_VALUE"""),2)</f>
        <v>2</v>
      </c>
      <c r="BZ764" s="1">
        <f ca="1">IFERROR(__xludf.DUMMYFUNCTION("""COMPUTED_VALUE"""),0)</f>
        <v>0</v>
      </c>
      <c r="CA764" s="1"/>
      <c r="CB764" s="5">
        <f ca="1">IFERROR(__xludf.DUMMYFUNCTION("""COMPUTED_VALUE"""),45188.9548999074)</f>
        <v>45188.954899907403</v>
      </c>
      <c r="CC764" s="1" t="str">
        <f ca="1">IFERROR(__xludf.DUMMYFUNCTION("""COMPUTED_VALUE"""),"अपने सांस्कृतिक गौरव को भूलें नहीं : Rare Book")</f>
        <v>अपने सांस्कृतिक गौरव को भूलें नहीं : Rare Book</v>
      </c>
      <c r="CD764" s="3" t="str">
        <f ca="1">IFERROR(__xludf.DUMMYFUNCTION("""COMPUTED_VALUE"""),"https://vicharkrantibooks.org/productdetail?book_name=HINF0033_APANE_SANSKRUTIK_GAURAV_KO_BHULEN_NAHIN_xxyyyy&amp;product_id=253")</f>
        <v>https://vicharkrantibooks.org/productdetail?book_name=HINF0033_APANE_SANSKRUTIK_GAURAV_KO_BHULEN_NAHIN_xxyyyy&amp;product_id=253</v>
      </c>
      <c r="CE764" s="1" t="str">
        <f ca="1">IFERROR(__xludf.DUMMYFUNCTION("""COMPUTED_VALUE"""),"Audiobook : अपने सांस्कृतिक गौरव को भूलें नहीं : Rare Book : vjatul025@gmail.com : Recorded")</f>
        <v>Audiobook : अपने सांस्कृतिक गौरव को भूलें नहीं : Rare Book : vjatul025@gmail.com : Recorded</v>
      </c>
      <c r="CF764" s="1" t="str">
        <f ca="1">IFERROR(__xludf.DUMMYFUNCTION("""COMPUTED_VALUE"""),"#N/A")</f>
        <v>#N/A</v>
      </c>
      <c r="CG764" s="1" t="str">
        <f ca="1">IFERROR(__xludf.DUMMYFUNCTION("""COMPUTED_VALUE"""),"Adarniya Vandana Joshi  ji अपने सांस्कृतिक गौरव को भूलें नहीं : Rare Book : Allocated on 09-Sep-23 Contact Number  9174756367")</f>
        <v>Adarniya Vandana Joshi  ji अपने सांस्कृतिक गौरव को भूलें नहीं : Rare Book : Allocated on 09-Sep-23 Contact Number  9174756367</v>
      </c>
      <c r="CH764" s="1"/>
      <c r="CI764" s="1"/>
    </row>
    <row r="765" spans="1:87" x14ac:dyDescent="0.25">
      <c r="A765" s="5">
        <f ca="1">IFERROR(__xludf.DUMMYFUNCTION("""COMPUTED_VALUE"""),45178.6180424768)</f>
        <v>45178.618042476803</v>
      </c>
      <c r="B765" s="1" t="str">
        <f ca="1">IFERROR(__xludf.DUMMYFUNCTION("""COMPUTED_VALUE"""),"ss.40050467@gmail.com")</f>
        <v>ss.40050467@gmail.com</v>
      </c>
      <c r="C765" s="1" t="str">
        <f ca="1">IFERROR(__xludf.DUMMYFUNCTION("""COMPUTED_VALUE"""),"Shreshtha Sharma")</f>
        <v>Shreshtha Sharma</v>
      </c>
      <c r="D765" s="1">
        <f ca="1">IFERROR(__xludf.DUMMYFUNCTION("""COMPUTED_VALUE"""),8130921151)</f>
        <v>8130921151</v>
      </c>
      <c r="E765" s="1" t="str">
        <f ca="1">IFERROR(__xludf.DUMMYFUNCTION("""COMPUTED_VALUE"""),"Yes")</f>
        <v>Yes</v>
      </c>
      <c r="F765" s="1" t="str">
        <f ca="1">IFERROR(__xludf.DUMMYFUNCTION("""COMPUTED_VALUE"""),"हिन्दी or English")</f>
        <v>हिन्दी or English</v>
      </c>
      <c r="G765" s="1" t="str">
        <f ca="1">IFERROR(__xludf.DUMMYFUNCTION("""COMPUTED_VALUE"""),"समग्र स्वास्थ्य")</f>
        <v>समग्र स्वास्थ्य</v>
      </c>
      <c r="H765" s="1"/>
      <c r="I765" s="1"/>
      <c r="J765" s="1"/>
      <c r="K765" s="1"/>
      <c r="L765" s="1"/>
      <c r="M765" s="1"/>
      <c r="N765" s="1"/>
      <c r="O765" s="1"/>
      <c r="P765" s="1"/>
      <c r="Q765" s="1"/>
      <c r="R765" s="1"/>
      <c r="S765" s="1"/>
      <c r="T765" s="1"/>
      <c r="U765" s="1" t="str">
        <f ca="1">IFERROR(__xludf.DUMMYFUNCTION("""COMPUTED_VALUE"""),"मानसिक स्वास्थ्य")</f>
        <v>मानसिक स्वास्थ्य</v>
      </c>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f ca="1">IFERROR(__xludf.DUMMYFUNCTION("""COMPUTED_VALUE"""),2)</f>
        <v>2</v>
      </c>
      <c r="BX765" s="1">
        <f ca="1">IFERROR(__xludf.DUMMYFUNCTION("""COMPUTED_VALUE"""),0)</f>
        <v>0</v>
      </c>
      <c r="BY765" s="1">
        <f ca="1">IFERROR(__xludf.DUMMYFUNCTION("""COMPUTED_VALUE"""),2)</f>
        <v>2</v>
      </c>
      <c r="BZ765" s="1">
        <f ca="1">IFERROR(__xludf.DUMMYFUNCTION("""COMPUTED_VALUE"""),0)</f>
        <v>0</v>
      </c>
      <c r="CA765" s="1"/>
      <c r="CB765" s="5">
        <f ca="1">IFERROR(__xludf.DUMMYFUNCTION("""COMPUTED_VALUE"""),45188.6180424768)</f>
        <v>45188.618042476803</v>
      </c>
      <c r="CC765" s="1" t="str">
        <f ca="1">IFERROR(__xludf.DUMMYFUNCTION("""COMPUTED_VALUE"""),"Rejuvenation Without Medicines : EP_85")</f>
        <v>Rejuvenation Without Medicines : EP_85</v>
      </c>
      <c r="CD765" s="3" t="str">
        <f ca="1">IFERROR(__xludf.DUMMYFUNCTION("""COMPUTED_VALUE"""),"https://vicharkrantibooks.org/productdetail?book_name=ENGR0263_REJUVENATION_WITHOUT_MEDICINES_RE2014&amp;product_id=3480")</f>
        <v>https://vicharkrantibooks.org/productdetail?book_name=ENGR0263_REJUVENATION_WITHOUT_MEDICINES_RE2014&amp;product_id=3480</v>
      </c>
      <c r="CE765" s="1" t="str">
        <f ca="1">IFERROR(__xludf.DUMMYFUNCTION("""COMPUTED_VALUE"""),"Audiobook : Rejuvenation Without Medicines : EP_85 : ss.40050467@gmail.com : Recorded")</f>
        <v>Audiobook : Rejuvenation Without Medicines : EP_85 : ss.40050467@gmail.com : Recorded</v>
      </c>
      <c r="CF765" s="1" t="str">
        <f ca="1">IFERROR(__xludf.DUMMYFUNCTION("""COMPUTED_VALUE"""),"#N/A")</f>
        <v>#N/A</v>
      </c>
      <c r="CG765" s="1" t="str">
        <f ca="1">IFERROR(__xludf.DUMMYFUNCTION("""COMPUTED_VALUE"""),"Adarniya Shreshtha Sharma ji Rejuvenation Without Medicines : EP_85 : Allocated on 09-Sep-23 Contact Number  8130921151")</f>
        <v>Adarniya Shreshtha Sharma ji Rejuvenation Without Medicines : EP_85 : Allocated on 09-Sep-23 Contact Number  8130921151</v>
      </c>
      <c r="CH765" s="1"/>
      <c r="CI765" s="1"/>
    </row>
    <row r="766" spans="1:87" x14ac:dyDescent="0.25">
      <c r="A766" s="5">
        <f ca="1">IFERROR(__xludf.DUMMYFUNCTION("""COMPUTED_VALUE"""),45178.5360524189)</f>
        <v>45178.536052418902</v>
      </c>
      <c r="B766" s="1" t="str">
        <f ca="1">IFERROR(__xludf.DUMMYFUNCTION("""COMPUTED_VALUE"""),"rekhabhagat2511@gmail.com")</f>
        <v>rekhabhagat2511@gmail.com</v>
      </c>
      <c r="C766" s="1" t="str">
        <f ca="1">IFERROR(__xludf.DUMMYFUNCTION("""COMPUTED_VALUE"""),"Rekha bhagat ")</f>
        <v xml:space="preserve">Rekha bhagat </v>
      </c>
      <c r="D766" s="1">
        <f ca="1">IFERROR(__xludf.DUMMYFUNCTION("""COMPUTED_VALUE"""),9424811235)</f>
        <v>9424811235</v>
      </c>
      <c r="E766" s="1" t="str">
        <f ca="1">IFERROR(__xludf.DUMMYFUNCTION("""COMPUTED_VALUE"""),"Yes")</f>
        <v>Yes</v>
      </c>
      <c r="F766" s="1" t="str">
        <f ca="1">IFERROR(__xludf.DUMMYFUNCTION("""COMPUTED_VALUE"""),"हिन्दी")</f>
        <v>हिन्दी</v>
      </c>
      <c r="G766" s="1" t="str">
        <f ca="1">IFERROR(__xludf.DUMMYFUNCTION("""COMPUTED_VALUE"""),"अध्यात्म, धर्म एवं दर्शन")</f>
        <v>अध्यात्म, धर्म एवं दर्शन</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f ca="1">IFERROR(__xludf.DUMMYFUNCTION("""COMPUTED_VALUE"""),19)</f>
        <v>19</v>
      </c>
      <c r="BX766" s="1">
        <f ca="1">IFERROR(__xludf.DUMMYFUNCTION("""COMPUTED_VALUE"""),11)</f>
        <v>11</v>
      </c>
      <c r="BY766" s="1">
        <f ca="1">IFERROR(__xludf.DUMMYFUNCTION("""COMPUTED_VALUE"""),8)</f>
        <v>8</v>
      </c>
      <c r="BZ766" s="1">
        <f ca="1">IFERROR(__xludf.DUMMYFUNCTION("""COMPUTED_VALUE"""),4)</f>
        <v>4</v>
      </c>
      <c r="CA766" s="1"/>
      <c r="CB766" s="5">
        <f ca="1">IFERROR(__xludf.DUMMYFUNCTION("""COMPUTED_VALUE"""),45188.5360524189)</f>
        <v>45188.536052418902</v>
      </c>
      <c r="CC766" s="1" t="str">
        <f ca="1">IFERROR(__xludf.DUMMYFUNCTION("""COMPUTED_VALUE"""),"प्रज्ञा योग की सुगम साधना : H_JS_13")</f>
        <v>प्रज्ञा योग की सुगम साधना : H_JS_13</v>
      </c>
      <c r="CD766" s="3" t="str">
        <f ca="1">IFERROR(__xludf.DUMMYFUNCTION("""COMPUTED_VALUE"""),"https://vicharkrantibooks.org/productdetail?book_name=HINP0657_PRAGYAYOG_KI_SUGAM_SADHANA_xx2011&amp;product_id=1222")</f>
        <v>https://vicharkrantibooks.org/productdetail?book_name=HINP0657_PRAGYAYOG_KI_SUGAM_SADHANA_xx2011&amp;product_id=1222</v>
      </c>
      <c r="CE766" s="1" t="str">
        <f ca="1">IFERROR(__xludf.DUMMYFUNCTION("""COMPUTED_VALUE"""),"Audiobook : प्रज्ञा योग की सुगम साधना : H_JS_13 : rekhabhagat2511@gmail.com : Recorded")</f>
        <v>Audiobook : प्रज्ञा योग की सुगम साधना : H_JS_13 : rekhabhagat2511@gmail.com : Recorded</v>
      </c>
      <c r="CF766" s="1" t="str">
        <f ca="1">IFERROR(__xludf.DUMMYFUNCTION("""COMPUTED_VALUE"""),"Audiobook : प्रज्ञा योग की सुगम साधना : H_JS_13 : rekhabhagat2511@gmail.com : Recorded")</f>
        <v>Audiobook : प्रज्ञा योग की सुगम साधना : H_JS_13 : rekhabhagat2511@gmail.com : Recorded</v>
      </c>
      <c r="CG766" s="1" t="str">
        <f ca="1">IFERROR(__xludf.DUMMYFUNCTION("""COMPUTED_VALUE"""),"Adarniya Rekha bhagat  ji प्रज्ञा योग की सुगम साधना : H_JS_13 : Allocated on 09-Sep-23 Contact Number  9424811235")</f>
        <v>Adarniya Rekha bhagat  ji प्रज्ञा योग की सुगम साधना : H_JS_13 : Allocated on 09-Sep-23 Contact Number  9424811235</v>
      </c>
      <c r="CH766" s="1"/>
      <c r="CI766" s="1"/>
    </row>
    <row r="767" spans="1:87" x14ac:dyDescent="0.25">
      <c r="A767" s="5">
        <f ca="1">IFERROR(__xludf.DUMMYFUNCTION("""COMPUTED_VALUE"""),45176.6607198032)</f>
        <v>45176.6607198032</v>
      </c>
      <c r="B767" s="1" t="str">
        <f ca="1">IFERROR(__xludf.DUMMYFUNCTION("""COMPUTED_VALUE"""),"rashmi0363@gmail.com")</f>
        <v>rashmi0363@gmail.com</v>
      </c>
      <c r="C767" s="1" t="str">
        <f ca="1">IFERROR(__xludf.DUMMYFUNCTION("""COMPUTED_VALUE"""),"Rashmi Sinha ")</f>
        <v xml:space="preserve">Rashmi Sinha </v>
      </c>
      <c r="D767" s="9">
        <f ca="1">IFERROR(__xludf.DUMMYFUNCTION("""COMPUTED_VALUE"""),9212688575)</f>
        <v>9212688575</v>
      </c>
      <c r="E767" s="1" t="str">
        <f ca="1">IFERROR(__xludf.DUMMYFUNCTION("""COMPUTED_VALUE"""),"No")</f>
        <v>No</v>
      </c>
      <c r="F767" s="1" t="str">
        <f ca="1">IFERROR(__xludf.DUMMYFUNCTION("""COMPUTED_VALUE"""),"हिन्दी")</f>
        <v>हिन्दी</v>
      </c>
      <c r="G767" s="1" t="str">
        <f ca="1">IFERROR(__xludf.DUMMYFUNCTION("""COMPUTED_VALUE"""),"भारतीय संस्कृति")</f>
        <v>भारतीय संस्कृति</v>
      </c>
      <c r="H767" s="1"/>
      <c r="I767" s="1"/>
      <c r="J767" s="1"/>
      <c r="K767" s="1"/>
      <c r="L767" s="1"/>
      <c r="M767" s="1"/>
      <c r="N767" s="1"/>
      <c r="O767" s="1" t="str">
        <f ca="1">IFERROR(__xludf.DUMMYFUNCTION("""COMPUTED_VALUE"""),"यज्ञ")</f>
        <v>यज्ञ</v>
      </c>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f ca="1">IFERROR(__xludf.DUMMYFUNCTION("""COMPUTED_VALUE"""),8)</f>
        <v>8</v>
      </c>
      <c r="BX767" s="1">
        <f ca="1">IFERROR(__xludf.DUMMYFUNCTION("""COMPUTED_VALUE"""),11)</f>
        <v>11</v>
      </c>
      <c r="BY767" s="1">
        <f ca="1">IFERROR(__xludf.DUMMYFUNCTION("""COMPUTED_VALUE"""),1)</f>
        <v>1</v>
      </c>
      <c r="BZ767" s="1">
        <f ca="1">IFERROR(__xludf.DUMMYFUNCTION("""COMPUTED_VALUE"""),5)</f>
        <v>5</v>
      </c>
      <c r="CA767" s="1"/>
      <c r="CB767" s="5">
        <f ca="1">IFERROR(__xludf.DUMMYFUNCTION("""COMPUTED_VALUE"""),45186.6607198032)</f>
        <v>45186.6607198032</v>
      </c>
      <c r="CC767" s="1" t="str">
        <f ca="1">IFERROR(__xludf.DUMMYFUNCTION("""COMPUTED_VALUE"""),"गायत्री और यज्ञ : Rare Book")</f>
        <v>गायत्री और यज्ञ : Rare Book</v>
      </c>
      <c r="CD767" s="3" t="str">
        <f ca="1">IFERROR(__xludf.DUMMYFUNCTION("""COMPUTED_VALUE"""),"https://vicharkrantibooks.org/productdetail?book_name=HINP0277_GAYATRI_AUR_YAGY_xxyyyy&amp;product_id=842")</f>
        <v>https://vicharkrantibooks.org/productdetail?book_name=HINP0277_GAYATRI_AUR_YAGY_xxyyyy&amp;product_id=842</v>
      </c>
      <c r="CE767" s="1" t="str">
        <f ca="1">IFERROR(__xludf.DUMMYFUNCTION("""COMPUTED_VALUE"""),"Audiobook : गायत्री और यज्ञ : Rare Book : rashmi0363@gmail.com : Recorded")</f>
        <v>Audiobook : गायत्री और यज्ञ : Rare Book : rashmi0363@gmail.com : Recorded</v>
      </c>
      <c r="CF767" s="1" t="str">
        <f ca="1">IFERROR(__xludf.DUMMYFUNCTION("""COMPUTED_VALUE"""),"Audiobook : गायत्री और यज्ञ : Rare Book : rashmi0363@gmail.com : Recorded")</f>
        <v>Audiobook : गायत्री और यज्ञ : Rare Book : rashmi0363@gmail.com : Recorded</v>
      </c>
      <c r="CG767" s="1" t="str">
        <f ca="1">IFERROR(__xludf.DUMMYFUNCTION("""COMPUTED_VALUE"""),"Adarniya Rashmi Sinha  ji गायत्री और यज्ञ : Rare Book : Allocated on 07-Sep-23 Contact Number  9212688575")</f>
        <v>Adarniya Rashmi Sinha  ji गायत्री और यज्ञ : Rare Book : Allocated on 07-Sep-23 Contact Number  9212688575</v>
      </c>
      <c r="CH767" s="1"/>
      <c r="CI767" s="1"/>
    </row>
    <row r="768" spans="1:87" x14ac:dyDescent="0.25">
      <c r="A768" s="5">
        <f ca="1">IFERROR(__xludf.DUMMYFUNCTION("""COMPUTED_VALUE"""),45176.0382563773)</f>
        <v>45176.038256377302</v>
      </c>
      <c r="B768" s="1" t="str">
        <f ca="1">IFERROR(__xludf.DUMMYFUNCTION("""COMPUTED_VALUE"""),"richasharma310575@gmail.com")</f>
        <v>richasharma310575@gmail.com</v>
      </c>
      <c r="C768" s="1" t="str">
        <f ca="1">IFERROR(__xludf.DUMMYFUNCTION("""COMPUTED_VALUE"""),"Richa Sharma")</f>
        <v>Richa Sharma</v>
      </c>
      <c r="D768" s="1" t="str">
        <f ca="1">IFERROR(__xludf.DUMMYFUNCTION("""COMPUTED_VALUE"""),"09479664049")</f>
        <v>09479664049</v>
      </c>
      <c r="E768" s="1" t="str">
        <f ca="1">IFERROR(__xludf.DUMMYFUNCTION("""COMPUTED_VALUE"""),"Yes")</f>
        <v>Yes</v>
      </c>
      <c r="F768" s="1" t="str">
        <f ca="1">IFERROR(__xludf.DUMMYFUNCTION("""COMPUTED_VALUE"""),"हिन्दी")</f>
        <v>हिन्दी</v>
      </c>
      <c r="G768" s="1" t="str">
        <f ca="1">IFERROR(__xludf.DUMMYFUNCTION("""COMPUTED_VALUE"""),"संस्कार, कर्मकाण्ड, पाठ, पूजा, गीत-संगीत")</f>
        <v>संस्कार, कर्मकाण्ड, पाठ, पूजा, गीत-संगीत</v>
      </c>
      <c r="H768" s="1"/>
      <c r="I768" s="1"/>
      <c r="J768" s="1"/>
      <c r="K768" s="1"/>
      <c r="L768" s="1"/>
      <c r="M768" s="1"/>
      <c r="N768" s="1"/>
      <c r="O768" s="1"/>
      <c r="P768" s="1"/>
      <c r="Q768" s="1"/>
      <c r="R768" s="1"/>
      <c r="S768" s="1"/>
      <c r="T768" s="1"/>
      <c r="U768" s="1"/>
      <c r="V768" s="1"/>
      <c r="W768" s="1" t="str">
        <f ca="1">IFERROR(__xludf.DUMMYFUNCTION("""COMPUTED_VALUE"""),"पर्व-त्यौहार, कर्मकाण्ड")</f>
        <v>पर्व-त्यौहार, कर्मकाण्ड</v>
      </c>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t="str">
        <f ca="1">IFERROR(__xludf.DUMMYFUNCTION("""COMPUTED_VALUE"""),"युग परिवर्तन में समर्थ दीपयज्ञ")</f>
        <v>युग परिवर्तन में समर्थ दीपयज्ञ</v>
      </c>
      <c r="BH768" s="1"/>
      <c r="BI768" s="1"/>
      <c r="BJ768" s="1"/>
      <c r="BK768" s="1"/>
      <c r="BL768" s="1"/>
      <c r="BM768" s="1"/>
      <c r="BN768" s="1"/>
      <c r="BO768" s="1"/>
      <c r="BP768" s="1"/>
      <c r="BQ768" s="1"/>
      <c r="BR768" s="1"/>
      <c r="BS768" s="1"/>
      <c r="BT768" s="1"/>
      <c r="BU768" s="1"/>
      <c r="BV768" s="1"/>
      <c r="BW768" s="1">
        <f ca="1">IFERROR(__xludf.DUMMYFUNCTION("""COMPUTED_VALUE"""),23)</f>
        <v>23</v>
      </c>
      <c r="BX768" s="1">
        <f ca="1">IFERROR(__xludf.DUMMYFUNCTION("""COMPUTED_VALUE"""),28)</f>
        <v>28</v>
      </c>
      <c r="BY768" s="1">
        <f ca="1">IFERROR(__xludf.DUMMYFUNCTION("""COMPUTED_VALUE"""),2)</f>
        <v>2</v>
      </c>
      <c r="BZ768" s="1">
        <f ca="1">IFERROR(__xludf.DUMMYFUNCTION("""COMPUTED_VALUE"""),24)</f>
        <v>24</v>
      </c>
      <c r="CA768" s="1"/>
      <c r="CB768" s="5">
        <f ca="1">IFERROR(__xludf.DUMMYFUNCTION("""COMPUTED_VALUE"""),45186.0382563773)</f>
        <v>45186.038256377302</v>
      </c>
      <c r="CC768" s="1" t="str">
        <f ca="1">IFERROR(__xludf.DUMMYFUNCTION("""COMPUTED_VALUE"""),"कर्मकांड में छिपा व्यक्तित्व निर्माण का शिक्षण : H_JS_38")</f>
        <v>कर्मकांड में छिपा व्यक्तित्व निर्माण का शिक्षण : H_JS_38</v>
      </c>
      <c r="CD768" s="3" t="str">
        <f ca="1">IFERROR(__xludf.DUMMYFUNCTION("""COMPUTED_VALUE"""),"https://vicharkrantibooks.org/productdetail?book_name=HINP0424_KARMAKAND_MEIN_CHHIPA_VYAKTITV_NIRMAN_KA_SHIKSHAN_xx2011&amp;product_id=989")</f>
        <v>https://vicharkrantibooks.org/productdetail?book_name=HINP0424_KARMAKAND_MEIN_CHHIPA_VYAKTITV_NIRMAN_KA_SHIKSHAN_xx2011&amp;product_id=989</v>
      </c>
      <c r="CE768" s="1" t="str">
        <f ca="1">IFERROR(__xludf.DUMMYFUNCTION("""COMPUTED_VALUE"""),"Audiobook : कर्मकांड में छिपा व्यक्तित्व निर्माण का शिक्षण : H_JS_38 : richasharma310575@gmail.com : Recorded")</f>
        <v>Audiobook : कर्मकांड में छिपा व्यक्तित्व निर्माण का शिक्षण : H_JS_38 : richasharma310575@gmail.com : Recorded</v>
      </c>
      <c r="CF768" s="1" t="str">
        <f ca="1">IFERROR(__xludf.DUMMYFUNCTION("""COMPUTED_VALUE"""),"#N/A")</f>
        <v>#N/A</v>
      </c>
      <c r="CG768" s="1" t="str">
        <f ca="1">IFERROR(__xludf.DUMMYFUNCTION("""COMPUTED_VALUE"""),"Adarniya Richa Sharma ji कर्मकांड में छिपा व्यक्तित्व निर्माण का शिक्षण : H_JS_38 : Allocated on 07-Sep-23 Contact Number  09479664049")</f>
        <v>Adarniya Richa Sharma ji कर्मकांड में छिपा व्यक्तित्व निर्माण का शिक्षण : H_JS_38 : Allocated on 07-Sep-23 Contact Number  09479664049</v>
      </c>
      <c r="CH768" s="1"/>
      <c r="CI768" s="1"/>
    </row>
    <row r="769" spans="1:87" x14ac:dyDescent="0.25">
      <c r="A769" s="5">
        <f ca="1">IFERROR(__xludf.DUMMYFUNCTION("""COMPUTED_VALUE"""),45175.7722561689)</f>
        <v>45175.772256168901</v>
      </c>
      <c r="B769" s="1" t="str">
        <f ca="1">IFERROR(__xludf.DUMMYFUNCTION("""COMPUTED_VALUE"""),"shrutidube.86@gmail.com")</f>
        <v>shrutidube.86@gmail.com</v>
      </c>
      <c r="C769" s="1" t="str">
        <f ca="1">IFERROR(__xludf.DUMMYFUNCTION("""COMPUTED_VALUE"""),"Shruti")</f>
        <v>Shruti</v>
      </c>
      <c r="D769" s="1">
        <f ca="1">IFERROR(__xludf.DUMMYFUNCTION("""COMPUTED_VALUE"""),7021294023)</f>
        <v>7021294023</v>
      </c>
      <c r="E769" s="1" t="str">
        <f ca="1">IFERROR(__xludf.DUMMYFUNCTION("""COMPUTED_VALUE"""),"Yes")</f>
        <v>Yes</v>
      </c>
      <c r="F769" s="1" t="str">
        <f ca="1">IFERROR(__xludf.DUMMYFUNCTION("""COMPUTED_VALUE"""),"English")</f>
        <v>English</v>
      </c>
      <c r="G769" s="1" t="str">
        <f ca="1">IFERROR(__xludf.DUMMYFUNCTION("""COMPUTED_VALUE"""),"English")</f>
        <v>English</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f ca="1">IFERROR(__xludf.DUMMYFUNCTION("""COMPUTED_VALUE"""),8)</f>
        <v>8</v>
      </c>
      <c r="BX769" s="1">
        <f ca="1">IFERROR(__xludf.DUMMYFUNCTION("""COMPUTED_VALUE"""),4)</f>
        <v>4</v>
      </c>
      <c r="BY769" s="1">
        <f ca="1">IFERROR(__xludf.DUMMYFUNCTION("""COMPUTED_VALUE"""),4)</f>
        <v>4</v>
      </c>
      <c r="BZ769" s="1">
        <f ca="1">IFERROR(__xludf.DUMMYFUNCTION("""COMPUTED_VALUE"""),1)</f>
        <v>1</v>
      </c>
      <c r="CA769" s="1"/>
      <c r="CB769" s="5">
        <f ca="1">IFERROR(__xludf.DUMMYFUNCTION("""COMPUTED_VALUE"""),45185.7722561689)</f>
        <v>45185.772256168901</v>
      </c>
      <c r="CC769" s="1" t="str">
        <f ca="1">IFERROR(__xludf.DUMMYFUNCTION("""COMPUTED_VALUE"""),"Deep Yagya Yug Yagya Paddhti : EP_02")</f>
        <v>Deep Yagya Yug Yagya Paddhti : EP_02</v>
      </c>
      <c r="CD769" s="3" t="str">
        <f ca="1">IFERROR(__xludf.DUMMYFUNCTION("""COMPUTED_VALUE"""),"http://literature.awgp.org/book/deep_yagya/v1")</f>
        <v>http://literature.awgp.org/book/deep_yagya/v1</v>
      </c>
      <c r="CE769" s="1" t="str">
        <f ca="1">IFERROR(__xludf.DUMMYFUNCTION("""COMPUTED_VALUE"""),"Audiobook : Deep Yagya Yug Yagya Paddhti : EP_02 : shrutidube.86@gmail.com : Recorded")</f>
        <v>Audiobook : Deep Yagya Yug Yagya Paddhti : EP_02 : shrutidube.86@gmail.com : Recorded</v>
      </c>
      <c r="CF769" s="1" t="str">
        <f ca="1">IFERROR(__xludf.DUMMYFUNCTION("""COMPUTED_VALUE"""),"#N/A")</f>
        <v>#N/A</v>
      </c>
      <c r="CG769" s="1" t="str">
        <f ca="1">IFERROR(__xludf.DUMMYFUNCTION("""COMPUTED_VALUE"""),"Adarniya Shruti ji Deep Yagya Yug Yagya Paddhti : EP_02 : Allocated on 06-Sep-23 Contact Number  7021294023")</f>
        <v>Adarniya Shruti ji Deep Yagya Yug Yagya Paddhti : EP_02 : Allocated on 06-Sep-23 Contact Number  7021294023</v>
      </c>
      <c r="CH769" s="1"/>
      <c r="CI769" s="1"/>
    </row>
    <row r="770" spans="1:87" x14ac:dyDescent="0.25">
      <c r="A770" s="5">
        <f ca="1">IFERROR(__xludf.DUMMYFUNCTION("""COMPUTED_VALUE"""),45175.4114202893)</f>
        <v>45175.411420289303</v>
      </c>
      <c r="B770" s="1" t="str">
        <f ca="1">IFERROR(__xludf.DUMMYFUNCTION("""COMPUTED_VALUE"""),"monikashri2026@gmail.com")</f>
        <v>monikashri2026@gmail.com</v>
      </c>
      <c r="C770" s="1" t="str">
        <f ca="1">IFERROR(__xludf.DUMMYFUNCTION("""COMPUTED_VALUE"""),"Monika")</f>
        <v>Monika</v>
      </c>
      <c r="D770" s="1">
        <f ca="1">IFERROR(__xludf.DUMMYFUNCTION("""COMPUTED_VALUE"""),9650104871)</f>
        <v>9650104871</v>
      </c>
      <c r="E770" s="1" t="str">
        <f ca="1">IFERROR(__xludf.DUMMYFUNCTION("""COMPUTED_VALUE"""),"No")</f>
        <v>No</v>
      </c>
      <c r="F770" s="1" t="str">
        <f ca="1">IFERROR(__xludf.DUMMYFUNCTION("""COMPUTED_VALUE"""),"हिन्दी")</f>
        <v>हिन्दी</v>
      </c>
      <c r="G770" s="1" t="str">
        <f ca="1">IFERROR(__xludf.DUMMYFUNCTION("""COMPUTED_VALUE"""),"वैज्ञानिक अध्यात्मवाद का प्रतिपादन")</f>
        <v>वैज्ञानिक अध्यात्मवाद का प्रतिपादन</v>
      </c>
      <c r="H770" s="1"/>
      <c r="I770" s="1"/>
      <c r="J770" s="1"/>
      <c r="K770" s="1"/>
      <c r="L770" s="1"/>
      <c r="M770" s="1"/>
      <c r="N770" s="1"/>
      <c r="O770" s="1"/>
      <c r="P770" s="1"/>
      <c r="Q770" s="1"/>
      <c r="R770" s="1"/>
      <c r="S770" s="1" t="str">
        <f ca="1">IFERROR(__xludf.DUMMYFUNCTION("""COMPUTED_VALUE"""),"वैज्ञानिक अध्यात्मवाद का प्रतिपादन")</f>
        <v>वैज्ञानिक अध्यात्मवाद का प्रतिपादन</v>
      </c>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f ca="1">IFERROR(__xludf.DUMMYFUNCTION("""COMPUTED_VALUE"""),2)</f>
        <v>2</v>
      </c>
      <c r="BX770" s="1">
        <f ca="1">IFERROR(__xludf.DUMMYFUNCTION("""COMPUTED_VALUE"""),2)</f>
        <v>2</v>
      </c>
      <c r="BY770" s="1">
        <f ca="1">IFERROR(__xludf.DUMMYFUNCTION("""COMPUTED_VALUE"""),1)</f>
        <v>1</v>
      </c>
      <c r="BZ770" s="1">
        <f ca="1">IFERROR(__xludf.DUMMYFUNCTION("""COMPUTED_VALUE"""),2)</f>
        <v>2</v>
      </c>
      <c r="CA770" s="1"/>
      <c r="CB770" s="5">
        <f ca="1">IFERROR(__xludf.DUMMYFUNCTION("""COMPUTED_VALUE"""),45185.4114202893)</f>
        <v>45185.411420289303</v>
      </c>
      <c r="CC770" s="1" t="str">
        <f ca="1">IFERROR(__xludf.DUMMYFUNCTION("""COMPUTED_VALUE"""),"विज्ञान और अध्यात्म परस्पर पूरक बनें : Rare Book")</f>
        <v>विज्ञान और अध्यात्म परस्पर पूरक बनें : Rare Book</v>
      </c>
      <c r="CD770" s="3" t="str">
        <f ca="1">IFERROR(__xludf.DUMMYFUNCTION("""COMPUTED_VALUE"""),"https://vicharkrantibooks.org/productdetail?book_name=HINP0970_VIGYAN_AUR_ADHYATM_PARASPAR_PURAK_BANE_xx1982&amp;product_id=1535")</f>
        <v>https://vicharkrantibooks.org/productdetail?book_name=HINP0970_VIGYAN_AUR_ADHYATM_PARASPAR_PURAK_BANE_xx1982&amp;product_id=1535</v>
      </c>
      <c r="CE770" s="1" t="str">
        <f ca="1">IFERROR(__xludf.DUMMYFUNCTION("""COMPUTED_VALUE"""),"Audiobook : विज्ञान और अध्यात्म परस्पर पूरक बनें : Rare Book : monikashri2026@gmail.com : Recorded")</f>
        <v>Audiobook : विज्ञान और अध्यात्म परस्पर पूरक बनें : Rare Book : monikashri2026@gmail.com : Recorded</v>
      </c>
      <c r="CF770" s="1" t="str">
        <f ca="1">IFERROR(__xludf.DUMMYFUNCTION("""COMPUTED_VALUE"""),"Audiobook : विज्ञान और अध्यात्म परस्पर पूरक बनें : Rare Book : monikashri2026@gmail.com : Recorded")</f>
        <v>Audiobook : विज्ञान और अध्यात्म परस्पर पूरक बनें : Rare Book : monikashri2026@gmail.com : Recorded</v>
      </c>
      <c r="CG770" s="1" t="str">
        <f ca="1">IFERROR(__xludf.DUMMYFUNCTION("""COMPUTED_VALUE"""),"Adarniya Monika ji विज्ञान और अध्यात्म परस्पर पूरक बनें : Rare Book : Allocated on 06-Sep-23 Contact Number  9650104871")</f>
        <v>Adarniya Monika ji विज्ञान और अध्यात्म परस्पर पूरक बनें : Rare Book : Allocated on 06-Sep-23 Contact Number  9650104871</v>
      </c>
      <c r="CH770" s="1"/>
      <c r="CI770" s="1"/>
    </row>
    <row r="771" spans="1:87" x14ac:dyDescent="0.25">
      <c r="A771" s="5">
        <f ca="1">IFERROR(__xludf.DUMMYFUNCTION("""COMPUTED_VALUE"""),45174.6703992129)</f>
        <v>45174.670399212897</v>
      </c>
      <c r="B771" s="1" t="str">
        <f ca="1">IFERROR(__xludf.DUMMYFUNCTION("""COMPUTED_VALUE"""),"druma4107@gmail.com")</f>
        <v>druma4107@gmail.com</v>
      </c>
      <c r="C771" s="1" t="str">
        <f ca="1">IFERROR(__xludf.DUMMYFUNCTION("""COMPUTED_VALUE"""),"Dr Uma Agrawal")</f>
        <v>Dr Uma Agrawal</v>
      </c>
      <c r="D771" s="1">
        <f ca="1">IFERROR(__xludf.DUMMYFUNCTION("""COMPUTED_VALUE"""),9410861182)</f>
        <v>9410861182</v>
      </c>
      <c r="E771" s="1" t="str">
        <f ca="1">IFERROR(__xludf.DUMMYFUNCTION("""COMPUTED_VALUE"""),"Yes")</f>
        <v>Yes</v>
      </c>
      <c r="F771" s="1" t="str">
        <f ca="1">IFERROR(__xludf.DUMMYFUNCTION("""COMPUTED_VALUE"""),"हिन्दी")</f>
        <v>हिन्दी</v>
      </c>
      <c r="G771" s="1" t="str">
        <f ca="1">IFERROR(__xludf.DUMMYFUNCTION("""COMPUTED_VALUE"""),"व्यक्ति निर्माण, युवा/विद्यार्थी एवं शिक्षक")</f>
        <v>व्यक्ति निर्माण, युवा/विद्यार्थी एवं शिक्षक</v>
      </c>
      <c r="H771" s="1"/>
      <c r="I771" s="1"/>
      <c r="J771" s="1"/>
      <c r="K771" s="1"/>
      <c r="L771" s="1"/>
      <c r="M771" s="1"/>
      <c r="N771" s="1"/>
      <c r="O771" s="1"/>
      <c r="P771" s="1"/>
      <c r="Q771" s="1"/>
      <c r="R771" s="1"/>
      <c r="S771" s="1"/>
      <c r="T771" s="1" t="str">
        <f ca="1">IFERROR(__xludf.DUMMYFUNCTION("""COMPUTED_VALUE"""),"युवा जागृति")</f>
        <v>युवा जागृति</v>
      </c>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f ca="1">IFERROR(__xludf.DUMMYFUNCTION("""COMPUTED_VALUE"""),104)</f>
        <v>104</v>
      </c>
      <c r="BX771" s="1">
        <f ca="1">IFERROR(__xludf.DUMMYFUNCTION("""COMPUTED_VALUE"""),106)</f>
        <v>106</v>
      </c>
      <c r="BY771" s="1">
        <f ca="1">IFERROR(__xludf.DUMMYFUNCTION("""COMPUTED_VALUE"""),9)</f>
        <v>9</v>
      </c>
      <c r="BZ771" s="1">
        <f ca="1">IFERROR(__xludf.DUMMYFUNCTION("""COMPUTED_VALUE"""),43)</f>
        <v>43</v>
      </c>
      <c r="CA771" s="1"/>
      <c r="CB771" s="5">
        <f ca="1">IFERROR(__xludf.DUMMYFUNCTION("""COMPUTED_VALUE"""),45184.6703992129)</f>
        <v>45184.670399212897</v>
      </c>
      <c r="CC771" s="1" t="str">
        <f ca="1">IFERROR(__xludf.DUMMYFUNCTION("""COMPUTED_VALUE"""),"अपने को बदलें : H_PP_26")</f>
        <v>अपने को बदलें : H_PP_26</v>
      </c>
      <c r="CD771" s="3" t="str">
        <f ca="1">IFERROR(__xludf.DUMMYFUNCTION("""COMPUTED_VALUE"""),"https://vicharkrantibooks.org/productdetail?book_name=HINP0065_APANE_KO_BADALEN_xxyyyy&amp;product_id=630")</f>
        <v>https://vicharkrantibooks.org/productdetail?book_name=HINP0065_APANE_KO_BADALEN_xxyyyy&amp;product_id=630</v>
      </c>
      <c r="CE771" s="1" t="str">
        <f ca="1">IFERROR(__xludf.DUMMYFUNCTION("""COMPUTED_VALUE"""),"Audiobook : अपने को बदलें : H_PP_26 : druma4107@gmail.com : Recorded")</f>
        <v>Audiobook : अपने को बदलें : H_PP_26 : druma4107@gmail.com : Recorded</v>
      </c>
      <c r="CF771" s="1" t="str">
        <f ca="1">IFERROR(__xludf.DUMMYFUNCTION("""COMPUTED_VALUE"""),"Audiobook : अपने को बदलें : H_PP_26 : druma4107@gmail.com : Recorded")</f>
        <v>Audiobook : अपने को बदलें : H_PP_26 : druma4107@gmail.com : Recorded</v>
      </c>
      <c r="CG771" s="1" t="str">
        <f ca="1">IFERROR(__xludf.DUMMYFUNCTION("""COMPUTED_VALUE"""),"Adarniya Dr Uma Agrawal ji अपने को बदलें : H_PP_26 : Allocated on 05-Sep-23 Contact Number  9410861182")</f>
        <v>Adarniya Dr Uma Agrawal ji अपने को बदलें : H_PP_26 : Allocated on 05-Sep-23 Contact Number  9410861182</v>
      </c>
      <c r="CH771" s="1"/>
      <c r="CI771" s="1"/>
    </row>
    <row r="772" spans="1:87" x14ac:dyDescent="0.25">
      <c r="A772" s="5">
        <f ca="1">IFERROR(__xludf.DUMMYFUNCTION("""COMPUTED_VALUE"""),45174.532516875)</f>
        <v>45174.532516874999</v>
      </c>
      <c r="B772" s="1" t="str">
        <f ca="1">IFERROR(__xludf.DUMMYFUNCTION("""COMPUTED_VALUE"""),"rs_7982@yahoo.co.in")</f>
        <v>rs_7982@yahoo.co.in</v>
      </c>
      <c r="C772" s="1" t="str">
        <f ca="1">IFERROR(__xludf.DUMMYFUNCTION("""COMPUTED_VALUE"""),"Ruchi Anand ")</f>
        <v xml:space="preserve">Ruchi Anand </v>
      </c>
      <c r="D772" s="1">
        <f ca="1">IFERROR(__xludf.DUMMYFUNCTION("""COMPUTED_VALUE"""),7972158098)</f>
        <v>7972158098</v>
      </c>
      <c r="E772" s="1" t="str">
        <f ca="1">IFERROR(__xludf.DUMMYFUNCTION("""COMPUTED_VALUE"""),"No")</f>
        <v>No</v>
      </c>
      <c r="F772" s="1" t="str">
        <f ca="1">IFERROR(__xludf.DUMMYFUNCTION("""COMPUTED_VALUE"""),"हिन्दी or English")</f>
        <v>हिन्दी or English</v>
      </c>
      <c r="G772" s="1" t="str">
        <f ca="1">IFERROR(__xludf.DUMMYFUNCTION("""COMPUTED_VALUE"""),"युग द्रष्टा पं. श्रीराम शर्मा आचार्यजी")</f>
        <v>युग द्रष्टा पं. श्रीराम शर्मा आचार्यजी</v>
      </c>
      <c r="H772" s="1"/>
      <c r="I772" s="1"/>
      <c r="J772" s="1"/>
      <c r="K772" s="1"/>
      <c r="L772" s="1"/>
      <c r="M772" s="1"/>
      <c r="N772" s="1"/>
      <c r="O772" s="1"/>
      <c r="P772" s="1" t="str">
        <f ca="1">IFERROR(__xludf.DUMMYFUNCTION("""COMPUTED_VALUE"""),"युगॠषी की अमृतवाणी")</f>
        <v>युगॠषी की अमृतवाणी</v>
      </c>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f ca="1">IFERROR(__xludf.DUMMYFUNCTION("""COMPUTED_VALUE"""),4)</f>
        <v>4</v>
      </c>
      <c r="BX772" s="1">
        <f ca="1">IFERROR(__xludf.DUMMYFUNCTION("""COMPUTED_VALUE"""),3)</f>
        <v>3</v>
      </c>
      <c r="BY772" s="1">
        <f ca="1">IFERROR(__xludf.DUMMYFUNCTION("""COMPUTED_VALUE"""),2)</f>
        <v>2</v>
      </c>
      <c r="BZ772" s="1">
        <f ca="1">IFERROR(__xludf.DUMMYFUNCTION("""COMPUTED_VALUE"""),1)</f>
        <v>1</v>
      </c>
      <c r="CA772" s="1"/>
      <c r="CB772" s="5">
        <f ca="1">IFERROR(__xludf.DUMMYFUNCTION("""COMPUTED_VALUE"""),45184.532516875)</f>
        <v>45184.532516874999</v>
      </c>
      <c r="CC772" s="1" t="str">
        <f ca="1">IFERROR(__xludf.DUMMYFUNCTION("""COMPUTED_VALUE"""),"युग निर्माण शाखाओं के नियम तथा कार्यक्रम : Rare Book")</f>
        <v>युग निर्माण शाखाओं के नियम तथा कार्यक्रम : Rare Book</v>
      </c>
      <c r="CD772" s="3" t="str">
        <f ca="1">IFERROR(__xludf.DUMMYFUNCTION("""COMPUTED_VALUE"""),"https://vicharkrantibooks.org/productdetail?book_name=HINP1046_YUG_NIRMAN_SHAKHAON_KE_NIYAM_TATHA_KARYAKRAM_xxyyyy&amp;product_id=1611")</f>
        <v>https://vicharkrantibooks.org/productdetail?book_name=HINP1046_YUG_NIRMAN_SHAKHAON_KE_NIYAM_TATHA_KARYAKRAM_xxyyyy&amp;product_id=1611</v>
      </c>
      <c r="CE772" s="1" t="str">
        <f ca="1">IFERROR(__xludf.DUMMYFUNCTION("""COMPUTED_VALUE"""),"Audiobook : युग निर्माण शाखाओं के नियम तथा कार्यक्रम : Rare Book : rs_7982@yahoo.co.in : Recorded")</f>
        <v>Audiobook : युग निर्माण शाखाओं के नियम तथा कार्यक्रम : Rare Book : rs_7982@yahoo.co.in : Recorded</v>
      </c>
      <c r="CF772" s="1" t="str">
        <f ca="1">IFERROR(__xludf.DUMMYFUNCTION("""COMPUTED_VALUE"""),"Audiobook : युग निर्माण शाखाओं के नियम तथा कार्यक्रम : Rare Book : rs_7982@yahoo.co.in : Recorded")</f>
        <v>Audiobook : युग निर्माण शाखाओं के नियम तथा कार्यक्रम : Rare Book : rs_7982@yahoo.co.in : Recorded</v>
      </c>
      <c r="CG772" s="1" t="str">
        <f ca="1">IFERROR(__xludf.DUMMYFUNCTION("""COMPUTED_VALUE"""),"Adarniya Ruchi Anand  ji युग निर्माण शाखाओं के नियम तथा कार्यक्रम : Rare Book : Allocated on 05-Sep-23 Contact Number  7972158098")</f>
        <v>Adarniya Ruchi Anand  ji युग निर्माण शाखाओं के नियम तथा कार्यक्रम : Rare Book : Allocated on 05-Sep-23 Contact Number  7972158098</v>
      </c>
      <c r="CH772" s="1"/>
      <c r="CI772" s="1"/>
    </row>
    <row r="773" spans="1:87" x14ac:dyDescent="0.25">
      <c r="A773" s="5">
        <f ca="1">IFERROR(__xludf.DUMMYFUNCTION("""COMPUTED_VALUE"""),45174.0324466782)</f>
        <v>45174.032446678197</v>
      </c>
      <c r="B773" s="1" t="str">
        <f ca="1">IFERROR(__xludf.DUMMYFUNCTION("""COMPUTED_VALUE"""),"nsparmar_15_04@yahoo.com")</f>
        <v>nsparmar_15_04@yahoo.com</v>
      </c>
      <c r="C773" s="1" t="str">
        <f ca="1">IFERROR(__xludf.DUMMYFUNCTION("""COMPUTED_VALUE"""),"Neeta Parmar")</f>
        <v>Neeta Parmar</v>
      </c>
      <c r="D773" s="1">
        <f ca="1">IFERROR(__xludf.DUMMYFUNCTION("""COMPUTED_VALUE"""),14165584338)</f>
        <v>14165584338</v>
      </c>
      <c r="E773" s="1" t="str">
        <f ca="1">IFERROR(__xludf.DUMMYFUNCTION("""COMPUTED_VALUE"""),"Yes")</f>
        <v>Yes</v>
      </c>
      <c r="F773" s="1" t="str">
        <f ca="1">IFERROR(__xludf.DUMMYFUNCTION("""COMPUTED_VALUE"""),"हिन्दी")</f>
        <v>हिन्दी</v>
      </c>
      <c r="G773" s="1" t="str">
        <f ca="1">IFERROR(__xludf.DUMMYFUNCTION("""COMPUTED_VALUE"""),"समग्र स्वास्थ्य")</f>
        <v>समग्र स्वास्थ्य</v>
      </c>
      <c r="H773" s="1"/>
      <c r="I773" s="1"/>
      <c r="J773" s="1"/>
      <c r="K773" s="1"/>
      <c r="L773" s="1"/>
      <c r="M773" s="1"/>
      <c r="N773" s="1"/>
      <c r="O773" s="1"/>
      <c r="P773" s="1"/>
      <c r="Q773" s="1"/>
      <c r="R773" s="1"/>
      <c r="S773" s="1"/>
      <c r="T773" s="1"/>
      <c r="U773" s="1" t="str">
        <f ca="1">IFERROR(__xludf.DUMMYFUNCTION("""COMPUTED_VALUE"""),"स्वास्थ्य संवर्धन")</f>
        <v>स्वास्थ्य संवर्धन</v>
      </c>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f ca="1">IFERROR(__xludf.DUMMYFUNCTION("""COMPUTED_VALUE"""),3)</f>
        <v>3</v>
      </c>
      <c r="BX773" s="1">
        <f ca="1">IFERROR(__xludf.DUMMYFUNCTION("""COMPUTED_VALUE"""),2)</f>
        <v>2</v>
      </c>
      <c r="BY773" s="1">
        <f ca="1">IFERROR(__xludf.DUMMYFUNCTION("""COMPUTED_VALUE"""),1)</f>
        <v>1</v>
      </c>
      <c r="BZ773" s="1">
        <f ca="1">IFERROR(__xludf.DUMMYFUNCTION("""COMPUTED_VALUE"""),1)</f>
        <v>1</v>
      </c>
      <c r="CA773" s="1"/>
      <c r="CB773" s="5">
        <f ca="1">IFERROR(__xludf.DUMMYFUNCTION("""COMPUTED_VALUE"""),45184.0324466782)</f>
        <v>45184.032446678197</v>
      </c>
      <c r="CC773" s="1" t="str">
        <f ca="1">IFERROR(__xludf.DUMMYFUNCTION("""COMPUTED_VALUE"""),"घरेलू चिकित्सा : H_SV_02")</f>
        <v>घरेलू चिकित्सा : H_SV_02</v>
      </c>
      <c r="CD773" s="3" t="str">
        <f ca="1">IFERROR(__xludf.DUMMYFUNCTION("""COMPUTED_VALUE"""),"https://vicharkrantibooks.org/productdetail?book_name=HINR0495_GHARELU_CHIKITSA_Re2014&amp;product_id=2180")</f>
        <v>https://vicharkrantibooks.org/productdetail?book_name=HINR0495_GHARELU_CHIKITSA_Re2014&amp;product_id=2180</v>
      </c>
      <c r="CE773" s="1" t="str">
        <f ca="1">IFERROR(__xludf.DUMMYFUNCTION("""COMPUTED_VALUE"""),"Audiobook : घरेलू चिकित्सा : H_SV_02 : nsparmar_15_04@yahoo.com : Recorded")</f>
        <v>Audiobook : घरेलू चिकित्सा : H_SV_02 : nsparmar_15_04@yahoo.com : Recorded</v>
      </c>
      <c r="CF773" s="1" t="str">
        <f ca="1">IFERROR(__xludf.DUMMYFUNCTION("""COMPUTED_VALUE"""),"#N/A")</f>
        <v>#N/A</v>
      </c>
      <c r="CG773" s="1" t="str">
        <f ca="1">IFERROR(__xludf.DUMMYFUNCTION("""COMPUTED_VALUE"""),"Adarniya Neeta Parmar ji घरेलू चिकित्सा : H_SV_02 : Allocated on 05-Sep-23 Contact Number  14165584338")</f>
        <v>Adarniya Neeta Parmar ji घरेलू चिकित्सा : H_SV_02 : Allocated on 05-Sep-23 Contact Number  14165584338</v>
      </c>
      <c r="CH773" s="1"/>
      <c r="CI773" s="1"/>
    </row>
    <row r="774" spans="1:87" x14ac:dyDescent="0.25">
      <c r="A774" s="5">
        <f ca="1">IFERROR(__xludf.DUMMYFUNCTION("""COMPUTED_VALUE"""),45174.0096644907)</f>
        <v>45174.009664490703</v>
      </c>
      <c r="B774" s="1" t="str">
        <f ca="1">IFERROR(__xludf.DUMMYFUNCTION("""COMPUTED_VALUE"""),"mamta.patel1920@gmail.com")</f>
        <v>mamta.patel1920@gmail.com</v>
      </c>
      <c r="C774" s="1" t="str">
        <f ca="1">IFERROR(__xludf.DUMMYFUNCTION("""COMPUTED_VALUE"""),"Mamta patel")</f>
        <v>Mamta patel</v>
      </c>
      <c r="D774" s="1">
        <f ca="1">IFERROR(__xludf.DUMMYFUNCTION("""COMPUTED_VALUE"""),9429914610)</f>
        <v>9429914610</v>
      </c>
      <c r="E774" s="1" t="str">
        <f ca="1">IFERROR(__xludf.DUMMYFUNCTION("""COMPUTED_VALUE"""),"Yes")</f>
        <v>Yes</v>
      </c>
      <c r="F774" s="1" t="str">
        <f ca="1">IFERROR(__xludf.DUMMYFUNCTION("""COMPUTED_VALUE"""),"हिन्दी")</f>
        <v>हिन्दी</v>
      </c>
      <c r="G774" s="1" t="str">
        <f ca="1">IFERROR(__xludf.DUMMYFUNCTION("""COMPUTED_VALUE"""),"परिवार निर्माण")</f>
        <v>परिवार निर्माण</v>
      </c>
      <c r="H774" s="1"/>
      <c r="I774" s="1"/>
      <c r="J774" s="1"/>
      <c r="K774" s="1"/>
      <c r="L774" s="1"/>
      <c r="M774" s="1" t="str">
        <f ca="1">IFERROR(__xludf.DUMMYFUNCTION("""COMPUTED_VALUE"""),"बाल मनोविज्ञान")</f>
        <v>बाल मनोविज्ञान</v>
      </c>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f ca="1">IFERROR(__xludf.DUMMYFUNCTION("""COMPUTED_VALUE"""),2)</f>
        <v>2</v>
      </c>
      <c r="BX774" s="1">
        <f ca="1">IFERROR(__xludf.DUMMYFUNCTION("""COMPUTED_VALUE"""),2)</f>
        <v>2</v>
      </c>
      <c r="BY774" s="1">
        <f ca="1">IFERROR(__xludf.DUMMYFUNCTION("""COMPUTED_VALUE"""),1)</f>
        <v>1</v>
      </c>
      <c r="BZ774" s="1">
        <f ca="1">IFERROR(__xludf.DUMMYFUNCTION("""COMPUTED_VALUE"""),0)</f>
        <v>0</v>
      </c>
      <c r="CA774" s="1"/>
      <c r="CB774" s="5">
        <f ca="1">IFERROR(__xludf.DUMMYFUNCTION("""COMPUTED_VALUE"""),45184.0096644907)</f>
        <v>45184.009664490703</v>
      </c>
      <c r="CC774" s="1" t="str">
        <f ca="1">IFERROR(__xludf.DUMMYFUNCTION("""COMPUTED_VALUE"""),"तृष्णा ग्रस्त स्वार्थ संकीणता परले सिरे की मूर्खता : Rare Book")</f>
        <v>तृष्णा ग्रस्त स्वार्थ संकीणता परले सिरे की मूर्खता : Rare Book</v>
      </c>
      <c r="CD774" s="3" t="str">
        <f ca="1">IFERROR(__xludf.DUMMYFUNCTION("""COMPUTED_VALUE"""),"https://vicharkrantibooks.org/productdetail?book_name=HINP0912_TRUSHNA_GRAST_SWARTH_SANKINATA_PARALE_SIRE_KI_MURKHATA_xx1982&amp;product_id=1477")</f>
        <v>https://vicharkrantibooks.org/productdetail?book_name=HINP0912_TRUSHNA_GRAST_SWARTH_SANKINATA_PARALE_SIRE_KI_MURKHATA_xx1982&amp;product_id=1477</v>
      </c>
      <c r="CE774" s="1" t="str">
        <f ca="1">IFERROR(__xludf.DUMMYFUNCTION("""COMPUTED_VALUE"""),"Audiobook : तृष्णा ग्रस्त स्वार्थ संकीणता परले सिरे की मूर्खता : Rare Book : mamta.patel1920@gmail.com : Recorded")</f>
        <v>Audiobook : तृष्णा ग्रस्त स्वार्थ संकीणता परले सिरे की मूर्खता : Rare Book : mamta.patel1920@gmail.com : Recorded</v>
      </c>
      <c r="CF774" s="1" t="str">
        <f ca="1">IFERROR(__xludf.DUMMYFUNCTION("""COMPUTED_VALUE"""),"Audiobook : तृष्णा ग्रस्त स्वार्थ संकीणता परले सिरे की मूर्खता : Rare Book : mamta.patel1920@gmail.com : Recorded")</f>
        <v>Audiobook : तृष्णा ग्रस्त स्वार्थ संकीणता परले सिरे की मूर्खता : Rare Book : mamta.patel1920@gmail.com : Recorded</v>
      </c>
      <c r="CG774" s="1" t="str">
        <f ca="1">IFERROR(__xludf.DUMMYFUNCTION("""COMPUTED_VALUE"""),"Adarniya Mamta patel ji तृष्णा ग्रस्त स्वार्थ संकीणता परले सिरे की मूर्खता : Rare Book : Allocated on 05-Sep-23 Contact Number  9429914610")</f>
        <v>Adarniya Mamta patel ji तृष्णा ग्रस्त स्वार्थ संकीणता परले सिरे की मूर्खता : Rare Book : Allocated on 05-Sep-23 Contact Number  9429914610</v>
      </c>
      <c r="CH774" s="1"/>
      <c r="CI774" s="1"/>
    </row>
    <row r="775" spans="1:87" x14ac:dyDescent="0.25">
      <c r="A775" s="5">
        <f ca="1">IFERROR(__xludf.DUMMYFUNCTION("""COMPUTED_VALUE"""),45173.9337691435)</f>
        <v>45173.933769143499</v>
      </c>
      <c r="B775" s="1" t="str">
        <f ca="1">IFERROR(__xludf.DUMMYFUNCTION("""COMPUTED_VALUE"""),"rbbansalriya@gmail.com")</f>
        <v>rbbansalriya@gmail.com</v>
      </c>
      <c r="C775" s="1" t="str">
        <f ca="1">IFERROR(__xludf.DUMMYFUNCTION("""COMPUTED_VALUE"""),"Riya bansal ")</f>
        <v xml:space="preserve">Riya bansal </v>
      </c>
      <c r="D775" s="1">
        <f ca="1">IFERROR(__xludf.DUMMYFUNCTION("""COMPUTED_VALUE"""),9176361023)</f>
        <v>9176361023</v>
      </c>
      <c r="E775" s="1" t="str">
        <f ca="1">IFERROR(__xludf.DUMMYFUNCTION("""COMPUTED_VALUE"""),"Yes")</f>
        <v>Yes</v>
      </c>
      <c r="F775" s="1" t="str">
        <f ca="1">IFERROR(__xludf.DUMMYFUNCTION("""COMPUTED_VALUE"""),"हिन्दी")</f>
        <v>हिन्दी</v>
      </c>
      <c r="G775" s="1" t="str">
        <f ca="1">IFERROR(__xludf.DUMMYFUNCTION("""COMPUTED_VALUE"""),"समाज निर्माण")</f>
        <v>समाज निर्माण</v>
      </c>
      <c r="H775" s="1"/>
      <c r="I775" s="1"/>
      <c r="J775" s="1"/>
      <c r="K775" s="1"/>
      <c r="L775" s="1"/>
      <c r="M775" s="1"/>
      <c r="N775" s="1"/>
      <c r="O775" s="1"/>
      <c r="P775" s="1"/>
      <c r="Q775" s="1"/>
      <c r="R775" s="1"/>
      <c r="S775" s="1"/>
      <c r="T775" s="1"/>
      <c r="U775" s="1"/>
      <c r="V775" s="1" t="str">
        <f ca="1">IFERROR(__xludf.DUMMYFUNCTION("""COMPUTED_VALUE"""),"आदर्श विवाहों का प्रचलन")</f>
        <v>आदर्श विवाहों का प्रचलन</v>
      </c>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f ca="1">IFERROR(__xludf.DUMMYFUNCTION("""COMPUTED_VALUE"""),54)</f>
        <v>54</v>
      </c>
      <c r="BX775" s="1">
        <f ca="1">IFERROR(__xludf.DUMMYFUNCTION("""COMPUTED_VALUE"""),55)</f>
        <v>55</v>
      </c>
      <c r="BY775" s="1">
        <f ca="1">IFERROR(__xludf.DUMMYFUNCTION("""COMPUTED_VALUE"""),9)</f>
        <v>9</v>
      </c>
      <c r="BZ775" s="1">
        <f ca="1">IFERROR(__xludf.DUMMYFUNCTION("""COMPUTED_VALUE"""),43)</f>
        <v>43</v>
      </c>
      <c r="CA775" s="1"/>
      <c r="CB775" s="5">
        <f ca="1">IFERROR(__xludf.DUMMYFUNCTION("""COMPUTED_VALUE"""),45183.9337691435)</f>
        <v>45183.933769143499</v>
      </c>
      <c r="CC775" s="1" t="str">
        <f ca="1">IFERROR(__xludf.DUMMYFUNCTION("""COMPUTED_VALUE"""),"जागो शक्ति स्वरुपा नारी : H_SC_03")</f>
        <v>जागो शक्ति स्वरुपा नारी : H_SC_03</v>
      </c>
      <c r="CD775" s="3" t="str">
        <f ca="1">IFERROR(__xludf.DUMMYFUNCTION("""COMPUTED_VALUE"""),"https://vicharkrantibooks.org/productdetail?book_name=HINP0368_JAGO_SHAKTI_SWARUPA_NARI_xxyyyy&amp;product_id=933")</f>
        <v>https://vicharkrantibooks.org/productdetail?book_name=HINP0368_JAGO_SHAKTI_SWARUPA_NARI_xxyyyy&amp;product_id=933</v>
      </c>
      <c r="CE775" s="1" t="str">
        <f ca="1">IFERROR(__xludf.DUMMYFUNCTION("""COMPUTED_VALUE"""),"Audiobook : जागो शक्ति स्वरुपा नारी : H_SC_03 : rbbansalriya@gmail.com : Recorded")</f>
        <v>Audiobook : जागो शक्ति स्वरुपा नारी : H_SC_03 : rbbansalriya@gmail.com : Recorded</v>
      </c>
      <c r="CF775" s="1" t="str">
        <f ca="1">IFERROR(__xludf.DUMMYFUNCTION("""COMPUTED_VALUE"""),"Audiobook : जागो शक्ति स्वरुपा नारी : H_SC_03 : rbbansalriya@gmail.com : Recorded")</f>
        <v>Audiobook : जागो शक्ति स्वरुपा नारी : H_SC_03 : rbbansalriya@gmail.com : Recorded</v>
      </c>
      <c r="CG775" s="1" t="str">
        <f ca="1">IFERROR(__xludf.DUMMYFUNCTION("""COMPUTED_VALUE"""),"Adarniya Riya bansal  ji जागो शक्ति स्वरुपा नारी : H_SC_03 : Allocated on 04-Sep-23 Contact Number  9176361023")</f>
        <v>Adarniya Riya bansal  ji जागो शक्ति स्वरुपा नारी : H_SC_03 : Allocated on 04-Sep-23 Contact Number  9176361023</v>
      </c>
      <c r="CH775" s="1"/>
      <c r="CI775" s="1"/>
    </row>
    <row r="776" spans="1:87" x14ac:dyDescent="0.25">
      <c r="A776" s="5">
        <f ca="1">IFERROR(__xludf.DUMMYFUNCTION("""COMPUTED_VALUE"""),45173.6520845254)</f>
        <v>45173.652084525398</v>
      </c>
      <c r="B776" s="1" t="str">
        <f ca="1">IFERROR(__xludf.DUMMYFUNCTION("""COMPUTED_VALUE"""),"rajnivarma24.vns@gmail.com")</f>
        <v>rajnivarma24.vns@gmail.com</v>
      </c>
      <c r="C776" s="1" t="str">
        <f ca="1">IFERROR(__xludf.DUMMYFUNCTION("""COMPUTED_VALUE"""),"Rajni varma")</f>
        <v>Rajni varma</v>
      </c>
      <c r="D776" s="1">
        <f ca="1">IFERROR(__xludf.DUMMYFUNCTION("""COMPUTED_VALUE"""),9335661433)</f>
        <v>9335661433</v>
      </c>
      <c r="E776" s="1" t="str">
        <f ca="1">IFERROR(__xludf.DUMMYFUNCTION("""COMPUTED_VALUE"""),"No")</f>
        <v>No</v>
      </c>
      <c r="F776" s="1" t="str">
        <f ca="1">IFERROR(__xludf.DUMMYFUNCTION("""COMPUTED_VALUE"""),"हिन्दी")</f>
        <v>हिन्दी</v>
      </c>
      <c r="G776" s="1" t="str">
        <f ca="1">IFERROR(__xludf.DUMMYFUNCTION("""COMPUTED_VALUE"""),"अध्यात्म, धर्म एवं दर्शन")</f>
        <v>अध्यात्म, धर्म एवं दर्शन</v>
      </c>
      <c r="H776" s="1" t="str">
        <f ca="1">IFERROR(__xludf.DUMMYFUNCTION("""COMPUTED_VALUE"""),"अध्यात्म, धर्म एवं आस्तिकता")</f>
        <v>अध्यात्म, धर्म एवं आस्तिकता</v>
      </c>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f ca="1">IFERROR(__xludf.DUMMYFUNCTION("""COMPUTED_VALUE"""),30)</f>
        <v>30</v>
      </c>
      <c r="BX776" s="1">
        <f ca="1">IFERROR(__xludf.DUMMYFUNCTION("""COMPUTED_VALUE"""),25)</f>
        <v>25</v>
      </c>
      <c r="BY776" s="1">
        <f ca="1">IFERROR(__xludf.DUMMYFUNCTION("""COMPUTED_VALUE"""),7)</f>
        <v>7</v>
      </c>
      <c r="BZ776" s="1">
        <f ca="1">IFERROR(__xludf.DUMMYFUNCTION("""COMPUTED_VALUE"""),7)</f>
        <v>7</v>
      </c>
      <c r="CA776" s="1"/>
      <c r="CB776" s="5">
        <f ca="1">IFERROR(__xludf.DUMMYFUNCTION("""COMPUTED_VALUE"""),45183.6520845254)</f>
        <v>45183.652084525398</v>
      </c>
      <c r="CC776" s="1" t="str">
        <f ca="1">IFERROR(__xludf.DUMMYFUNCTION("""COMPUTED_VALUE"""),"पाना हैं तो देना सीखो : H_JS_27")</f>
        <v>पाना हैं तो देना सीखो : H_JS_27</v>
      </c>
      <c r="CD776" s="3" t="str">
        <f ca="1">IFERROR(__xludf.DUMMYFUNCTION("""COMPUTED_VALUE"""),"https://vicharkrantibooks.org/productdetail?book_name=HINP0611_PANA_HAI_TO_DENA_SIKHO_xx2011&amp;product_id=1176")</f>
        <v>https://vicharkrantibooks.org/productdetail?book_name=HINP0611_PANA_HAI_TO_DENA_SIKHO_xx2011&amp;product_id=1176</v>
      </c>
      <c r="CE776" s="1" t="str">
        <f ca="1">IFERROR(__xludf.DUMMYFUNCTION("""COMPUTED_VALUE"""),"Audiobook : पाना हैं तो देना सीखो : H_JS_27 : rajnivarma24.vns@gmail.com : Recorded")</f>
        <v>Audiobook : पाना हैं तो देना सीखो : H_JS_27 : rajnivarma24.vns@gmail.com : Recorded</v>
      </c>
      <c r="CF776" s="1" t="str">
        <f ca="1">IFERROR(__xludf.DUMMYFUNCTION("""COMPUTED_VALUE"""),"Audiobook : पाना हैं तो देना सीखो : H_JS_27 : rajnivarma24.vns@gmail.com : Recorded")</f>
        <v>Audiobook : पाना हैं तो देना सीखो : H_JS_27 : rajnivarma24.vns@gmail.com : Recorded</v>
      </c>
      <c r="CG776" s="1" t="str">
        <f ca="1">IFERROR(__xludf.DUMMYFUNCTION("""COMPUTED_VALUE"""),"Adarniya Rajni varma ji पाना हैं तो देना सीखो : H_JS_27 : Allocated on 04-Sep-23 Contact Number  9335661433")</f>
        <v>Adarniya Rajni varma ji पाना हैं तो देना सीखो : H_JS_27 : Allocated on 04-Sep-23 Contact Number  9335661433</v>
      </c>
      <c r="CH776" s="1"/>
      <c r="CI776" s="1"/>
    </row>
    <row r="777" spans="1:87" x14ac:dyDescent="0.25">
      <c r="A777" s="5">
        <f ca="1">IFERROR(__xludf.DUMMYFUNCTION("""COMPUTED_VALUE"""),45173.6391111458)</f>
        <v>45173.6391111458</v>
      </c>
      <c r="B777" s="1" t="str">
        <f ca="1">IFERROR(__xludf.DUMMYFUNCTION("""COMPUTED_VALUE"""),"rashmi0363@gmail.com")</f>
        <v>rashmi0363@gmail.com</v>
      </c>
      <c r="C777" s="1" t="str">
        <f ca="1">IFERROR(__xludf.DUMMYFUNCTION("""COMPUTED_VALUE"""),"Rashmi Sinha ")</f>
        <v xml:space="preserve">Rashmi Sinha </v>
      </c>
      <c r="D777" s="1">
        <f ca="1">IFERROR(__xludf.DUMMYFUNCTION("""COMPUTED_VALUE"""),9212688575)</f>
        <v>9212688575</v>
      </c>
      <c r="E777" s="1" t="str">
        <f ca="1">IFERROR(__xludf.DUMMYFUNCTION("""COMPUTED_VALUE"""),"No")</f>
        <v>No</v>
      </c>
      <c r="F777" s="1" t="str">
        <f ca="1">IFERROR(__xludf.DUMMYFUNCTION("""COMPUTED_VALUE"""),"हिन्दी")</f>
        <v>हिन्दी</v>
      </c>
      <c r="G777" s="1" t="str">
        <f ca="1">IFERROR(__xludf.DUMMYFUNCTION("""COMPUTED_VALUE"""),"भारतीय संस्कृति")</f>
        <v>भारतीय संस्कृति</v>
      </c>
      <c r="H777" s="1"/>
      <c r="I777" s="1"/>
      <c r="J777" s="1"/>
      <c r="K777" s="1"/>
      <c r="L777" s="1"/>
      <c r="M777" s="1"/>
      <c r="N777" s="1"/>
      <c r="O777" s="1" t="str">
        <f ca="1">IFERROR(__xludf.DUMMYFUNCTION("""COMPUTED_VALUE"""),"भारतीय संस्कृति")</f>
        <v>भारतीय संस्कृति</v>
      </c>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f ca="1">IFERROR(__xludf.DUMMYFUNCTION("""COMPUTED_VALUE"""),8)</f>
        <v>8</v>
      </c>
      <c r="BX777" s="1">
        <f ca="1">IFERROR(__xludf.DUMMYFUNCTION("""COMPUTED_VALUE"""),11)</f>
        <v>11</v>
      </c>
      <c r="BY777" s="1">
        <f ca="1">IFERROR(__xludf.DUMMYFUNCTION("""COMPUTED_VALUE"""),1)</f>
        <v>1</v>
      </c>
      <c r="BZ777" s="1">
        <f ca="1">IFERROR(__xludf.DUMMYFUNCTION("""COMPUTED_VALUE"""),5)</f>
        <v>5</v>
      </c>
      <c r="CA777" s="1"/>
      <c r="CB777" s="5">
        <f ca="1">IFERROR(__xludf.DUMMYFUNCTION("""COMPUTED_VALUE"""),45183.6391111458)</f>
        <v>45183.6391111458</v>
      </c>
      <c r="CC777" s="1" t="str">
        <f ca="1">IFERROR(__xludf.DUMMYFUNCTION("""COMPUTED_VALUE"""),"गायत्री साधना की उपलब्धियाँ : H_JS_05")</f>
        <v>गायत्री साधना की उपलब्धियाँ : H_JS_05</v>
      </c>
      <c r="CD777" s="3" t="str">
        <f ca="1">IFERROR(__xludf.DUMMYFUNCTION("""COMPUTED_VALUE"""),"https://vicharkrantibooks.org/productdetail?book_name=HINP0291_GAYATRI_SADHANA_KI_UPALABDHIYAN_xx2011&amp;product_id=856")</f>
        <v>https://vicharkrantibooks.org/productdetail?book_name=HINP0291_GAYATRI_SADHANA_KI_UPALABDHIYAN_xx2011&amp;product_id=856</v>
      </c>
      <c r="CE777" s="1" t="str">
        <f ca="1">IFERROR(__xludf.DUMMYFUNCTION("""COMPUTED_VALUE"""),"Audiobook : गायत्री साधना की उपलब्धियाँ : H_JS_05 : rashmi0363@gmail.com : Recorded")</f>
        <v>Audiobook : गायत्री साधना की उपलब्धियाँ : H_JS_05 : rashmi0363@gmail.com : Recorded</v>
      </c>
      <c r="CF777" s="1" t="str">
        <f ca="1">IFERROR(__xludf.DUMMYFUNCTION("""COMPUTED_VALUE"""),"#N/A")</f>
        <v>#N/A</v>
      </c>
      <c r="CG777" s="1" t="str">
        <f ca="1">IFERROR(__xludf.DUMMYFUNCTION("""COMPUTED_VALUE"""),"Adarniya Rashmi Sinha  ji गायत्री साधना की उपलब्धियाँ : H_JS_05 : Allocated on 04-Sep-23 Contact Number  9212688575")</f>
        <v>Adarniya Rashmi Sinha  ji गायत्री साधना की उपलब्धियाँ : H_JS_05 : Allocated on 04-Sep-23 Contact Number  9212688575</v>
      </c>
      <c r="CH777" s="1"/>
      <c r="CI777" s="1"/>
    </row>
    <row r="778" spans="1:87" x14ac:dyDescent="0.25">
      <c r="A778" s="5">
        <f ca="1">IFERROR(__xludf.DUMMYFUNCTION("""COMPUTED_VALUE"""),45173.2819806018)</f>
        <v>45173.281980601801</v>
      </c>
      <c r="B778" s="1" t="str">
        <f ca="1">IFERROR(__xludf.DUMMYFUNCTION("""COMPUTED_VALUE"""),"nibha.jolly@gmail.com")</f>
        <v>nibha.jolly@gmail.com</v>
      </c>
      <c r="C778" s="1" t="str">
        <f ca="1">IFERROR(__xludf.DUMMYFUNCTION("""COMPUTED_VALUE"""),"Nibha Jolly")</f>
        <v>Nibha Jolly</v>
      </c>
      <c r="D778" s="1">
        <f ca="1">IFERROR(__xludf.DUMMYFUNCTION("""COMPUTED_VALUE"""),7816065258)</f>
        <v>7816065258</v>
      </c>
      <c r="E778" s="1" t="str">
        <f ca="1">IFERROR(__xludf.DUMMYFUNCTION("""COMPUTED_VALUE"""),"Not Relevant")</f>
        <v>Not Relevant</v>
      </c>
      <c r="F778" s="1" t="str">
        <f ca="1">IFERROR(__xludf.DUMMYFUNCTION("""COMPUTED_VALUE"""),"हिन्दी or English")</f>
        <v>हिन्दी or English</v>
      </c>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f ca="1">IFERROR(__xludf.DUMMYFUNCTION("""COMPUTED_VALUE"""),2)</f>
        <v>2</v>
      </c>
      <c r="BX778" s="1">
        <f ca="1">IFERROR(__xludf.DUMMYFUNCTION("""COMPUTED_VALUE"""),0)</f>
        <v>0</v>
      </c>
      <c r="BY778" s="1">
        <f ca="1">IFERROR(__xludf.DUMMYFUNCTION("""COMPUTED_VALUE"""),2)</f>
        <v>2</v>
      </c>
      <c r="BZ778" s="1">
        <f ca="1">IFERROR(__xludf.DUMMYFUNCTION("""COMPUTED_VALUE"""),0)</f>
        <v>0</v>
      </c>
      <c r="CA778" s="1"/>
      <c r="CB778" s="5">
        <f ca="1">IFERROR(__xludf.DUMMYFUNCTION("""COMPUTED_VALUE"""),45183.2819806018)</f>
        <v>45183.281980601801</v>
      </c>
      <c r="CC778" s="1" t="str">
        <f ca="1">IFERROR(__xludf.DUMMYFUNCTION("""COMPUTED_VALUE"""),"No Other Way Except Women Evolution : EP_116")</f>
        <v>No Other Way Except Women Evolution : EP_116</v>
      </c>
      <c r="CD778" s="3" t="str">
        <f ca="1">IFERROR(__xludf.DUMMYFUNCTION("""COMPUTED_VALUE"""),"https://vicharkrantibooks.org/productdetail?book_name=ENGP0584_NO_OTHER_WAY_EXCEPT_WOMEN_EVOLUTION_xxyyyy&amp;product_id=3501")</f>
        <v>https://vicharkrantibooks.org/productdetail?book_name=ENGP0584_NO_OTHER_WAY_EXCEPT_WOMEN_EVOLUTION_xxyyyy&amp;product_id=3501</v>
      </c>
      <c r="CE778" s="1" t="str">
        <f ca="1">IFERROR(__xludf.DUMMYFUNCTION("""COMPUTED_VALUE"""),"Audiobook : No Other Way Except Women Evolution : EP_116 : nibha.jolly@gmail.com : Recorded")</f>
        <v>Audiobook : No Other Way Except Women Evolution : EP_116 : nibha.jolly@gmail.com : Recorded</v>
      </c>
      <c r="CF778" s="1" t="str">
        <f ca="1">IFERROR(__xludf.DUMMYFUNCTION("""COMPUTED_VALUE"""),"#N/A")</f>
        <v>#N/A</v>
      </c>
      <c r="CG778" s="1" t="str">
        <f ca="1">IFERROR(__xludf.DUMMYFUNCTION("""COMPUTED_VALUE"""),"Adarniya Nibha Jolly ji No Other Way Except Women Evolution : EP_116 : Allocated on 04-Sep-23 Contact Number  7816065258")</f>
        <v>Adarniya Nibha Jolly ji No Other Way Except Women Evolution : EP_116 : Allocated on 04-Sep-23 Contact Number  7816065258</v>
      </c>
      <c r="CH778" s="1"/>
      <c r="CI778" s="1"/>
    </row>
    <row r="779" spans="1:87" x14ac:dyDescent="0.25">
      <c r="A779" s="5">
        <f ca="1">IFERROR(__xludf.DUMMYFUNCTION("""COMPUTED_VALUE"""),45172.9577522685)</f>
        <v>45172.957752268499</v>
      </c>
      <c r="B779" s="1" t="str">
        <f ca="1">IFERROR(__xludf.DUMMYFUNCTION("""COMPUTED_VALUE"""),"jamunashukla17@gmail.com")</f>
        <v>jamunashukla17@gmail.com</v>
      </c>
      <c r="C779" s="1" t="str">
        <f ca="1">IFERROR(__xludf.DUMMYFUNCTION("""COMPUTED_VALUE"""),"Smt J S Shukla ")</f>
        <v xml:space="preserve">Smt J S Shukla </v>
      </c>
      <c r="D779" s="1">
        <f ca="1">IFERROR(__xludf.DUMMYFUNCTION("""COMPUTED_VALUE"""),8390353167)</f>
        <v>8390353167</v>
      </c>
      <c r="E779" s="1" t="str">
        <f ca="1">IFERROR(__xludf.DUMMYFUNCTION("""COMPUTED_VALUE"""),"Yes")</f>
        <v>Yes</v>
      </c>
      <c r="F779" s="1" t="str">
        <f ca="1">IFERROR(__xludf.DUMMYFUNCTION("""COMPUTED_VALUE"""),"हिन्दी")</f>
        <v>हिन्दी</v>
      </c>
      <c r="G779" s="1" t="str">
        <f ca="1">IFERROR(__xludf.DUMMYFUNCTION("""COMPUTED_VALUE"""),"जीवन प्रबंध")</f>
        <v>जीवन प्रबंध</v>
      </c>
      <c r="H779" s="1"/>
      <c r="I779" s="1"/>
      <c r="J779" s="1"/>
      <c r="K779" s="1"/>
      <c r="L779" s="1" t="str">
        <f ca="1">IFERROR(__xludf.DUMMYFUNCTION("""COMPUTED_VALUE"""),"मन की शक्ति एवं मनोविज्ञान")</f>
        <v>मन की शक्ति एवं मनोविज्ञान</v>
      </c>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f ca="1">IFERROR(__xludf.DUMMYFUNCTION("""COMPUTED_VALUE"""),53)</f>
        <v>53</v>
      </c>
      <c r="BX779" s="1">
        <f ca="1">IFERROR(__xludf.DUMMYFUNCTION("""COMPUTED_VALUE"""),53)</f>
        <v>53</v>
      </c>
      <c r="BY779" s="1">
        <f ca="1">IFERROR(__xludf.DUMMYFUNCTION("""COMPUTED_VALUE"""),9)</f>
        <v>9</v>
      </c>
      <c r="BZ779" s="1">
        <f ca="1">IFERROR(__xludf.DUMMYFUNCTION("""COMPUTED_VALUE"""),25)</f>
        <v>25</v>
      </c>
      <c r="CA779" s="1"/>
      <c r="CB779" s="5">
        <f ca="1">IFERROR(__xludf.DUMMYFUNCTION("""COMPUTED_VALUE"""),45182.9577522685)</f>
        <v>45182.957752268499</v>
      </c>
      <c r="CC779" s="1" t="str">
        <f ca="1">IFERROR(__xludf.DUMMYFUNCTION("""COMPUTED_VALUE"""),"जीवन व्यापार की सफलता का आधार शालीनता : Rare Book")</f>
        <v>जीवन व्यापार की सफलता का आधार शालीनता : Rare Book</v>
      </c>
      <c r="CD779" s="3" t="str">
        <f ca="1">IFERROR(__xludf.DUMMYFUNCTION("""COMPUTED_VALUE"""),"https://vicharkrantibooks.org/productdetail?book_name=HINP0397_JIVAN_VYAPAR_KI_SAPHALATA_KA_ADHAR_SHALINATA_xx1982&amp;product_id=962")</f>
        <v>https://vicharkrantibooks.org/productdetail?book_name=HINP0397_JIVAN_VYAPAR_KI_SAPHALATA_KA_ADHAR_SHALINATA_xx1982&amp;product_id=962</v>
      </c>
      <c r="CE779" s="1" t="str">
        <f ca="1">IFERROR(__xludf.DUMMYFUNCTION("""COMPUTED_VALUE"""),"Audiobook : जीवन व्यापार की सफलता का आधार शालीनता : Rare Book : jamunashukla17@gmail.com : Recorded")</f>
        <v>Audiobook : जीवन व्यापार की सफलता का आधार शालीनता : Rare Book : jamunashukla17@gmail.com : Recorded</v>
      </c>
      <c r="CF779" s="1" t="str">
        <f ca="1">IFERROR(__xludf.DUMMYFUNCTION("""COMPUTED_VALUE"""),"Audiobook : जीवन व्यापार की सफलता का आधार शालीनता : Rare Book : jamunashukla17@gmail.com : Recorded")</f>
        <v>Audiobook : जीवन व्यापार की सफलता का आधार शालीनता : Rare Book : jamunashukla17@gmail.com : Recorded</v>
      </c>
      <c r="CG779" s="1" t="str">
        <f ca="1">IFERROR(__xludf.DUMMYFUNCTION("""COMPUTED_VALUE"""),"Adarniya Smt J S Shukla  ji जीवन व्यापार की सफलता का आधार शालीनता : Rare Book : Allocated on 03-Sep-23 Contact Number  8390353167")</f>
        <v>Adarniya Smt J S Shukla  ji जीवन व्यापार की सफलता का आधार शालीनता : Rare Book : Allocated on 03-Sep-23 Contact Number  8390353167</v>
      </c>
      <c r="CH779" s="1"/>
      <c r="CI779" s="1"/>
    </row>
    <row r="780" spans="1:87" x14ac:dyDescent="0.25">
      <c r="A780" s="5">
        <f ca="1">IFERROR(__xludf.DUMMYFUNCTION("""COMPUTED_VALUE"""),45172.5276858333)</f>
        <v>45172.527685833302</v>
      </c>
      <c r="B780" s="1" t="str">
        <f ca="1">IFERROR(__xludf.DUMMYFUNCTION("""COMPUTED_VALUE"""),"ambrish_raja@yahoo.com")</f>
        <v>ambrish_raja@yahoo.com</v>
      </c>
      <c r="C780" s="1" t="str">
        <f ca="1">IFERROR(__xludf.DUMMYFUNCTION("""COMPUTED_VALUE"""),"Ambrish Kanungo")</f>
        <v>Ambrish Kanungo</v>
      </c>
      <c r="D780" s="1">
        <f ca="1">IFERROR(__xludf.DUMMYFUNCTION("""COMPUTED_VALUE"""),9423032421)</f>
        <v>9423032421</v>
      </c>
      <c r="E780" s="1" t="str">
        <f ca="1">IFERROR(__xludf.DUMMYFUNCTION("""COMPUTED_VALUE"""),"Yes")</f>
        <v>Yes</v>
      </c>
      <c r="F780" s="1" t="str">
        <f ca="1">IFERROR(__xludf.DUMMYFUNCTION("""COMPUTED_VALUE"""),"हिन्दी or English")</f>
        <v>हिन्दी or English</v>
      </c>
      <c r="G780" s="1" t="str">
        <f ca="1">IFERROR(__xludf.DUMMYFUNCTION("""COMPUTED_VALUE"""),"अध्यात्म, धर्म एवं दर्शन")</f>
        <v>अध्यात्म, धर्म एवं दर्शन</v>
      </c>
      <c r="H780" s="1" t="str">
        <f ca="1">IFERROR(__xludf.DUMMYFUNCTION("""COMPUTED_VALUE"""),"उपासना")</f>
        <v>उपासना</v>
      </c>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f ca="1">IFERROR(__xludf.DUMMYFUNCTION("""COMPUTED_VALUE"""),1)</f>
        <v>1</v>
      </c>
      <c r="BX780" s="1">
        <f ca="1">IFERROR(__xludf.DUMMYFUNCTION("""COMPUTED_VALUE"""),0)</f>
        <v>0</v>
      </c>
      <c r="BY780" s="1">
        <f ca="1">IFERROR(__xludf.DUMMYFUNCTION("""COMPUTED_VALUE"""),1)</f>
        <v>1</v>
      </c>
      <c r="BZ780" s="1">
        <f ca="1">IFERROR(__xludf.DUMMYFUNCTION("""COMPUTED_VALUE"""),0)</f>
        <v>0</v>
      </c>
      <c r="CA780" s="1"/>
      <c r="CB780" s="5">
        <f ca="1">IFERROR(__xludf.DUMMYFUNCTION("""COMPUTED_VALUE"""),45182.5276858333)</f>
        <v>45182.527685833302</v>
      </c>
      <c r="CC780" s="1" t="str">
        <f ca="1">IFERROR(__xludf.DUMMYFUNCTION("""COMPUTED_VALUE"""),"In The Angelic Light Of Rishi Thoughts 5 : EP_70_5")</f>
        <v>In The Angelic Light Of Rishi Thoughts 5 : EP_70_5</v>
      </c>
      <c r="CD780" s="3" t="str">
        <f ca="1">IFERROR(__xludf.DUMMYFUNCTION("""COMPUTED_VALUE"""),"https://vicharkrantibooks.org/productdetail?book_name=ENGP0716_IN_THE_ANGELIC_LIGHT_OF_RISHI_THOUGHTS_5_xxyyyy&amp;product_id=3464")</f>
        <v>https://vicharkrantibooks.org/productdetail?book_name=ENGP0716_IN_THE_ANGELIC_LIGHT_OF_RISHI_THOUGHTS_5_xxyyyy&amp;product_id=3464</v>
      </c>
      <c r="CE780" s="1" t="str">
        <f ca="1">IFERROR(__xludf.DUMMYFUNCTION("""COMPUTED_VALUE"""),"Audiobook : In The Angelic Light Of Rishi Thoughts 5 : EP_70_5 : ambrish_raja@yahoo.com : Recorded")</f>
        <v>Audiobook : In The Angelic Light Of Rishi Thoughts 5 : EP_70_5 : ambrish_raja@yahoo.com : Recorded</v>
      </c>
      <c r="CF780" s="1" t="str">
        <f ca="1">IFERROR(__xludf.DUMMYFUNCTION("""COMPUTED_VALUE"""),"#N/A")</f>
        <v>#N/A</v>
      </c>
      <c r="CG780" s="1" t="str">
        <f ca="1">IFERROR(__xludf.DUMMYFUNCTION("""COMPUTED_VALUE"""),"Adarniya Ambrish Kanungo ji In The Angelic Light Of Rishi Thoughts 5 : EP_70_5 : Allocated on 03-Sep-23 Contact Number  9423032421")</f>
        <v>Adarniya Ambrish Kanungo ji In The Angelic Light Of Rishi Thoughts 5 : EP_70_5 : Allocated on 03-Sep-23 Contact Number  9423032421</v>
      </c>
      <c r="CH780" s="1"/>
      <c r="CI780" s="1"/>
    </row>
    <row r="781" spans="1:87" x14ac:dyDescent="0.25">
      <c r="A781" s="5">
        <f ca="1">IFERROR(__xludf.DUMMYFUNCTION("""COMPUTED_VALUE"""),45171.9980094907)</f>
        <v>45171.9980094907</v>
      </c>
      <c r="B781" s="1" t="str">
        <f ca="1">IFERROR(__xludf.DUMMYFUNCTION("""COMPUTED_VALUE"""),"spmittalmumbai@gmail.com")</f>
        <v>spmittalmumbai@gmail.com</v>
      </c>
      <c r="C781" s="1" t="str">
        <f ca="1">IFERROR(__xludf.DUMMYFUNCTION("""COMPUTED_VALUE"""),"Dr.S.P.Mittal")</f>
        <v>Dr.S.P.Mittal</v>
      </c>
      <c r="D781" s="1">
        <f ca="1">IFERROR(__xludf.DUMMYFUNCTION("""COMPUTED_VALUE"""),9860003407)</f>
        <v>9860003407</v>
      </c>
      <c r="E781" s="1" t="str">
        <f ca="1">IFERROR(__xludf.DUMMYFUNCTION("""COMPUTED_VALUE"""),"Yes")</f>
        <v>Yes</v>
      </c>
      <c r="F781" s="1" t="str">
        <f ca="1">IFERROR(__xludf.DUMMYFUNCTION("""COMPUTED_VALUE"""),"हिन्दी")</f>
        <v>हिन्दी</v>
      </c>
      <c r="G781" s="1" t="str">
        <f ca="1">IFERROR(__xludf.DUMMYFUNCTION("""COMPUTED_VALUE"""),"युग परिवर्तन-विचार क्रांति")</f>
        <v>युग परिवर्तन-विचार क्रांति</v>
      </c>
      <c r="H781" s="1"/>
      <c r="I781" s="1"/>
      <c r="J781" s="1"/>
      <c r="K781" s="1"/>
      <c r="L781" s="1"/>
      <c r="M781" s="1"/>
      <c r="N781" s="1"/>
      <c r="O781" s="1"/>
      <c r="P781" s="1"/>
      <c r="Q781" s="1" t="str">
        <f ca="1">IFERROR(__xludf.DUMMYFUNCTION("""COMPUTED_VALUE"""),"विचार क्रांति")</f>
        <v>विचार क्रांति</v>
      </c>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f ca="1">IFERROR(__xludf.DUMMYFUNCTION("""COMPUTED_VALUE"""),39)</f>
        <v>39</v>
      </c>
      <c r="BX781" s="1">
        <f ca="1">IFERROR(__xludf.DUMMYFUNCTION("""COMPUTED_VALUE"""),32)</f>
        <v>32</v>
      </c>
      <c r="BY781" s="1">
        <f ca="1">IFERROR(__xludf.DUMMYFUNCTION("""COMPUTED_VALUE"""),11)</f>
        <v>11</v>
      </c>
      <c r="BZ781" s="1">
        <f ca="1">IFERROR(__xludf.DUMMYFUNCTION("""COMPUTED_VALUE"""),23)</f>
        <v>23</v>
      </c>
      <c r="CA781" s="1"/>
      <c r="CB781" s="5">
        <f ca="1">IFERROR(__xludf.DUMMYFUNCTION("""COMPUTED_VALUE"""),45181.9980094907)</f>
        <v>45181.9980094907</v>
      </c>
      <c r="CC781" s="1" t="str">
        <f ca="1">IFERROR(__xludf.DUMMYFUNCTION("""COMPUTED_VALUE"""),"युग निर्माण योजना का सत्‌-संकल्प : H_KD_46")</f>
        <v>युग निर्माण योजना का सत्‌-संकल्प : H_KD_46</v>
      </c>
      <c r="CD781" s="3" t="str">
        <f ca="1">IFERROR(__xludf.DUMMYFUNCTION("""COMPUTED_VALUE"""),"https://vicharkrantibooks.org/productdetail?book_name=HINP1048_YUG_NIRMAN_YOJANA_KA_SAT%E2%80%8C_SANKALP_xxyyyy&amp;product_id=1613")</f>
        <v>https://vicharkrantibooks.org/productdetail?book_name=HINP1048_YUG_NIRMAN_YOJANA_KA_SAT%E2%80%8C_SANKALP_xxyyyy&amp;product_id=1613</v>
      </c>
      <c r="CE781" s="1" t="str">
        <f ca="1">IFERROR(__xludf.DUMMYFUNCTION("""COMPUTED_VALUE"""),"Audiobook : युग निर्माण योजना का सत्‌-संकल्प : H_KD_46 : spmittalmumbai@gmail.com : Recorded")</f>
        <v>Audiobook : युग निर्माण योजना का सत्‌-संकल्प : H_KD_46 : spmittalmumbai@gmail.com : Recorded</v>
      </c>
      <c r="CF781" s="1" t="str">
        <f ca="1">IFERROR(__xludf.DUMMYFUNCTION("""COMPUTED_VALUE"""),"#N/A")</f>
        <v>#N/A</v>
      </c>
      <c r="CG781" s="1" t="str">
        <f ca="1">IFERROR(__xludf.DUMMYFUNCTION("""COMPUTED_VALUE"""),"Adarniya Dr.S.P.Mittal ji युग निर्माण योजना का सत्‌-संकल्प : H_KD_46 : Allocated on 02-Sep-23 Contact Number  9860003407")</f>
        <v>Adarniya Dr.S.P.Mittal ji युग निर्माण योजना का सत्‌-संकल्प : H_KD_46 : Allocated on 02-Sep-23 Contact Number  9860003407</v>
      </c>
      <c r="CH781" s="1"/>
      <c r="CI781" s="1"/>
    </row>
    <row r="782" spans="1:87" x14ac:dyDescent="0.25">
      <c r="A782" s="5">
        <f ca="1">IFERROR(__xludf.DUMMYFUNCTION("""COMPUTED_VALUE"""),45170.7646369097)</f>
        <v>45170.764636909698</v>
      </c>
      <c r="B782" s="1" t="str">
        <f ca="1">IFERROR(__xludf.DUMMYFUNCTION("""COMPUTED_VALUE"""),"sharmabhavna33@gmail.com")</f>
        <v>sharmabhavna33@gmail.com</v>
      </c>
      <c r="C782" s="1" t="str">
        <f ca="1">IFERROR(__xludf.DUMMYFUNCTION("""COMPUTED_VALUE"""),"भावना पाराशर ")</f>
        <v xml:space="preserve">भावना पाराशर </v>
      </c>
      <c r="D782" s="1">
        <f ca="1">IFERROR(__xludf.DUMMYFUNCTION("""COMPUTED_VALUE"""),9826248427)</f>
        <v>9826248427</v>
      </c>
      <c r="E782" s="1" t="str">
        <f ca="1">IFERROR(__xludf.DUMMYFUNCTION("""COMPUTED_VALUE"""),"Yes")</f>
        <v>Yes</v>
      </c>
      <c r="F782" s="1" t="str">
        <f ca="1">IFERROR(__xludf.DUMMYFUNCTION("""COMPUTED_VALUE"""),"हिन्दी")</f>
        <v>हिन्दी</v>
      </c>
      <c r="G782" s="1" t="str">
        <f ca="1">IFERROR(__xludf.DUMMYFUNCTION("""COMPUTED_VALUE"""),"युग परिवर्तन-विचार क्रांति")</f>
        <v>युग परिवर्तन-विचार क्रांति</v>
      </c>
      <c r="H782" s="1"/>
      <c r="I782" s="1"/>
      <c r="J782" s="1"/>
      <c r="K782" s="1"/>
      <c r="L782" s="1"/>
      <c r="M782" s="1"/>
      <c r="N782" s="1"/>
      <c r="O782" s="1"/>
      <c r="P782" s="1"/>
      <c r="Q782" s="1" t="str">
        <f ca="1">IFERROR(__xludf.DUMMYFUNCTION("""COMPUTED_VALUE"""),"विचार क्रांति")</f>
        <v>विचार क्रांति</v>
      </c>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f ca="1">IFERROR(__xludf.DUMMYFUNCTION("""COMPUTED_VALUE"""),9)</f>
        <v>9</v>
      </c>
      <c r="BX782" s="1">
        <f ca="1">IFERROR(__xludf.DUMMYFUNCTION("""COMPUTED_VALUE"""),3)</f>
        <v>3</v>
      </c>
      <c r="BY782" s="1">
        <f ca="1">IFERROR(__xludf.DUMMYFUNCTION("""COMPUTED_VALUE"""),6)</f>
        <v>6</v>
      </c>
      <c r="BZ782" s="1">
        <f ca="1">IFERROR(__xludf.DUMMYFUNCTION("""COMPUTED_VALUE"""),1)</f>
        <v>1</v>
      </c>
      <c r="CA782" s="1"/>
      <c r="CB782" s="5">
        <f ca="1">IFERROR(__xludf.DUMMYFUNCTION("""COMPUTED_VALUE"""),45180.7646369097)</f>
        <v>45180.764636909698</v>
      </c>
      <c r="CC782" s="1" t="str">
        <f ca="1">IFERROR(__xludf.DUMMYFUNCTION("""COMPUTED_VALUE"""),"इक्कीसवीं सदी का गंगावतरण : H_KD_22")</f>
        <v>इक्कीसवीं सदी का गंगावतरण : H_KD_22</v>
      </c>
      <c r="CD782" s="3" t="str">
        <f ca="1">IFERROR(__xludf.DUMMYFUNCTION("""COMPUTED_VALUE"""),"https://vicharkrantibooks.org/productdetail?book_name=HINR0580_IKKISAVI_SADI_KA_GANGAVATARAN_Re2014&amp;product_id=2265")</f>
        <v>https://vicharkrantibooks.org/productdetail?book_name=HINR0580_IKKISAVI_SADI_KA_GANGAVATARAN_Re2014&amp;product_id=2265</v>
      </c>
      <c r="CE782" s="1" t="str">
        <f ca="1">IFERROR(__xludf.DUMMYFUNCTION("""COMPUTED_VALUE"""),"Audiobook : इक्कीसवीं सदी का गंगावतरण : H_KD_22 : sharmabhavna33@gmail.com : Recorded")</f>
        <v>Audiobook : इक्कीसवीं सदी का गंगावतरण : H_KD_22 : sharmabhavna33@gmail.com : Recorded</v>
      </c>
      <c r="CF782" s="1" t="str">
        <f ca="1">IFERROR(__xludf.DUMMYFUNCTION("""COMPUTED_VALUE"""),"#N/A")</f>
        <v>#N/A</v>
      </c>
      <c r="CG782" s="1" t="str">
        <f ca="1">IFERROR(__xludf.DUMMYFUNCTION("""COMPUTED_VALUE"""),"Adarniya भावना पाराशर  ji इक्कीसवीं सदी का गंगावतरण : H_KD_22 : Allocated on 01-Sep-23 Contact Number  9826248427")</f>
        <v>Adarniya भावना पाराशर  ji इक्कीसवीं सदी का गंगावतरण : H_KD_22 : Allocated on 01-Sep-23 Contact Number  9826248427</v>
      </c>
      <c r="CH782" s="1"/>
      <c r="CI782" s="1"/>
    </row>
    <row r="783" spans="1:87" x14ac:dyDescent="0.25">
      <c r="A783" s="5">
        <f ca="1">IFERROR(__xludf.DUMMYFUNCTION("""COMPUTED_VALUE"""),45170.5647840856)</f>
        <v>45170.564784085604</v>
      </c>
      <c r="B783" s="1" t="str">
        <f ca="1">IFERROR(__xludf.DUMMYFUNCTION("""COMPUTED_VALUE"""),"rajnivarma24.vns@gmail.com")</f>
        <v>rajnivarma24.vns@gmail.com</v>
      </c>
      <c r="C783" s="1" t="str">
        <f ca="1">IFERROR(__xludf.DUMMYFUNCTION("""COMPUTED_VALUE"""),"Rajni varma")</f>
        <v>Rajni varma</v>
      </c>
      <c r="D783" s="1">
        <f ca="1">IFERROR(__xludf.DUMMYFUNCTION("""COMPUTED_VALUE"""),9335661433)</f>
        <v>9335661433</v>
      </c>
      <c r="E783" s="1" t="str">
        <f ca="1">IFERROR(__xludf.DUMMYFUNCTION("""COMPUTED_VALUE"""),"No")</f>
        <v>No</v>
      </c>
      <c r="F783" s="1" t="str">
        <f ca="1">IFERROR(__xludf.DUMMYFUNCTION("""COMPUTED_VALUE"""),"हिन्दी")</f>
        <v>हिन्दी</v>
      </c>
      <c r="G783" s="1" t="str">
        <f ca="1">IFERROR(__xludf.DUMMYFUNCTION("""COMPUTED_VALUE"""),"अध्यात्म, धर्म एवं दर्शन")</f>
        <v>अध्यात्म, धर्म एवं दर्शन</v>
      </c>
      <c r="H783" s="1" t="str">
        <f ca="1">IFERROR(__xludf.DUMMYFUNCTION("""COMPUTED_VALUE"""),"अध्यात्म, धर्म एवं आस्तिकता")</f>
        <v>अध्यात्म, धर्म एवं आस्तिकता</v>
      </c>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f ca="1">IFERROR(__xludf.DUMMYFUNCTION("""COMPUTED_VALUE"""),30)</f>
        <v>30</v>
      </c>
      <c r="BX783" s="1">
        <f ca="1">IFERROR(__xludf.DUMMYFUNCTION("""COMPUTED_VALUE"""),25)</f>
        <v>25</v>
      </c>
      <c r="BY783" s="1">
        <f ca="1">IFERROR(__xludf.DUMMYFUNCTION("""COMPUTED_VALUE"""),7)</f>
        <v>7</v>
      </c>
      <c r="BZ783" s="1">
        <f ca="1">IFERROR(__xludf.DUMMYFUNCTION("""COMPUTED_VALUE"""),7)</f>
        <v>7</v>
      </c>
      <c r="CA783" s="1"/>
      <c r="CB783" s="5">
        <f ca="1">IFERROR(__xludf.DUMMYFUNCTION("""COMPUTED_VALUE"""),45180.5647840856)</f>
        <v>45180.564784085604</v>
      </c>
      <c r="CC783" s="1" t="str">
        <f ca="1">IFERROR(__xludf.DUMMYFUNCTION("""COMPUTED_VALUE"""),"पात्रता विकसित करें भगवान को प्राप्त करें : H_JS_11")</f>
        <v>पात्रता विकसित करें भगवान को प्राप्त करें : H_JS_11</v>
      </c>
      <c r="CD783" s="3" t="str">
        <f ca="1">IFERROR(__xludf.DUMMYFUNCTION("""COMPUTED_VALUE"""),"https://vicharkrantibooks.org/productdetail?book_name=HINP0644_PATRATA_VIKASIT_KAREN_BHAGAVAN_KO_PRAPT_KAREN_xx2011&amp;product_id=1209")</f>
        <v>https://vicharkrantibooks.org/productdetail?book_name=HINP0644_PATRATA_VIKASIT_KAREN_BHAGAVAN_KO_PRAPT_KAREN_xx2011&amp;product_id=1209</v>
      </c>
      <c r="CE783" s="1" t="str">
        <f ca="1">IFERROR(__xludf.DUMMYFUNCTION("""COMPUTED_VALUE"""),"Audiobook : पात्रता विकसित करें भगवान को प्राप्त करें : H_JS_11 : rajnivarma24.vns@gmail.com : Recorded")</f>
        <v>Audiobook : पात्रता विकसित करें भगवान को प्राप्त करें : H_JS_11 : rajnivarma24.vns@gmail.com : Recorded</v>
      </c>
      <c r="CF783" s="1" t="str">
        <f ca="1">IFERROR(__xludf.DUMMYFUNCTION("""COMPUTED_VALUE"""),"Audiobook : पात्रता विकसित करें भगवान को प्राप्त करें : H_JS_11 : rajnivarma24.vns@gmail.com : Recorded")</f>
        <v>Audiobook : पात्रता विकसित करें भगवान को प्राप्त करें : H_JS_11 : rajnivarma24.vns@gmail.com : Recorded</v>
      </c>
      <c r="CG783" s="1" t="str">
        <f ca="1">IFERROR(__xludf.DUMMYFUNCTION("""COMPUTED_VALUE"""),"Adarniya Rajni varma ji पात्रता विकसित करें भगवान को प्राप्त करें : H_JS_11 : Allocated on 01-Sep-23 Contact Number  9335661433")</f>
        <v>Adarniya Rajni varma ji पात्रता विकसित करें भगवान को प्राप्त करें : H_JS_11 : Allocated on 01-Sep-23 Contact Number  9335661433</v>
      </c>
      <c r="CH783" s="1"/>
      <c r="CI783" s="1"/>
    </row>
    <row r="784" spans="1:87" x14ac:dyDescent="0.25">
      <c r="A784" s="5">
        <f ca="1">IFERROR(__xludf.DUMMYFUNCTION("""COMPUTED_VALUE"""),45170.2441369675)</f>
        <v>45170.2441369675</v>
      </c>
      <c r="B784" s="1" t="str">
        <f ca="1">IFERROR(__xludf.DUMMYFUNCTION("""COMPUTED_VALUE"""),"daleshwary67@gmail.com")</f>
        <v>daleshwary67@gmail.com</v>
      </c>
      <c r="C784" s="1" t="str">
        <f ca="1">IFERROR(__xludf.DUMMYFUNCTION("""COMPUTED_VALUE"""),"daleshwary sharma")</f>
        <v>daleshwary sharma</v>
      </c>
      <c r="D784" s="1">
        <f ca="1">IFERROR(__xludf.DUMMYFUNCTION("""COMPUTED_VALUE"""),8587900034)</f>
        <v>8587900034</v>
      </c>
      <c r="E784" s="1" t="str">
        <f ca="1">IFERROR(__xludf.DUMMYFUNCTION("""COMPUTED_VALUE"""),"No")</f>
        <v>No</v>
      </c>
      <c r="F784" s="1" t="str">
        <f ca="1">IFERROR(__xludf.DUMMYFUNCTION("""COMPUTED_VALUE"""),"हिन्दी")</f>
        <v>हिन्दी</v>
      </c>
      <c r="G784" s="1" t="str">
        <f ca="1">IFERROR(__xludf.DUMMYFUNCTION("""COMPUTED_VALUE"""),"युग परिवर्तन-विचार क्रांति")</f>
        <v>युग परिवर्तन-विचार क्रांति</v>
      </c>
      <c r="H784" s="1"/>
      <c r="I784" s="1"/>
      <c r="J784" s="1"/>
      <c r="K784" s="1"/>
      <c r="L784" s="1"/>
      <c r="M784" s="1"/>
      <c r="N784" s="1"/>
      <c r="O784" s="1"/>
      <c r="P784" s="1"/>
      <c r="Q784" s="1" t="str">
        <f ca="1">IFERROR(__xludf.DUMMYFUNCTION("""COMPUTED_VALUE"""),"विचार क्रांति")</f>
        <v>विचार क्रांति</v>
      </c>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f ca="1">IFERROR(__xludf.DUMMYFUNCTION("""COMPUTED_VALUE"""),15)</f>
        <v>15</v>
      </c>
      <c r="BX784" s="1">
        <f ca="1">IFERROR(__xludf.DUMMYFUNCTION("""COMPUTED_VALUE"""),9)</f>
        <v>9</v>
      </c>
      <c r="BY784" s="1">
        <f ca="1">IFERROR(__xludf.DUMMYFUNCTION("""COMPUTED_VALUE"""),5)</f>
        <v>5</v>
      </c>
      <c r="BZ784" s="1">
        <f ca="1">IFERROR(__xludf.DUMMYFUNCTION("""COMPUTED_VALUE"""),5)</f>
        <v>5</v>
      </c>
      <c r="CA784" s="1"/>
      <c r="CB784" s="5">
        <f ca="1">IFERROR(__xludf.DUMMYFUNCTION("""COMPUTED_VALUE"""),45180.2441369675)</f>
        <v>45180.2441369675</v>
      </c>
      <c r="CC784" s="1" t="str">
        <f ca="1">IFERROR(__xludf.DUMMYFUNCTION("""COMPUTED_VALUE"""),"युग परिवर्तन इस्लामीक दृष्टिकोण : H_BD_23")</f>
        <v>युग परिवर्तन इस्लामीक दृष्टिकोण : H_BD_23</v>
      </c>
      <c r="CD784" s="3" t="str">
        <f ca="1">IFERROR(__xludf.DUMMYFUNCTION("""COMPUTED_VALUE"""),"https://vicharkrantibooks.org/productdetail?book_name=HINP1050_YUG_PARIVARTAN_ISLAMIK_DRUSHTIKON_xx2013&amp;product_id=1615")</f>
        <v>https://vicharkrantibooks.org/productdetail?book_name=HINP1050_YUG_PARIVARTAN_ISLAMIK_DRUSHTIKON_xx2013&amp;product_id=1615</v>
      </c>
      <c r="CE784" s="1" t="str">
        <f ca="1">IFERROR(__xludf.DUMMYFUNCTION("""COMPUTED_VALUE"""),"Audiobook : युग परिवर्तन इस्लामीक दृष्टिकोण : H_BD_23 : daleshwary67@gmail.com : Recorded")</f>
        <v>Audiobook : युग परिवर्तन इस्लामीक दृष्टिकोण : H_BD_23 : daleshwary67@gmail.com : Recorded</v>
      </c>
      <c r="CF784" s="1" t="str">
        <f ca="1">IFERROR(__xludf.DUMMYFUNCTION("""COMPUTED_VALUE"""),"Audiobook : युग परिवर्तन इस्लामीक दृष्टिकोण : H_BD_23 : daleshwary67@gmail.com : Recorded")</f>
        <v>Audiobook : युग परिवर्तन इस्लामीक दृष्टिकोण : H_BD_23 : daleshwary67@gmail.com : Recorded</v>
      </c>
      <c r="CG784" s="1" t="str">
        <f ca="1">IFERROR(__xludf.DUMMYFUNCTION("""COMPUTED_VALUE"""),"Adarniya daleshwary sharma ji युग परिवर्तन इस्लामीक दृष्टिकोण : H_BD_23 : Allocated on 01-Sep-23 Contact Number  8587900034")</f>
        <v>Adarniya daleshwary sharma ji युग परिवर्तन इस्लामीक दृष्टिकोण : H_BD_23 : Allocated on 01-Sep-23 Contact Number  8587900034</v>
      </c>
      <c r="CH784" s="1"/>
      <c r="CI784" s="1"/>
    </row>
    <row r="785" spans="1:87" x14ac:dyDescent="0.25">
      <c r="A785" s="5">
        <f ca="1">IFERROR(__xludf.DUMMYFUNCTION("""COMPUTED_VALUE"""),45169.1433955555)</f>
        <v>45169.143395555497</v>
      </c>
      <c r="B785" s="1" t="str">
        <f ca="1">IFERROR(__xludf.DUMMYFUNCTION("""COMPUTED_VALUE"""),"sanjayneha1@yahoo.com")</f>
        <v>sanjayneha1@yahoo.com</v>
      </c>
      <c r="C785" s="1" t="str">
        <f ca="1">IFERROR(__xludf.DUMMYFUNCTION("""COMPUTED_VALUE"""),"Neha Manocha")</f>
        <v>Neha Manocha</v>
      </c>
      <c r="D785" s="1">
        <f ca="1">IFERROR(__xludf.DUMMYFUNCTION("""COMPUTED_VALUE"""),16174130446)</f>
        <v>16174130446</v>
      </c>
      <c r="E785" s="1" t="str">
        <f ca="1">IFERROR(__xludf.DUMMYFUNCTION("""COMPUTED_VALUE"""),"Yes")</f>
        <v>Yes</v>
      </c>
      <c r="F785" s="1" t="str">
        <f ca="1">IFERROR(__xludf.DUMMYFUNCTION("""COMPUTED_VALUE"""),"हिन्दी or English")</f>
        <v>हिन्दी or English</v>
      </c>
      <c r="G785" s="1" t="str">
        <f ca="1">IFERROR(__xludf.DUMMYFUNCTION("""COMPUTED_VALUE"""),"युग द्रष्टा पं. श्रीराम शर्मा आचार्यजी")</f>
        <v>युग द्रष्टा पं. श्रीराम शर्मा आचार्यजी</v>
      </c>
      <c r="H785" s="1"/>
      <c r="I785" s="1"/>
      <c r="J785" s="1"/>
      <c r="K785" s="1"/>
      <c r="L785" s="1"/>
      <c r="M785" s="1"/>
      <c r="N785" s="1"/>
      <c r="O785" s="1"/>
      <c r="P785" s="1" t="str">
        <f ca="1">IFERROR(__xludf.DUMMYFUNCTION("""COMPUTED_VALUE"""),"युगॠषी की अमृतवाणी")</f>
        <v>युगॠषी की अमृतवाणी</v>
      </c>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f ca="1">IFERROR(__xludf.DUMMYFUNCTION("""COMPUTED_VALUE"""),33)</f>
        <v>33</v>
      </c>
      <c r="BX785" s="1">
        <f ca="1">IFERROR(__xludf.DUMMYFUNCTION("""COMPUTED_VALUE"""),40)</f>
        <v>40</v>
      </c>
      <c r="BY785" s="1">
        <f ca="1">IFERROR(__xludf.DUMMYFUNCTION("""COMPUTED_VALUE"""),3)</f>
        <v>3</v>
      </c>
      <c r="BZ785" s="1">
        <f ca="1">IFERROR(__xludf.DUMMYFUNCTION("""COMPUTED_VALUE"""),22)</f>
        <v>22</v>
      </c>
      <c r="CA785" s="1"/>
      <c r="CB785" s="5">
        <f ca="1">IFERROR(__xludf.DUMMYFUNCTION("""COMPUTED_VALUE"""),45179.1433955555)</f>
        <v>45179.143395555497</v>
      </c>
      <c r="CC785" s="1" t="str">
        <f ca="1">IFERROR(__xludf.DUMMYFUNCTION("""COMPUTED_VALUE"""),"गायत्री महाविद्या की उच्चस्तरिय साधना : H_JS_70")</f>
        <v>गायत्री महाविद्या की उच्चस्तरिय साधना : H_JS_70</v>
      </c>
      <c r="CD785" s="3" t="str">
        <f ca="1">IFERROR(__xludf.DUMMYFUNCTION("""COMPUTED_VALUE"""),"https://vicharkrantibooks.org/productdetail?book_name=HINP0286_GAYATRI_MAHAVIDHYA_KI_UCHCHASTARIY_SADHANA_xx2011&amp;product_id=851")</f>
        <v>https://vicharkrantibooks.org/productdetail?book_name=HINP0286_GAYATRI_MAHAVIDHYA_KI_UCHCHASTARIY_SADHANA_xx2011&amp;product_id=851</v>
      </c>
      <c r="CE785" s="1" t="str">
        <f ca="1">IFERROR(__xludf.DUMMYFUNCTION("""COMPUTED_VALUE"""),"Audiobook : गायत्री महाविद्या की उच्चस्तरिय साधना : H_JS_70 : sanjayneha1@yahoo.com : Recorded")</f>
        <v>Audiobook : गायत्री महाविद्या की उच्चस्तरिय साधना : H_JS_70 : sanjayneha1@yahoo.com : Recorded</v>
      </c>
      <c r="CF785" s="1" t="str">
        <f ca="1">IFERROR(__xludf.DUMMYFUNCTION("""COMPUTED_VALUE"""),"Audiobook : गायत्री महाविद्या की उच्चस्तरिय साधना : H_JS_70 : sanjayneha1@yahoo.com : Recorded")</f>
        <v>Audiobook : गायत्री महाविद्या की उच्चस्तरिय साधना : H_JS_70 : sanjayneha1@yahoo.com : Recorded</v>
      </c>
      <c r="CG785" s="1" t="str">
        <f ca="1">IFERROR(__xludf.DUMMYFUNCTION("""COMPUTED_VALUE"""),"Adarniya Neha Manocha ji गायत्री महाविद्या की उच्चस्तरिय साधना : H_JS_70 : Allocated on 31-Aug-23 Contact Number  16174130446")</f>
        <v>Adarniya Neha Manocha ji गायत्री महाविद्या की उच्चस्तरिय साधना : H_JS_70 : Allocated on 31-Aug-23 Contact Number  16174130446</v>
      </c>
      <c r="CH785" s="1"/>
      <c r="CI785" s="1"/>
    </row>
    <row r="786" spans="1:87" x14ac:dyDescent="0.25">
      <c r="A786" s="5">
        <f ca="1">IFERROR(__xludf.DUMMYFUNCTION("""COMPUTED_VALUE"""),45168.7888952546)</f>
        <v>45168.788895254598</v>
      </c>
      <c r="B786" s="1" t="str">
        <f ca="1">IFERROR(__xludf.DUMMYFUNCTION("""COMPUTED_VALUE"""),"nksaxena.yoga@gmail.com")</f>
        <v>nksaxena.yoga@gmail.com</v>
      </c>
      <c r="C786" s="1" t="str">
        <f ca="1">IFERROR(__xludf.DUMMYFUNCTION("""COMPUTED_VALUE"""),"Narendra Kumar Saxena ")</f>
        <v xml:space="preserve">Narendra Kumar Saxena </v>
      </c>
      <c r="D786" s="1">
        <f ca="1">IFERROR(__xludf.DUMMYFUNCTION("""COMPUTED_VALUE"""),8826499188)</f>
        <v>8826499188</v>
      </c>
      <c r="E786" s="1" t="str">
        <f ca="1">IFERROR(__xludf.DUMMYFUNCTION("""COMPUTED_VALUE"""),"Yes")</f>
        <v>Yes</v>
      </c>
      <c r="F786" s="1" t="str">
        <f ca="1">IFERROR(__xludf.DUMMYFUNCTION("""COMPUTED_VALUE"""),"हिन्दी")</f>
        <v>हिन्दी</v>
      </c>
      <c r="G786" s="1" t="str">
        <f ca="1">IFERROR(__xludf.DUMMYFUNCTION("""COMPUTED_VALUE"""),"समग्र स्वास्थ्य")</f>
        <v>समग्र स्वास्थ्य</v>
      </c>
      <c r="H786" s="1"/>
      <c r="I786" s="1"/>
      <c r="J786" s="1"/>
      <c r="K786" s="1"/>
      <c r="L786" s="1"/>
      <c r="M786" s="1"/>
      <c r="N786" s="1"/>
      <c r="O786" s="1"/>
      <c r="P786" s="1"/>
      <c r="Q786" s="1"/>
      <c r="R786" s="1"/>
      <c r="S786" s="1"/>
      <c r="T786" s="1"/>
      <c r="U786" s="1" t="str">
        <f ca="1">IFERROR(__xludf.DUMMYFUNCTION("""COMPUTED_VALUE"""),"आहार-विहार एवं उपवास")</f>
        <v>आहार-विहार एवं उपवास</v>
      </c>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f ca="1">IFERROR(__xludf.DUMMYFUNCTION("""COMPUTED_VALUE"""),29)</f>
        <v>29</v>
      </c>
      <c r="BX786" s="1">
        <f ca="1">IFERROR(__xludf.DUMMYFUNCTION("""COMPUTED_VALUE"""),30)</f>
        <v>30</v>
      </c>
      <c r="BY786" s="1">
        <f ca="1">IFERROR(__xludf.DUMMYFUNCTION("""COMPUTED_VALUE"""),3)</f>
        <v>3</v>
      </c>
      <c r="BZ786" s="1">
        <f ca="1">IFERROR(__xludf.DUMMYFUNCTION("""COMPUTED_VALUE"""),25)</f>
        <v>25</v>
      </c>
      <c r="CA786" s="1"/>
      <c r="CB786" s="5">
        <f ca="1">IFERROR(__xludf.DUMMYFUNCTION("""COMPUTED_VALUE"""),45178.7888952546)</f>
        <v>45178.788895254598</v>
      </c>
      <c r="CC786" s="1" t="str">
        <f ca="1">IFERROR(__xludf.DUMMYFUNCTION("""COMPUTED_VALUE"""),"समग्र स्वास्थ्य संवर्धन कैसे ? : H_SV_01")</f>
        <v>समग्र स्वास्थ्य संवर्धन कैसे ? : H_SV_01</v>
      </c>
      <c r="CD786" s="3" t="str">
        <f ca="1">IFERROR(__xludf.DUMMYFUNCTION("""COMPUTED_VALUE"""),"https://vicharkrantibooks.org/productdetail?book_name=HINR1135_SAMAGR_SWASTHY_SANVARDHAN_KAISE_Re2014&amp;product_id=2820")</f>
        <v>https://vicharkrantibooks.org/productdetail?book_name=HINR1135_SAMAGR_SWASTHY_SANVARDHAN_KAISE_Re2014&amp;product_id=2820</v>
      </c>
      <c r="CE786" s="1" t="str">
        <f ca="1">IFERROR(__xludf.DUMMYFUNCTION("""COMPUTED_VALUE"""),"Audiobook : समग्र स्वास्थ्य संवर्धन कैसे ? : H_SV_01 : nksaxena.yoga@gmail.com : Recorded")</f>
        <v>Audiobook : समग्र स्वास्थ्य संवर्धन कैसे ? : H_SV_01 : nksaxena.yoga@gmail.com : Recorded</v>
      </c>
      <c r="CF786" s="1" t="str">
        <f ca="1">IFERROR(__xludf.DUMMYFUNCTION("""COMPUTED_VALUE"""),"Audiobook : समग्र स्वास्थ्य संवर्धन कैसे ? : H_SV_01 : nksaxena.yoga@gmail.com : Recorded")</f>
        <v>Audiobook : समग्र स्वास्थ्य संवर्धन कैसे ? : H_SV_01 : nksaxena.yoga@gmail.com : Recorded</v>
      </c>
      <c r="CG786" s="1" t="str">
        <f ca="1">IFERROR(__xludf.DUMMYFUNCTION("""COMPUTED_VALUE"""),"Adarniya Narendra Kumar Saxena  ji समग्र स्वास्थ्य संवर्धन कैसे ? : H_SV_01 : Allocated on 30-Aug-23 Contact Number  8826499188")</f>
        <v>Adarniya Narendra Kumar Saxena  ji समग्र स्वास्थ्य संवर्धन कैसे ? : H_SV_01 : Allocated on 30-Aug-23 Contact Number  8826499188</v>
      </c>
      <c r="CH786" s="1"/>
      <c r="CI786" s="1"/>
    </row>
    <row r="787" spans="1:87" x14ac:dyDescent="0.25">
      <c r="A787" s="5">
        <f ca="1">IFERROR(__xludf.DUMMYFUNCTION("""COMPUTED_VALUE"""),45167.948060243)</f>
        <v>45167.948060242998</v>
      </c>
      <c r="B787" s="1" t="str">
        <f ca="1">IFERROR(__xludf.DUMMYFUNCTION("""COMPUTED_VALUE"""),"ojhakrishna2310@gmail.com")</f>
        <v>ojhakrishna2310@gmail.com</v>
      </c>
      <c r="C787" s="1" t="str">
        <f ca="1">IFERROR(__xludf.DUMMYFUNCTION("""COMPUTED_VALUE"""),"Krishna arun kumar ojha")</f>
        <v>Krishna arun kumar ojha</v>
      </c>
      <c r="D787" s="1">
        <f ca="1">IFERROR(__xludf.DUMMYFUNCTION("""COMPUTED_VALUE"""),9637907058)</f>
        <v>9637907058</v>
      </c>
      <c r="E787" s="1" t="str">
        <f ca="1">IFERROR(__xludf.DUMMYFUNCTION("""COMPUTED_VALUE"""),"No")</f>
        <v>No</v>
      </c>
      <c r="F787" s="1" t="str">
        <f ca="1">IFERROR(__xludf.DUMMYFUNCTION("""COMPUTED_VALUE"""),"हिन्दी")</f>
        <v>हिन्दी</v>
      </c>
      <c r="G787" s="1" t="str">
        <f ca="1">IFERROR(__xludf.DUMMYFUNCTION("""COMPUTED_VALUE"""),"जीवन प्रबंध")</f>
        <v>जीवन प्रबंध</v>
      </c>
      <c r="H787" s="1"/>
      <c r="I787" s="1"/>
      <c r="J787" s="1"/>
      <c r="K787" s="1"/>
      <c r="L787" s="1" t="str">
        <f ca="1">IFERROR(__xludf.DUMMYFUNCTION("""COMPUTED_VALUE"""),"मन की शक्ति एवं मनोविज्ञान")</f>
        <v>मन की शक्ति एवं मनोविज्ञान</v>
      </c>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f ca="1">IFERROR(__xludf.DUMMYFUNCTION("""COMPUTED_VALUE"""),13)</f>
        <v>13</v>
      </c>
      <c r="BX787" s="1">
        <f ca="1">IFERROR(__xludf.DUMMYFUNCTION("""COMPUTED_VALUE"""),6)</f>
        <v>6</v>
      </c>
      <c r="BY787" s="1">
        <f ca="1">IFERROR(__xludf.DUMMYFUNCTION("""COMPUTED_VALUE"""),8)</f>
        <v>8</v>
      </c>
      <c r="BZ787" s="1">
        <f ca="1">IFERROR(__xludf.DUMMYFUNCTION("""COMPUTED_VALUE"""),0)</f>
        <v>0</v>
      </c>
      <c r="CA787" s="1"/>
      <c r="CB787" s="5">
        <f ca="1">IFERROR(__xludf.DUMMYFUNCTION("""COMPUTED_VALUE"""),45177.948060243)</f>
        <v>45177.948060242998</v>
      </c>
      <c r="CC787" s="1" t="str">
        <f ca="1">IFERROR(__xludf.DUMMYFUNCTION("""COMPUTED_VALUE"""),"जीवन का परम लक्ष्य सत्यं, शिवं, सुन्दरम्‌ : Rare Book")</f>
        <v>जीवन का परम लक्ष्य सत्यं, शिवं, सुन्दरम्‌ : Rare Book</v>
      </c>
      <c r="CD787" s="3" t="str">
        <f ca="1">IFERROR(__xludf.DUMMYFUNCTION("""COMPUTED_VALUE"""),"https://vicharkrantibooks.org/productdetail?book_name=HINP0388_JIVAN_KA_PARAM_LAKSHY_SATYAM_SHIVAM_SUNDARAM_xx1981&amp;product_id=953")</f>
        <v>https://vicharkrantibooks.org/productdetail?book_name=HINP0388_JIVAN_KA_PARAM_LAKSHY_SATYAM_SHIVAM_SUNDARAM_xx1981&amp;product_id=953</v>
      </c>
      <c r="CE787" s="1" t="str">
        <f ca="1">IFERROR(__xludf.DUMMYFUNCTION("""COMPUTED_VALUE"""),"Audiobook : जीवन का परम लक्ष्य सत्यं, शिवं, सुन्दरम्‌ : Rare Book : ojhakrishna2310@gmail.com : Recorded")</f>
        <v>Audiobook : जीवन का परम लक्ष्य सत्यं, शिवं, सुन्दरम्‌ : Rare Book : ojhakrishna2310@gmail.com : Recorded</v>
      </c>
      <c r="CF787" s="1" t="str">
        <f ca="1">IFERROR(__xludf.DUMMYFUNCTION("""COMPUTED_VALUE"""),"Audiobook : जीवन का परम लक्ष्य सत्यं, शिवं, सुन्दरम्‌ : Rare Book : ojhakrishna2310@gmail.com : Recorded")</f>
        <v>Audiobook : जीवन का परम लक्ष्य सत्यं, शिवं, सुन्दरम्‌ : Rare Book : ojhakrishna2310@gmail.com : Recorded</v>
      </c>
      <c r="CG787" s="1" t="str">
        <f ca="1">IFERROR(__xludf.DUMMYFUNCTION("""COMPUTED_VALUE"""),"Adarniya Krishna arun kumar ojha ji जीवन का परम लक्ष्य सत्यं, शिवं, सुन्दरम्‌ : Rare Book : Allocated on 29-Aug-23 Contact Number  9637907058")</f>
        <v>Adarniya Krishna arun kumar ojha ji जीवन का परम लक्ष्य सत्यं, शिवं, सुन्दरम्‌ : Rare Book : Allocated on 29-Aug-23 Contact Number  9637907058</v>
      </c>
      <c r="CH787" s="1"/>
      <c r="CI787" s="1"/>
    </row>
    <row r="788" spans="1:87" x14ac:dyDescent="0.25">
      <c r="A788" s="5">
        <f ca="1">IFERROR(__xludf.DUMMYFUNCTION("""COMPUTED_VALUE"""),45167.5003018865)</f>
        <v>45167.500301886503</v>
      </c>
      <c r="B788" s="1" t="str">
        <f ca="1">IFERROR(__xludf.DUMMYFUNCTION("""COMPUTED_VALUE"""),"gayatrimantra56@gmail.com")</f>
        <v>gayatrimantra56@gmail.com</v>
      </c>
      <c r="C788" s="1" t="str">
        <f ca="1">IFERROR(__xludf.DUMMYFUNCTION("""COMPUTED_VALUE"""),"sushma Rani Sharma ")</f>
        <v xml:space="preserve">sushma Rani Sharma </v>
      </c>
      <c r="D788" s="1">
        <f ca="1">IFERROR(__xludf.DUMMYFUNCTION("""COMPUTED_VALUE"""),9416956300)</f>
        <v>9416956300</v>
      </c>
      <c r="E788" s="1" t="str">
        <f ca="1">IFERROR(__xludf.DUMMYFUNCTION("""COMPUTED_VALUE"""),"Yes")</f>
        <v>Yes</v>
      </c>
      <c r="F788" s="1" t="str">
        <f ca="1">IFERROR(__xludf.DUMMYFUNCTION("""COMPUTED_VALUE"""),"हिन्दी")</f>
        <v>हिन्दी</v>
      </c>
      <c r="G788" s="1" t="str">
        <f ca="1">IFERROR(__xludf.DUMMYFUNCTION("""COMPUTED_VALUE"""),"भारतीय संस्कृति")</f>
        <v>भारतीय संस्कृति</v>
      </c>
      <c r="H788" s="1"/>
      <c r="I788" s="1"/>
      <c r="J788" s="1"/>
      <c r="K788" s="1"/>
      <c r="L788" s="1"/>
      <c r="M788" s="1"/>
      <c r="N788" s="1"/>
      <c r="O788" s="1" t="str">
        <f ca="1">IFERROR(__xludf.DUMMYFUNCTION("""COMPUTED_VALUE"""),"भारतीय संस्कृति")</f>
        <v>भारतीय संस्कृति</v>
      </c>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f ca="1">IFERROR(__xludf.DUMMYFUNCTION("""COMPUTED_VALUE"""),3)</f>
        <v>3</v>
      </c>
      <c r="BX788" s="1">
        <f ca="1">IFERROR(__xludf.DUMMYFUNCTION("""COMPUTED_VALUE"""),2)</f>
        <v>2</v>
      </c>
      <c r="BY788" s="1">
        <f ca="1">IFERROR(__xludf.DUMMYFUNCTION("""COMPUTED_VALUE"""),1)</f>
        <v>1</v>
      </c>
      <c r="BZ788" s="1">
        <f ca="1">IFERROR(__xludf.DUMMYFUNCTION("""COMPUTED_VALUE"""),0)</f>
        <v>0</v>
      </c>
      <c r="CA788" s="1"/>
      <c r="CB788" s="5">
        <f ca="1">IFERROR(__xludf.DUMMYFUNCTION("""COMPUTED_VALUE"""),45177.5003018865)</f>
        <v>45177.500301886503</v>
      </c>
      <c r="CC788" s="1" t="str">
        <f ca="1">IFERROR(__xludf.DUMMYFUNCTION("""COMPUTED_VALUE"""),"गायत्री : युग धर्म : Rare Book")</f>
        <v>गायत्री : युग धर्म : Rare Book</v>
      </c>
      <c r="CD788" s="3" t="str">
        <f ca="1">IFERROR(__xludf.DUMMYFUNCTION("""COMPUTED_VALUE"""),"https://vicharkrantibooks.org/productdetail?book_name=HINP0304_GAYATRI_YUG_DHARM_xxyyyy&amp;product_id=869")</f>
        <v>https://vicharkrantibooks.org/productdetail?book_name=HINP0304_GAYATRI_YUG_DHARM_xxyyyy&amp;product_id=869</v>
      </c>
      <c r="CE788" s="1" t="str">
        <f ca="1">IFERROR(__xludf.DUMMYFUNCTION("""COMPUTED_VALUE"""),"Audiobook : गायत्री : युग धर्म : Rare Book : gayatrimantra56@gmail.com : Recorded")</f>
        <v>Audiobook : गायत्री : युग धर्म : Rare Book : gayatrimantra56@gmail.com : Recorded</v>
      </c>
      <c r="CF788" s="1" t="str">
        <f ca="1">IFERROR(__xludf.DUMMYFUNCTION("""COMPUTED_VALUE"""),"Audiobook : गायत्री : युग धर्म : Rare Book : gayatrimantra56@gmail.com : Recorded")</f>
        <v>Audiobook : गायत्री : युग धर्म : Rare Book : gayatrimantra56@gmail.com : Recorded</v>
      </c>
      <c r="CG788" s="1" t="str">
        <f ca="1">IFERROR(__xludf.DUMMYFUNCTION("""COMPUTED_VALUE"""),"Adarniya sushma Rani Sharma  ji गायत्री : युग धर्म : Rare Book : Allocated on 29-Aug-23 Contact Number  9416956300")</f>
        <v>Adarniya sushma Rani Sharma  ji गायत्री : युग धर्म : Rare Book : Allocated on 29-Aug-23 Contact Number  9416956300</v>
      </c>
      <c r="CH788" s="1"/>
      <c r="CI788" s="1"/>
    </row>
    <row r="789" spans="1:87" x14ac:dyDescent="0.25">
      <c r="A789" s="5">
        <f ca="1">IFERROR(__xludf.DUMMYFUNCTION("""COMPUTED_VALUE"""),45167.4025584606)</f>
        <v>45167.402558460599</v>
      </c>
      <c r="B789" s="1" t="str">
        <f ca="1">IFERROR(__xludf.DUMMYFUNCTION("""COMPUTED_VALUE"""),"anita7sinha@gmail.com")</f>
        <v>anita7sinha@gmail.com</v>
      </c>
      <c r="C789" s="1" t="str">
        <f ca="1">IFERROR(__xludf.DUMMYFUNCTION("""COMPUTED_VALUE"""),"Anita Sinha ")</f>
        <v xml:space="preserve">Anita Sinha </v>
      </c>
      <c r="D789" s="1" t="str">
        <f ca="1">IFERROR(__xludf.DUMMYFUNCTION("""COMPUTED_VALUE"""),"+919871341370")</f>
        <v>+919871341370</v>
      </c>
      <c r="E789" s="1" t="str">
        <f ca="1">IFERROR(__xludf.DUMMYFUNCTION("""COMPUTED_VALUE"""),"Yes")</f>
        <v>Yes</v>
      </c>
      <c r="F789" s="1" t="str">
        <f ca="1">IFERROR(__xludf.DUMMYFUNCTION("""COMPUTED_VALUE"""),"English")</f>
        <v>English</v>
      </c>
      <c r="G789" s="1" t="str">
        <f ca="1">IFERROR(__xludf.DUMMYFUNCTION("""COMPUTED_VALUE"""),"English")</f>
        <v>English</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f ca="1">IFERROR(__xludf.DUMMYFUNCTION("""COMPUTED_VALUE"""),3)</f>
        <v>3</v>
      </c>
      <c r="BX789" s="1">
        <f ca="1">IFERROR(__xludf.DUMMYFUNCTION("""COMPUTED_VALUE"""),2)</f>
        <v>2</v>
      </c>
      <c r="BY789" s="1">
        <f ca="1">IFERROR(__xludf.DUMMYFUNCTION("""COMPUTED_VALUE"""),1)</f>
        <v>1</v>
      </c>
      <c r="BZ789" s="1">
        <f ca="1">IFERROR(__xludf.DUMMYFUNCTION("""COMPUTED_VALUE"""),0)</f>
        <v>0</v>
      </c>
      <c r="CA789" s="1"/>
      <c r="CB789" s="5">
        <f ca="1">IFERROR(__xludf.DUMMYFUNCTION("""COMPUTED_VALUE"""),45177.4025584606)</f>
        <v>45177.402558460599</v>
      </c>
      <c r="CC789" s="1" t="str">
        <f ca="1">IFERROR(__xludf.DUMMYFUNCTION("""COMPUTED_VALUE"""),"Motherhood Revered Every Where : EP_117")</f>
        <v>Motherhood Revered Every Where : EP_117</v>
      </c>
      <c r="CD789" s="3" t="str">
        <f ca="1">IFERROR(__xludf.DUMMYFUNCTION("""COMPUTED_VALUE"""),"https://vicharkrantibooks.org/productdetail?book_name=ENGP0817_MOTHERHOOD_REVERED_EVERY_WHERE_xxyyyy&amp;product_id=3502")</f>
        <v>https://vicharkrantibooks.org/productdetail?book_name=ENGP0817_MOTHERHOOD_REVERED_EVERY_WHERE_xxyyyy&amp;product_id=3502</v>
      </c>
      <c r="CE789" s="1" t="str">
        <f ca="1">IFERROR(__xludf.DUMMYFUNCTION("""COMPUTED_VALUE"""),"Audiobook : Motherhood Revered Every Where : EP_117 : anita7sinha@gmail.com : Recorded")</f>
        <v>Audiobook : Motherhood Revered Every Where : EP_117 : anita7sinha@gmail.com : Recorded</v>
      </c>
      <c r="CF789" s="1" t="str">
        <f ca="1">IFERROR(__xludf.DUMMYFUNCTION("""COMPUTED_VALUE"""),"Audiobook : Motherhood Revered Every Where : EP_117 : anita7sinha@gmail.com : Recorded")</f>
        <v>Audiobook : Motherhood Revered Every Where : EP_117 : anita7sinha@gmail.com : Recorded</v>
      </c>
      <c r="CG789" s="1" t="str">
        <f ca="1">IFERROR(__xludf.DUMMYFUNCTION("""COMPUTED_VALUE"""),"Adarniya Anita Sinha  ji Motherhood Revered Every Where : EP_117 : Allocated on 29-Aug-23 Contact Number  +919871341370")</f>
        <v>Adarniya Anita Sinha  ji Motherhood Revered Every Where : EP_117 : Allocated on 29-Aug-23 Contact Number  +919871341370</v>
      </c>
      <c r="CH789" s="1"/>
      <c r="CI789" s="1"/>
    </row>
    <row r="790" spans="1:87" x14ac:dyDescent="0.25">
      <c r="A790" s="5">
        <f ca="1">IFERROR(__xludf.DUMMYFUNCTION("""COMPUTED_VALUE"""),45166.6897447106)</f>
        <v>45166.689744710602</v>
      </c>
      <c r="B790" s="1" t="str">
        <f ca="1">IFERROR(__xludf.DUMMYFUNCTION("""COMPUTED_VALUE"""),"druma4107@gmail.com")</f>
        <v>druma4107@gmail.com</v>
      </c>
      <c r="C790" s="1" t="str">
        <f ca="1">IFERROR(__xludf.DUMMYFUNCTION("""COMPUTED_VALUE"""),"Dr Uma Agrawal")</f>
        <v>Dr Uma Agrawal</v>
      </c>
      <c r="D790" s="1">
        <f ca="1">IFERROR(__xludf.DUMMYFUNCTION("""COMPUTED_VALUE"""),9410861182)</f>
        <v>9410861182</v>
      </c>
      <c r="E790" s="1" t="str">
        <f ca="1">IFERROR(__xludf.DUMMYFUNCTION("""COMPUTED_VALUE"""),"Yes")</f>
        <v>Yes</v>
      </c>
      <c r="F790" s="1" t="str">
        <f ca="1">IFERROR(__xludf.DUMMYFUNCTION("""COMPUTED_VALUE"""),"हिन्दी")</f>
        <v>हिन्दी</v>
      </c>
      <c r="G790" s="1" t="str">
        <f ca="1">IFERROR(__xludf.DUMMYFUNCTION("""COMPUTED_VALUE"""),"व्यक्ति निर्माण, युवा/विद्यार्थी एवं शिक्षक")</f>
        <v>व्यक्ति निर्माण, युवा/विद्यार्थी एवं शिक्षक</v>
      </c>
      <c r="H790" s="1"/>
      <c r="I790" s="1"/>
      <c r="J790" s="1"/>
      <c r="K790" s="1"/>
      <c r="L790" s="1"/>
      <c r="M790" s="1"/>
      <c r="N790" s="1"/>
      <c r="O790" s="1"/>
      <c r="P790" s="1"/>
      <c r="Q790" s="1"/>
      <c r="R790" s="1"/>
      <c r="S790" s="1"/>
      <c r="T790" s="1" t="str">
        <f ca="1">IFERROR(__xludf.DUMMYFUNCTION("""COMPUTED_VALUE"""),"काम उल्लास एवं ब्रह्मचर्य")</f>
        <v>काम उल्लास एवं ब्रह्मचर्य</v>
      </c>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f ca="1">IFERROR(__xludf.DUMMYFUNCTION("""COMPUTED_VALUE"""),104)</f>
        <v>104</v>
      </c>
      <c r="BX790" s="1">
        <f ca="1">IFERROR(__xludf.DUMMYFUNCTION("""COMPUTED_VALUE"""),106)</f>
        <v>106</v>
      </c>
      <c r="BY790" s="1">
        <f ca="1">IFERROR(__xludf.DUMMYFUNCTION("""COMPUTED_VALUE"""),9)</f>
        <v>9</v>
      </c>
      <c r="BZ790" s="1">
        <f ca="1">IFERROR(__xludf.DUMMYFUNCTION("""COMPUTED_VALUE"""),43)</f>
        <v>43</v>
      </c>
      <c r="CA790" s="1"/>
      <c r="CB790" s="5">
        <f ca="1">IFERROR(__xludf.DUMMYFUNCTION("""COMPUTED_VALUE"""),45176.6897447106)</f>
        <v>45176.689744710602</v>
      </c>
      <c r="CC790" s="1" t="str">
        <f ca="1">IFERROR(__xludf.DUMMYFUNCTION("""COMPUTED_VALUE"""),"अश्लीलता के अजगर से बचें : Rare Book")</f>
        <v>अश्लीलता के अजगर से बचें : Rare Book</v>
      </c>
      <c r="CD790" s="3" t="str">
        <f ca="1">IFERROR(__xludf.DUMMYFUNCTION("""COMPUTED_VALUE"""),"https://vicharkrantibooks.org/productdetail?book_name=HINP0076_ASHLILATA_KE_AJAGAR_SE_BACHEN_xxyyyy&amp;product_id=641")</f>
        <v>https://vicharkrantibooks.org/productdetail?book_name=HINP0076_ASHLILATA_KE_AJAGAR_SE_BACHEN_xxyyyy&amp;product_id=641</v>
      </c>
      <c r="CE790" s="1" t="str">
        <f ca="1">IFERROR(__xludf.DUMMYFUNCTION("""COMPUTED_VALUE"""),"Audiobook : अश्लीलता के अजगर से बचें : Rare Book : druma4107@gmail.com : Recorded")</f>
        <v>Audiobook : अश्लीलता के अजगर से बचें : Rare Book : druma4107@gmail.com : Recorded</v>
      </c>
      <c r="CF790" s="1" t="str">
        <f ca="1">IFERROR(__xludf.DUMMYFUNCTION("""COMPUTED_VALUE"""),"Audiobook : अश्लीलता के अजगर से बचें : Rare Book : druma4107@gmail.com : Recorded")</f>
        <v>Audiobook : अश्लीलता के अजगर से बचें : Rare Book : druma4107@gmail.com : Recorded</v>
      </c>
      <c r="CG790" s="1" t="str">
        <f ca="1">IFERROR(__xludf.DUMMYFUNCTION("""COMPUTED_VALUE"""),"Adarniya Dr Uma Agrawal ji अश्लीलता के अजगर से बचें : Rare Book : Allocated on 28-Aug-23 Contact Number  9410861182")</f>
        <v>Adarniya Dr Uma Agrawal ji अश्लीलता के अजगर से बचें : Rare Book : Allocated on 28-Aug-23 Contact Number  9410861182</v>
      </c>
      <c r="CH790" s="1"/>
      <c r="CI790" s="1"/>
    </row>
    <row r="791" spans="1:87" x14ac:dyDescent="0.25">
      <c r="A791" s="5">
        <f ca="1">IFERROR(__xludf.DUMMYFUNCTION("""COMPUTED_VALUE"""),45166.4555667245)</f>
        <v>45166.4555667245</v>
      </c>
      <c r="B791" s="1" t="str">
        <f ca="1">IFERROR(__xludf.DUMMYFUNCTION("""COMPUTED_VALUE"""),"satishkumar75.sk10@gmail.com")</f>
        <v>satishkumar75.sk10@gmail.com</v>
      </c>
      <c r="C791" s="1" t="str">
        <f ca="1">IFERROR(__xludf.DUMMYFUNCTION("""COMPUTED_VALUE"""),"Satish Kumar ")</f>
        <v xml:space="preserve">Satish Kumar </v>
      </c>
      <c r="D791" s="1">
        <f ca="1">IFERROR(__xludf.DUMMYFUNCTION("""COMPUTED_VALUE"""),8082770813)</f>
        <v>8082770813</v>
      </c>
      <c r="E791" s="1" t="str">
        <f ca="1">IFERROR(__xludf.DUMMYFUNCTION("""COMPUTED_VALUE"""),"Yes")</f>
        <v>Yes</v>
      </c>
      <c r="F791" s="1" t="str">
        <f ca="1">IFERROR(__xludf.DUMMYFUNCTION("""COMPUTED_VALUE"""),"हिन्दी")</f>
        <v>हिन्दी</v>
      </c>
      <c r="G791" s="1" t="str">
        <f ca="1">IFERROR(__xludf.DUMMYFUNCTION("""COMPUTED_VALUE"""),"जीवन प्रबंध")</f>
        <v>जीवन प्रबंध</v>
      </c>
      <c r="H791" s="1"/>
      <c r="I791" s="1"/>
      <c r="J791" s="1"/>
      <c r="K791" s="1"/>
      <c r="L791" s="1" t="str">
        <f ca="1">IFERROR(__xludf.DUMMYFUNCTION("""COMPUTED_VALUE"""),"जीवन साधना")</f>
        <v>जीवन साधना</v>
      </c>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f ca="1">IFERROR(__xludf.DUMMYFUNCTION("""COMPUTED_VALUE"""),4)</f>
        <v>4</v>
      </c>
      <c r="BX791" s="1">
        <f ca="1">IFERROR(__xludf.DUMMYFUNCTION("""COMPUTED_VALUE"""),4)</f>
        <v>4</v>
      </c>
      <c r="BY791" s="1">
        <f ca="1">IFERROR(__xludf.DUMMYFUNCTION("""COMPUTED_VALUE"""),1)</f>
        <v>1</v>
      </c>
      <c r="BZ791" s="1">
        <f ca="1">IFERROR(__xludf.DUMMYFUNCTION("""COMPUTED_VALUE"""),0)</f>
        <v>0</v>
      </c>
      <c r="CA791" s="1"/>
      <c r="CB791" s="5">
        <f ca="1">IFERROR(__xludf.DUMMYFUNCTION("""COMPUTED_VALUE"""),45176.4555667245)</f>
        <v>45176.4555667245</v>
      </c>
      <c r="CC791" s="1" t="str">
        <f ca="1">IFERROR(__xludf.DUMMYFUNCTION("""COMPUTED_VALUE"""),"अहमन्यता मिटे देवत्व की सदाशयता विकसे : Rare Book")</f>
        <v>अहमन्यता मिटे देवत्व की सदाशयता विकसे : Rare Book</v>
      </c>
      <c r="CD791" s="3" t="str">
        <f ca="1">IFERROR(__xludf.DUMMYFUNCTION("""COMPUTED_VALUE"""),"https://vicharkrantibooks.org/productdetail?book_name=HINF0020_AHAMANYATA_MITE_DEVATV_KI_SADASHAYATA_VIKASE_xxyyyy&amp;product_id=240")</f>
        <v>https://vicharkrantibooks.org/productdetail?book_name=HINF0020_AHAMANYATA_MITE_DEVATV_KI_SADASHAYATA_VIKASE_xxyyyy&amp;product_id=240</v>
      </c>
      <c r="CE791" s="1" t="str">
        <f ca="1">IFERROR(__xludf.DUMMYFUNCTION("""COMPUTED_VALUE"""),"Audiobook : अहमन्यता मिटे देवत्व की सदाशयता विकसे : Rare Book : satishkumar75.sk10@gmail.com : Recorded")</f>
        <v>Audiobook : अहमन्यता मिटे देवत्व की सदाशयता विकसे : Rare Book : satishkumar75.sk10@gmail.com : Recorded</v>
      </c>
      <c r="CF791" s="1" t="str">
        <f ca="1">IFERROR(__xludf.DUMMYFUNCTION("""COMPUTED_VALUE"""),"#N/A")</f>
        <v>#N/A</v>
      </c>
      <c r="CG791" s="1" t="str">
        <f ca="1">IFERROR(__xludf.DUMMYFUNCTION("""COMPUTED_VALUE"""),"Adarniya Satish Kumar  ji अहमन्यता मिटे देवत्व की सदाशयता विकसे : Rare Book : Allocated on 28-Aug-23 Contact Number  8082770813")</f>
        <v>Adarniya Satish Kumar  ji अहमन्यता मिटे देवत्व की सदाशयता विकसे : Rare Book : Allocated on 28-Aug-23 Contact Number  8082770813</v>
      </c>
      <c r="CH791" s="1"/>
      <c r="CI791" s="1"/>
    </row>
    <row r="792" spans="1:87" x14ac:dyDescent="0.25">
      <c r="A792" s="5">
        <f ca="1">IFERROR(__xludf.DUMMYFUNCTION("""COMPUTED_VALUE"""),45166.3777296412)</f>
        <v>45166.377729641201</v>
      </c>
      <c r="B792" s="1" t="str">
        <f ca="1">IFERROR(__xludf.DUMMYFUNCTION("""COMPUTED_VALUE"""),"manjusaini789789@gmail.com")</f>
        <v>manjusaini789789@gmail.com</v>
      </c>
      <c r="C792" s="1" t="str">
        <f ca="1">IFERROR(__xludf.DUMMYFUNCTION("""COMPUTED_VALUE"""),"Manju saini")</f>
        <v>Manju saini</v>
      </c>
      <c r="D792" s="1">
        <f ca="1">IFERROR(__xludf.DUMMYFUNCTION("""COMPUTED_VALUE"""),9414693254)</f>
        <v>9414693254</v>
      </c>
      <c r="E792" s="1" t="str">
        <f ca="1">IFERROR(__xludf.DUMMYFUNCTION("""COMPUTED_VALUE"""),"Yes")</f>
        <v>Yes</v>
      </c>
      <c r="F792" s="1" t="str">
        <f ca="1">IFERROR(__xludf.DUMMYFUNCTION("""COMPUTED_VALUE"""),"हिन्दी")</f>
        <v>हिन्दी</v>
      </c>
      <c r="G792" s="1" t="str">
        <f ca="1">IFERROR(__xludf.DUMMYFUNCTION("""COMPUTED_VALUE"""),"युग द्रष्टा पं. श्रीराम शर्मा आचार्यजी")</f>
        <v>युग द्रष्टा पं. श्रीराम शर्मा आचार्यजी</v>
      </c>
      <c r="H792" s="1"/>
      <c r="I792" s="1"/>
      <c r="J792" s="1"/>
      <c r="K792" s="1"/>
      <c r="L792" s="1"/>
      <c r="M792" s="1"/>
      <c r="N792" s="1"/>
      <c r="O792" s="1"/>
      <c r="P792" s="1" t="str">
        <f ca="1">IFERROR(__xludf.DUMMYFUNCTION("""COMPUTED_VALUE"""),"युगॠषी का जीवनदर्शन")</f>
        <v>युगॠषी का जीवनदर्शन</v>
      </c>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f ca="1">IFERROR(__xludf.DUMMYFUNCTION("""COMPUTED_VALUE"""),2)</f>
        <v>2</v>
      </c>
      <c r="BX792" s="1">
        <f ca="1">IFERROR(__xludf.DUMMYFUNCTION("""COMPUTED_VALUE"""),0)</f>
        <v>0</v>
      </c>
      <c r="BY792" s="1">
        <f ca="1">IFERROR(__xludf.DUMMYFUNCTION("""COMPUTED_VALUE"""),2)</f>
        <v>2</v>
      </c>
      <c r="BZ792" s="1">
        <f ca="1">IFERROR(__xludf.DUMMYFUNCTION("""COMPUTED_VALUE"""),0)</f>
        <v>0</v>
      </c>
      <c r="CA792" s="1"/>
      <c r="CB792" s="5">
        <f ca="1">IFERROR(__xludf.DUMMYFUNCTION("""COMPUTED_VALUE"""),45176.3777296412)</f>
        <v>45176.377729641201</v>
      </c>
      <c r="CC792" s="1" t="str">
        <f ca="1">IFERROR(__xludf.DUMMYFUNCTION("""COMPUTED_VALUE"""),"कृत्य किसी का श्रेय किसी को : Rare Book")</f>
        <v>कृत्य किसी का श्रेय किसी को : Rare Book</v>
      </c>
      <c r="CD792" s="3" t="str">
        <f ca="1">IFERROR(__xludf.DUMMYFUNCTION("""COMPUTED_VALUE"""),"https://vicharkrantibooks.org/productdetail?book_name=HINF0153_KRUTY_KISI_KA_SHREY_KISI_KO_xxyyyy&amp;product_id=373")</f>
        <v>https://vicharkrantibooks.org/productdetail?book_name=HINF0153_KRUTY_KISI_KA_SHREY_KISI_KO_xxyyyy&amp;product_id=373</v>
      </c>
      <c r="CE792" s="1" t="str">
        <f ca="1">IFERROR(__xludf.DUMMYFUNCTION("""COMPUTED_VALUE"""),"Audiobook : कृत्य किसी का श्रेय किसी को : Rare Book : manjusaini789789@gmail.com : Recorded")</f>
        <v>Audiobook : कृत्य किसी का श्रेय किसी को : Rare Book : manjusaini789789@gmail.com : Recorded</v>
      </c>
      <c r="CF792" s="1" t="str">
        <f ca="1">IFERROR(__xludf.DUMMYFUNCTION("""COMPUTED_VALUE"""),"#N/A")</f>
        <v>#N/A</v>
      </c>
      <c r="CG792" s="1" t="str">
        <f ca="1">IFERROR(__xludf.DUMMYFUNCTION("""COMPUTED_VALUE"""),"Adarniya Manju saini ji कृत्य किसी का श्रेय किसी को : Rare Book : Allocated on 28-Aug-23 Contact Number  9414693254")</f>
        <v>Adarniya Manju saini ji कृत्य किसी का श्रेय किसी को : Rare Book : Allocated on 28-Aug-23 Contact Number  9414693254</v>
      </c>
      <c r="CH792" s="1"/>
      <c r="CI792" s="1"/>
    </row>
    <row r="793" spans="1:87" x14ac:dyDescent="0.25">
      <c r="A793" s="5">
        <f ca="1">IFERROR(__xludf.DUMMYFUNCTION("""COMPUTED_VALUE"""),45165.6905859143)</f>
        <v>45165.690585914301</v>
      </c>
      <c r="B793" s="1" t="str">
        <f ca="1">IFERROR(__xludf.DUMMYFUNCTION("""COMPUTED_VALUE"""),"pravinathakkar15@gmail.com")</f>
        <v>pravinathakkar15@gmail.com</v>
      </c>
      <c r="C793" s="1" t="str">
        <f ca="1">IFERROR(__xludf.DUMMYFUNCTION("""COMPUTED_VALUE"""),"Pravina B Thakkar ")</f>
        <v xml:space="preserve">Pravina B Thakkar </v>
      </c>
      <c r="D793" s="1" t="str">
        <f ca="1">IFERROR(__xludf.DUMMYFUNCTION("""COMPUTED_VALUE"""),"76000 58001 ")</f>
        <v xml:space="preserve">76000 58001 </v>
      </c>
      <c r="E793" s="1" t="str">
        <f ca="1">IFERROR(__xludf.DUMMYFUNCTION("""COMPUTED_VALUE"""),"No")</f>
        <v>No</v>
      </c>
      <c r="F793" s="1"/>
      <c r="G793" s="1" t="str">
        <f ca="1">IFERROR(__xludf.DUMMYFUNCTION("""COMPUTED_VALUE"""),"अध्यात्म, धर्म एवं दर्शन")</f>
        <v>अध्यात्म, धर्म एवं दर्शन</v>
      </c>
      <c r="H793" s="1" t="str">
        <f ca="1">IFERROR(__xludf.DUMMYFUNCTION("""COMPUTED_VALUE"""),"अध्यात्म, धर्म एवं आस्तिकता")</f>
        <v>अध्यात्म, धर्म एवं आस्तिकता</v>
      </c>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f ca="1">IFERROR(__xludf.DUMMYFUNCTION("""COMPUTED_VALUE"""),6)</f>
        <v>6</v>
      </c>
      <c r="BX793" s="1">
        <f ca="1">IFERROR(__xludf.DUMMYFUNCTION("""COMPUTED_VALUE"""),2)</f>
        <v>2</v>
      </c>
      <c r="BY793" s="1">
        <f ca="1">IFERROR(__xludf.DUMMYFUNCTION("""COMPUTED_VALUE"""),3)</f>
        <v>3</v>
      </c>
      <c r="BZ793" s="1">
        <f ca="1">IFERROR(__xludf.DUMMYFUNCTION("""COMPUTED_VALUE"""),0)</f>
        <v>0</v>
      </c>
      <c r="CA793" s="1"/>
      <c r="CB793" s="5">
        <f ca="1">IFERROR(__xludf.DUMMYFUNCTION("""COMPUTED_VALUE"""),45175.6905859143)</f>
        <v>45175.690585914301</v>
      </c>
      <c r="CC793" s="1" t="str">
        <f ca="1">IFERROR(__xludf.DUMMYFUNCTION("""COMPUTED_VALUE"""),"अणु में विभु लघु में महान : Rare Book")</f>
        <v>अणु में विभु लघु में महान : Rare Book</v>
      </c>
      <c r="CD793" s="3" t="str">
        <f ca="1">IFERROR(__xludf.DUMMYFUNCTION("""COMPUTED_VALUE"""),"https://vicharkrantibooks.org/productdetail?book_name=HINF0030_ANU_MEIN_VIBHU_LAGHU_MEIN_MAHAN_xxyyyy&amp;product_id=250")</f>
        <v>https://vicharkrantibooks.org/productdetail?book_name=HINF0030_ANU_MEIN_VIBHU_LAGHU_MEIN_MAHAN_xxyyyy&amp;product_id=250</v>
      </c>
      <c r="CE793" s="1" t="str">
        <f ca="1">IFERROR(__xludf.DUMMYFUNCTION("""COMPUTED_VALUE"""),"Audiobook : अणु में विभु लघु में महान : Rare Book : pravinathakkar15@gmail.com : Recorded")</f>
        <v>Audiobook : अणु में विभु लघु में महान : Rare Book : pravinathakkar15@gmail.com : Recorded</v>
      </c>
      <c r="CF793" s="1" t="str">
        <f ca="1">IFERROR(__xludf.DUMMYFUNCTION("""COMPUTED_VALUE"""),"#N/A")</f>
        <v>#N/A</v>
      </c>
      <c r="CG793" s="1" t="str">
        <f ca="1">IFERROR(__xludf.DUMMYFUNCTION("""COMPUTED_VALUE"""),"Adarniya Pravina B Thakkar  ji अणु में विभु लघु में महान : Rare Book : Allocated on 27-Aug-23 Contact Number  76000 58001 ")</f>
        <v xml:space="preserve">Adarniya Pravina B Thakkar  ji अणु में विभु लघु में महान : Rare Book : Allocated on 27-Aug-23 Contact Number  76000 58001 </v>
      </c>
      <c r="CH793" s="1"/>
      <c r="CI793" s="1"/>
    </row>
    <row r="794" spans="1:87" x14ac:dyDescent="0.25">
      <c r="A794" s="5">
        <f ca="1">IFERROR(__xludf.DUMMYFUNCTION("""COMPUTED_VALUE"""),45165.6900783101)</f>
        <v>45165.690078310101</v>
      </c>
      <c r="B794" s="1" t="str">
        <f ca="1">IFERROR(__xludf.DUMMYFUNCTION("""COMPUTED_VALUE"""),"nidhikapoorg@rediffmail.com")</f>
        <v>nidhikapoorg@rediffmail.com</v>
      </c>
      <c r="C794" s="1" t="str">
        <f ca="1">IFERROR(__xludf.DUMMYFUNCTION("""COMPUTED_VALUE"""),"Nidhi Gandhi")</f>
        <v>Nidhi Gandhi</v>
      </c>
      <c r="D794" s="1">
        <f ca="1">IFERROR(__xludf.DUMMYFUNCTION("""COMPUTED_VALUE"""),9958221607)</f>
        <v>9958221607</v>
      </c>
      <c r="E794" s="1" t="str">
        <f ca="1">IFERROR(__xludf.DUMMYFUNCTION("""COMPUTED_VALUE"""),"Yes")</f>
        <v>Yes</v>
      </c>
      <c r="F794" s="1" t="str">
        <f ca="1">IFERROR(__xludf.DUMMYFUNCTION("""COMPUTED_VALUE"""),"हिन्दी or English")</f>
        <v>हिन्दी or English</v>
      </c>
      <c r="G794" s="1" t="str">
        <f ca="1">IFERROR(__xludf.DUMMYFUNCTION("""COMPUTED_VALUE"""),"समग्र स्वास्थ्य")</f>
        <v>समग्र स्वास्थ्य</v>
      </c>
      <c r="H794" s="1"/>
      <c r="I794" s="1"/>
      <c r="J794" s="1"/>
      <c r="K794" s="1"/>
      <c r="L794" s="1"/>
      <c r="M794" s="1"/>
      <c r="N794" s="1"/>
      <c r="O794" s="1"/>
      <c r="P794" s="1"/>
      <c r="Q794" s="1"/>
      <c r="R794" s="1"/>
      <c r="S794" s="1"/>
      <c r="T794" s="1"/>
      <c r="U794" s="1" t="str">
        <f ca="1">IFERROR(__xludf.DUMMYFUNCTION("""COMPUTED_VALUE"""),"स्वास्थ्य संवर्धन")</f>
        <v>स्वास्थ्य संवर्धन</v>
      </c>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f ca="1">IFERROR(__xludf.DUMMYFUNCTION("""COMPUTED_VALUE"""),1)</f>
        <v>1</v>
      </c>
      <c r="BX794" s="1">
        <f ca="1">IFERROR(__xludf.DUMMYFUNCTION("""COMPUTED_VALUE"""),0)</f>
        <v>0</v>
      </c>
      <c r="BY794" s="1">
        <f ca="1">IFERROR(__xludf.DUMMYFUNCTION("""COMPUTED_VALUE"""),1)</f>
        <v>1</v>
      </c>
      <c r="BZ794" s="1">
        <f ca="1">IFERROR(__xludf.DUMMYFUNCTION("""COMPUTED_VALUE"""),0)</f>
        <v>0</v>
      </c>
      <c r="CA794" s="1"/>
      <c r="CB794" s="5">
        <f ca="1">IFERROR(__xludf.DUMMYFUNCTION("""COMPUTED_VALUE"""),45175.6900783101)</f>
        <v>45175.690078310101</v>
      </c>
      <c r="CC794" s="1" t="str">
        <f ca="1">IFERROR(__xludf.DUMMYFUNCTION("""COMPUTED_VALUE"""),"अचिन्त्य चिन्तन से मनोबल न गंवायें : Rare Book")</f>
        <v>अचिन्त्य चिन्तन से मनोबल न गंवायें : Rare Book</v>
      </c>
      <c r="CD794" s="3" t="str">
        <f ca="1">IFERROR(__xludf.DUMMYFUNCTION("""COMPUTED_VALUE"""),"https://vicharkrantibooks.org/productdetail?book_name=HINF0002_ACHINTY_CHINTAN_SE_MANOBAL_NA_GAVAYEN_xxyyyy&amp;product_id=222")</f>
        <v>https://vicharkrantibooks.org/productdetail?book_name=HINF0002_ACHINTY_CHINTAN_SE_MANOBAL_NA_GAVAYEN_xxyyyy&amp;product_id=222</v>
      </c>
      <c r="CE794" s="1" t="str">
        <f ca="1">IFERROR(__xludf.DUMMYFUNCTION("""COMPUTED_VALUE"""),"Audiobook : अचिन्त्य चिन्तन से मनोबल न गंवायें : Rare Book : nidhikapoorg@rediffmail.com : Recorded")</f>
        <v>Audiobook : अचिन्त्य चिन्तन से मनोबल न गंवायें : Rare Book : nidhikapoorg@rediffmail.com : Recorded</v>
      </c>
      <c r="CF794" s="1" t="str">
        <f ca="1">IFERROR(__xludf.DUMMYFUNCTION("""COMPUTED_VALUE"""),"#N/A")</f>
        <v>#N/A</v>
      </c>
      <c r="CG794" s="1" t="str">
        <f ca="1">IFERROR(__xludf.DUMMYFUNCTION("""COMPUTED_VALUE"""),"Adarniya Nidhi Gandhi ji अचिन्त्य चिन्तन से मनोबल न गंवायें : Rare Book : Allocated on 27-Aug-23 Contact Number  9958221607")</f>
        <v>Adarniya Nidhi Gandhi ji अचिन्त्य चिन्तन से मनोबल न गंवायें : Rare Book : Allocated on 27-Aug-23 Contact Number  9958221607</v>
      </c>
      <c r="CH794" s="1"/>
      <c r="CI794" s="1"/>
    </row>
    <row r="795" spans="1:87" x14ac:dyDescent="0.25">
      <c r="A795" s="5">
        <f ca="1">IFERROR(__xludf.DUMMYFUNCTION("""COMPUTED_VALUE"""),45165.6147193634)</f>
        <v>45165.614719363402</v>
      </c>
      <c r="B795" s="1" t="str">
        <f ca="1">IFERROR(__xludf.DUMMYFUNCTION("""COMPUTED_VALUE"""),"rbbansalriya@gmail.com")</f>
        <v>rbbansalriya@gmail.com</v>
      </c>
      <c r="C795" s="1" t="str">
        <f ca="1">IFERROR(__xludf.DUMMYFUNCTION("""COMPUTED_VALUE"""),"Riya bansal ")</f>
        <v xml:space="preserve">Riya bansal </v>
      </c>
      <c r="D795" s="1">
        <f ca="1">IFERROR(__xludf.DUMMYFUNCTION("""COMPUTED_VALUE"""),9176361023)</f>
        <v>9176361023</v>
      </c>
      <c r="E795" s="1" t="str">
        <f ca="1">IFERROR(__xludf.DUMMYFUNCTION("""COMPUTED_VALUE"""),"Yes")</f>
        <v>Yes</v>
      </c>
      <c r="F795" s="1" t="str">
        <f ca="1">IFERROR(__xludf.DUMMYFUNCTION("""COMPUTED_VALUE"""),"हिन्दी")</f>
        <v>हिन्दी</v>
      </c>
      <c r="G795" s="1" t="str">
        <f ca="1">IFERROR(__xludf.DUMMYFUNCTION("""COMPUTED_VALUE"""),"समाज निर्माण")</f>
        <v>समाज निर्माण</v>
      </c>
      <c r="H795" s="1"/>
      <c r="I795" s="1"/>
      <c r="J795" s="1"/>
      <c r="K795" s="1"/>
      <c r="L795" s="1"/>
      <c r="M795" s="1"/>
      <c r="N795" s="1"/>
      <c r="O795" s="1"/>
      <c r="P795" s="1"/>
      <c r="Q795" s="1"/>
      <c r="R795" s="1"/>
      <c r="S795" s="1"/>
      <c r="T795" s="1"/>
      <c r="U795" s="1"/>
      <c r="V795" s="1" t="str">
        <f ca="1">IFERROR(__xludf.DUMMYFUNCTION("""COMPUTED_VALUE"""),"आदर्श विवाहों का प्रचलन")</f>
        <v>आदर्श विवाहों का प्रचलन</v>
      </c>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f ca="1">IFERROR(__xludf.DUMMYFUNCTION("""COMPUTED_VALUE"""),54)</f>
        <v>54</v>
      </c>
      <c r="BX795" s="1">
        <f ca="1">IFERROR(__xludf.DUMMYFUNCTION("""COMPUTED_VALUE"""),55)</f>
        <v>55</v>
      </c>
      <c r="BY795" s="1">
        <f ca="1">IFERROR(__xludf.DUMMYFUNCTION("""COMPUTED_VALUE"""),9)</f>
        <v>9</v>
      </c>
      <c r="BZ795" s="1">
        <f ca="1">IFERROR(__xludf.DUMMYFUNCTION("""COMPUTED_VALUE"""),43)</f>
        <v>43</v>
      </c>
      <c r="CA795" s="1"/>
      <c r="CB795" s="5">
        <f ca="1">IFERROR(__xludf.DUMMYFUNCTION("""COMPUTED_VALUE"""),45175.6147193634)</f>
        <v>45175.614719363402</v>
      </c>
      <c r="CC795" s="1" t="str">
        <f ca="1">IFERROR(__xludf.DUMMYFUNCTION("""COMPUTED_VALUE"""),"नर और नारी एक समान : H_NJ_16")</f>
        <v>नर और नारी एक समान : H_NJ_16</v>
      </c>
      <c r="CD795" s="3" t="str">
        <f ca="1">IFERROR(__xludf.DUMMYFUNCTION("""COMPUTED_VALUE"""),"https://vicharkrantibooks.org/productdetail?book_name=HINP0548_NAR_AUR_NARI_EK_SAMAN_xxyyyy&amp;product_id=1113")</f>
        <v>https://vicharkrantibooks.org/productdetail?book_name=HINP0548_NAR_AUR_NARI_EK_SAMAN_xxyyyy&amp;product_id=1113</v>
      </c>
      <c r="CE795" s="1" t="str">
        <f ca="1">IFERROR(__xludf.DUMMYFUNCTION("""COMPUTED_VALUE"""),"Audiobook : नर और नारी एक समान : H_NJ_16 : rbbansalriya@gmail.com : Recorded")</f>
        <v>Audiobook : नर और नारी एक समान : H_NJ_16 : rbbansalriya@gmail.com : Recorded</v>
      </c>
      <c r="CF795" s="1" t="str">
        <f ca="1">IFERROR(__xludf.DUMMYFUNCTION("""COMPUTED_VALUE"""),"Audiobook : नर और नारी एक समान : H_NJ_16 : rbbansalriya@gmail.com : Recorded")</f>
        <v>Audiobook : नर और नारी एक समान : H_NJ_16 : rbbansalriya@gmail.com : Recorded</v>
      </c>
      <c r="CG795" s="1" t="str">
        <f ca="1">IFERROR(__xludf.DUMMYFUNCTION("""COMPUTED_VALUE"""),"Adarniya Riya bansal  ji नर और नारी एक समान : H_NJ_16 : Allocated on 27-Aug-23 Contact Number  9176361023")</f>
        <v>Adarniya Riya bansal  ji नर और नारी एक समान : H_NJ_16 : Allocated on 27-Aug-23 Contact Number  9176361023</v>
      </c>
      <c r="CH795" s="1"/>
      <c r="CI795" s="1"/>
    </row>
    <row r="796" spans="1:87" x14ac:dyDescent="0.25">
      <c r="A796" s="5">
        <f ca="1">IFERROR(__xludf.DUMMYFUNCTION("""COMPUTED_VALUE"""),45164.7891194675)</f>
        <v>45164.789119467503</v>
      </c>
      <c r="B796" s="1" t="str">
        <f ca="1">IFERROR(__xludf.DUMMYFUNCTION("""COMPUTED_VALUE"""),"jamunashukla17@gmail.com")</f>
        <v>jamunashukla17@gmail.com</v>
      </c>
      <c r="C796" s="1" t="str">
        <f ca="1">IFERROR(__xludf.DUMMYFUNCTION("""COMPUTED_VALUE"""),"J S  Shukla ")</f>
        <v xml:space="preserve">J S  Shukla </v>
      </c>
      <c r="D796" s="1">
        <f ca="1">IFERROR(__xludf.DUMMYFUNCTION("""COMPUTED_VALUE"""),8390353167)</f>
        <v>8390353167</v>
      </c>
      <c r="E796" s="1" t="str">
        <f ca="1">IFERROR(__xludf.DUMMYFUNCTION("""COMPUTED_VALUE"""),"Yes")</f>
        <v>Yes</v>
      </c>
      <c r="F796" s="1" t="str">
        <f ca="1">IFERROR(__xludf.DUMMYFUNCTION("""COMPUTED_VALUE"""),"हिन्दी")</f>
        <v>हिन्दी</v>
      </c>
      <c r="G796" s="1" t="str">
        <f ca="1">IFERROR(__xludf.DUMMYFUNCTION("""COMPUTED_VALUE"""),"जीवन प्रबंध")</f>
        <v>जीवन प्रबंध</v>
      </c>
      <c r="H796" s="1"/>
      <c r="I796" s="1"/>
      <c r="J796" s="1"/>
      <c r="K796" s="1"/>
      <c r="L796" s="1" t="str">
        <f ca="1">IFERROR(__xludf.DUMMYFUNCTION("""COMPUTED_VALUE"""),"जीवन साधना")</f>
        <v>जीवन साधना</v>
      </c>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f ca="1">IFERROR(__xludf.DUMMYFUNCTION("""COMPUTED_VALUE"""),53)</f>
        <v>53</v>
      </c>
      <c r="BX796" s="1">
        <f ca="1">IFERROR(__xludf.DUMMYFUNCTION("""COMPUTED_VALUE"""),53)</f>
        <v>53</v>
      </c>
      <c r="BY796" s="1">
        <f ca="1">IFERROR(__xludf.DUMMYFUNCTION("""COMPUTED_VALUE"""),9)</f>
        <v>9</v>
      </c>
      <c r="BZ796" s="1">
        <f ca="1">IFERROR(__xludf.DUMMYFUNCTION("""COMPUTED_VALUE"""),25)</f>
        <v>25</v>
      </c>
      <c r="CA796" s="1"/>
      <c r="CB796" s="5">
        <f ca="1">IFERROR(__xludf.DUMMYFUNCTION("""COMPUTED_VALUE"""),45174.7891194675)</f>
        <v>45174.789119467503</v>
      </c>
      <c r="CC796" s="1" t="str">
        <f ca="1">IFERROR(__xludf.DUMMYFUNCTION("""COMPUTED_VALUE"""),"जीवन और मरण का अन्योन्याश्रित गतिचक्र : Rare Book")</f>
        <v>जीवन और मरण का अन्योन्याश्रित गतिचक्र : Rare Book</v>
      </c>
      <c r="CD796" s="3" t="str">
        <f ca="1">IFERROR(__xludf.DUMMYFUNCTION("""COMPUTED_VALUE"""),"https://vicharkrantibooks.org/productdetail?book_name=HINP0385_JIVAN_AUR_MARAN_KA_ANYONYASHRIT_GATICHAKR_xx1981&amp;product_id=950")</f>
        <v>https://vicharkrantibooks.org/productdetail?book_name=HINP0385_JIVAN_AUR_MARAN_KA_ANYONYASHRIT_GATICHAKR_xx1981&amp;product_id=950</v>
      </c>
      <c r="CE796" s="1" t="str">
        <f ca="1">IFERROR(__xludf.DUMMYFUNCTION("""COMPUTED_VALUE"""),"Audiobook : जीवन और मरण का अन्योन्याश्रित गतिचक्र : Rare Book : jamunashukla17@gmail.com : Recorded")</f>
        <v>Audiobook : जीवन और मरण का अन्योन्याश्रित गतिचक्र : Rare Book : jamunashukla17@gmail.com : Recorded</v>
      </c>
      <c r="CF796" s="1" t="str">
        <f ca="1">IFERROR(__xludf.DUMMYFUNCTION("""COMPUTED_VALUE"""),"Audiobook : जीवन और मरण का अन्योन्याश्रित गतिचक्र : Rare Book : jamunashukla17@gmail.com : Recorded")</f>
        <v>Audiobook : जीवन और मरण का अन्योन्याश्रित गतिचक्र : Rare Book : jamunashukla17@gmail.com : Recorded</v>
      </c>
      <c r="CG796" s="1" t="str">
        <f ca="1">IFERROR(__xludf.DUMMYFUNCTION("""COMPUTED_VALUE"""),"Adarniya J S  Shukla  ji जीवन और मरण का अन्योन्याश्रित गतिचक्र : Rare Book : Allocated on 26-Aug-23 Contact Number  8390353167")</f>
        <v>Adarniya J S  Shukla  ji जीवन और मरण का अन्योन्याश्रित गतिचक्र : Rare Book : Allocated on 26-Aug-23 Contact Number  8390353167</v>
      </c>
      <c r="CH796" s="1"/>
      <c r="CI796" s="1"/>
    </row>
    <row r="797" spans="1:87" x14ac:dyDescent="0.25">
      <c r="A797" s="5">
        <f ca="1">IFERROR(__xludf.DUMMYFUNCTION("""COMPUTED_VALUE"""),45163.8424941319)</f>
        <v>45163.842494131903</v>
      </c>
      <c r="B797" s="1" t="str">
        <f ca="1">IFERROR(__xludf.DUMMYFUNCTION("""COMPUTED_VALUE"""),"shweta.r.gupta79@gmail.com")</f>
        <v>shweta.r.gupta79@gmail.com</v>
      </c>
      <c r="C797" s="1" t="str">
        <f ca="1">IFERROR(__xludf.DUMMYFUNCTION("""COMPUTED_VALUE"""),"Shweta Gupta ")</f>
        <v xml:space="preserve">Shweta Gupta </v>
      </c>
      <c r="D797" s="1">
        <f ca="1">IFERROR(__xludf.DUMMYFUNCTION("""COMPUTED_VALUE"""),8369516724)</f>
        <v>8369516724</v>
      </c>
      <c r="E797" s="1" t="str">
        <f ca="1">IFERROR(__xludf.DUMMYFUNCTION("""COMPUTED_VALUE"""),"Yes")</f>
        <v>Yes</v>
      </c>
      <c r="F797" s="1" t="str">
        <f ca="1">IFERROR(__xludf.DUMMYFUNCTION("""COMPUTED_VALUE"""),"हिन्दी")</f>
        <v>हिन्दी</v>
      </c>
      <c r="G797" s="1" t="str">
        <f ca="1">IFERROR(__xludf.DUMMYFUNCTION("""COMPUTED_VALUE"""),"परिवार निर्माण")</f>
        <v>परिवार निर्माण</v>
      </c>
      <c r="H797" s="1"/>
      <c r="I797" s="1"/>
      <c r="J797" s="1"/>
      <c r="K797" s="1"/>
      <c r="L797" s="1"/>
      <c r="M797" s="1" t="str">
        <f ca="1">IFERROR(__xludf.DUMMYFUNCTION("""COMPUTED_VALUE"""),"परिवार")</f>
        <v>परिवार</v>
      </c>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f ca="1">IFERROR(__xludf.DUMMYFUNCTION("""COMPUTED_VALUE"""),31)</f>
        <v>31</v>
      </c>
      <c r="BX797" s="1">
        <f ca="1">IFERROR(__xludf.DUMMYFUNCTION("""COMPUTED_VALUE"""),45)</f>
        <v>45</v>
      </c>
      <c r="BY797" s="1">
        <f ca="1">IFERROR(__xludf.DUMMYFUNCTION("""COMPUTED_VALUE"""),3)</f>
        <v>3</v>
      </c>
      <c r="BZ797" s="1">
        <f ca="1">IFERROR(__xludf.DUMMYFUNCTION("""COMPUTED_VALUE"""),40)</f>
        <v>40</v>
      </c>
      <c r="CA797" s="1"/>
      <c r="CB797" s="5">
        <f ca="1">IFERROR(__xludf.DUMMYFUNCTION("""COMPUTED_VALUE"""),45173.8424941319)</f>
        <v>45173.842494131903</v>
      </c>
      <c r="CC797" s="1" t="str">
        <f ca="1">IFERROR(__xludf.DUMMYFUNCTION("""COMPUTED_VALUE"""),"वृद्धों की समस्याएँ और समाधान : H_PP_10")</f>
        <v>वृद्धों की समस्याएँ और समाधान : H_PP_10</v>
      </c>
      <c r="CD797" s="3" t="str">
        <f ca="1">IFERROR(__xludf.DUMMYFUNCTION("""COMPUTED_VALUE"""),"https://vicharkrantibooks.org/productdetail?book_name=HINP1000_VRUDDHON_KI_SAMASYAEN_AUR_SAMADHAN_xxyyyy&amp;product_id=1565")</f>
        <v>https://vicharkrantibooks.org/productdetail?book_name=HINP1000_VRUDDHON_KI_SAMASYAEN_AUR_SAMADHAN_xxyyyy&amp;product_id=1565</v>
      </c>
      <c r="CE797" s="1" t="str">
        <f ca="1">IFERROR(__xludf.DUMMYFUNCTION("""COMPUTED_VALUE"""),"Audiobook : वृद्धों की समस्याएँ और समाधान : H_PP_10 : shweta.r.gupta79@gmail.com : Recorded")</f>
        <v>Audiobook : वृद्धों की समस्याएँ और समाधान : H_PP_10 : shweta.r.gupta79@gmail.com : Recorded</v>
      </c>
      <c r="CF797" s="1" t="str">
        <f ca="1">IFERROR(__xludf.DUMMYFUNCTION("""COMPUTED_VALUE"""),"Audiobook : वृद्धों की समस्याएँ और समाधान : H_PP_10 : shweta.r.gupta79@gmail.com : Recorded")</f>
        <v>Audiobook : वृद्धों की समस्याएँ और समाधान : H_PP_10 : shweta.r.gupta79@gmail.com : Recorded</v>
      </c>
      <c r="CG797" s="1" t="str">
        <f ca="1">IFERROR(__xludf.DUMMYFUNCTION("""COMPUTED_VALUE"""),"Adarniya Shweta Gupta  ji वृद्धों की समस्याएँ और समाधान : H_PP_10 : Allocated on 25-Aug-23 Contact Number  8369516724")</f>
        <v>Adarniya Shweta Gupta  ji वृद्धों की समस्याएँ और समाधान : H_PP_10 : Allocated on 25-Aug-23 Contact Number  8369516724</v>
      </c>
      <c r="CH797" s="1"/>
      <c r="CI797" s="1"/>
    </row>
    <row r="798" spans="1:87" x14ac:dyDescent="0.25">
      <c r="A798" s="5">
        <f ca="1">IFERROR(__xludf.DUMMYFUNCTION("""COMPUTED_VALUE"""),45162.7233145138)</f>
        <v>45162.723314513802</v>
      </c>
      <c r="B798" s="1" t="str">
        <f ca="1">IFERROR(__xludf.DUMMYFUNCTION("""COMPUTED_VALUE"""),"amrita_dube@yahoo.com")</f>
        <v>amrita_dube@yahoo.com</v>
      </c>
      <c r="C798" s="1" t="str">
        <f ca="1">IFERROR(__xludf.DUMMYFUNCTION("""COMPUTED_VALUE"""),"Amrita")</f>
        <v>Amrita</v>
      </c>
      <c r="D798" s="1"/>
      <c r="E798" s="1"/>
      <c r="F798" s="1" t="str">
        <f ca="1">IFERROR(__xludf.DUMMYFUNCTION("""COMPUTED_VALUE"""),"English")</f>
        <v>English</v>
      </c>
      <c r="G798" s="1" t="str">
        <f ca="1">IFERROR(__xludf.DUMMYFUNCTION("""COMPUTED_VALUE"""),"अध्यात्म, धर्म एवं दर्शन")</f>
        <v>अध्यात्म, धर्म एवं दर्शन</v>
      </c>
      <c r="H798" s="1" t="str">
        <f ca="1">IFERROR(__xludf.DUMMYFUNCTION("""COMPUTED_VALUE"""),"आत्मज्ञान एवं आत्मनिर्माण")</f>
        <v>आत्मज्ञान एवं आत्मनिर्माण</v>
      </c>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f ca="1">IFERROR(__xludf.DUMMYFUNCTION("""COMPUTED_VALUE"""),17)</f>
        <v>17</v>
      </c>
      <c r="BX798" s="1">
        <f ca="1">IFERROR(__xludf.DUMMYFUNCTION("""COMPUTED_VALUE"""),14)</f>
        <v>14</v>
      </c>
      <c r="BY798" s="1">
        <f ca="1">IFERROR(__xludf.DUMMYFUNCTION("""COMPUTED_VALUE"""),6)</f>
        <v>6</v>
      </c>
      <c r="BZ798" s="1">
        <f ca="1">IFERROR(__xludf.DUMMYFUNCTION("""COMPUTED_VALUE"""),5)</f>
        <v>5</v>
      </c>
      <c r="CA798" s="1"/>
      <c r="CB798" s="5">
        <f ca="1">IFERROR(__xludf.DUMMYFUNCTION("""COMPUTED_VALUE"""),45172.7233145138)</f>
        <v>45172.723314513802</v>
      </c>
      <c r="CC798" s="1" t="str">
        <f ca="1">IFERROR(__xludf.DUMMYFUNCTION("""COMPUTED_VALUE"""),"The Absolute Low Of Karma : EP_48")</f>
        <v>The Absolute Low Of Karma : EP_48</v>
      </c>
      <c r="CD798" s="3" t="str">
        <f ca="1">IFERROR(__xludf.DUMMYFUNCTION("""COMPUTED_VALUE"""),"http://literature.awgp.org/book/the_absolute_law_of_karma/v1.1")</f>
        <v>http://literature.awgp.org/book/the_absolute_law_of_karma/v1.1</v>
      </c>
      <c r="CE798" s="1" t="str">
        <f ca="1">IFERROR(__xludf.DUMMYFUNCTION("""COMPUTED_VALUE"""),"Audiobook : The Absolute Low Of Karma : EP_48 : amrita_dube@yahoo.com : Recorded")</f>
        <v>Audiobook : The Absolute Low Of Karma : EP_48 : amrita_dube@yahoo.com : Recorded</v>
      </c>
      <c r="CF798" s="1" t="str">
        <f ca="1">IFERROR(__xludf.DUMMYFUNCTION("""COMPUTED_VALUE"""),"Audiobook : The Absolute Low Of Karma : EP_48 : amrita_dube@yahoo.com : Recorded")</f>
        <v>Audiobook : The Absolute Low Of Karma : EP_48 : amrita_dube@yahoo.com : Recorded</v>
      </c>
      <c r="CG798" s="1" t="str">
        <f ca="1">IFERROR(__xludf.DUMMYFUNCTION("""COMPUTED_VALUE"""),"Adarniya Amrita ji The Absolute Low Of Karma : EP_48 : Allocated on 24-Aug-23 Contact Number  ")</f>
        <v xml:space="preserve">Adarniya Amrita ji The Absolute Low Of Karma : EP_48 : Allocated on 24-Aug-23 Contact Number  </v>
      </c>
      <c r="CH798" s="1"/>
      <c r="CI798" s="1"/>
    </row>
    <row r="799" spans="1:87" x14ac:dyDescent="0.25">
      <c r="A799" s="5">
        <f ca="1">IFERROR(__xludf.DUMMYFUNCTION("""COMPUTED_VALUE"""),45162.4625673611)</f>
        <v>45162.462567361101</v>
      </c>
      <c r="B799" s="1" t="str">
        <f ca="1">IFERROR(__xludf.DUMMYFUNCTION("""COMPUTED_VALUE"""),"rajnivarma24.vns@gmail.com")</f>
        <v>rajnivarma24.vns@gmail.com</v>
      </c>
      <c r="C799" s="1" t="str">
        <f ca="1">IFERROR(__xludf.DUMMYFUNCTION("""COMPUTED_VALUE"""),"Rajni varma")</f>
        <v>Rajni varma</v>
      </c>
      <c r="D799" s="1">
        <f ca="1">IFERROR(__xludf.DUMMYFUNCTION("""COMPUTED_VALUE"""),9335661433)</f>
        <v>9335661433</v>
      </c>
      <c r="E799" s="1" t="str">
        <f ca="1">IFERROR(__xludf.DUMMYFUNCTION("""COMPUTED_VALUE"""),"No")</f>
        <v>No</v>
      </c>
      <c r="F799" s="1" t="str">
        <f ca="1">IFERROR(__xludf.DUMMYFUNCTION("""COMPUTED_VALUE"""),"हिन्दी")</f>
        <v>हिन्दी</v>
      </c>
      <c r="G799" s="1" t="str">
        <f ca="1">IFERROR(__xludf.DUMMYFUNCTION("""COMPUTED_VALUE"""),"अध्यात्म, धर्म एवं दर्शन")</f>
        <v>अध्यात्म, धर्म एवं दर्शन</v>
      </c>
      <c r="H799" s="1" t="str">
        <f ca="1">IFERROR(__xludf.DUMMYFUNCTION("""COMPUTED_VALUE"""),"अध्यात्म, धर्म एवं आस्तिकता")</f>
        <v>अध्यात्म, धर्म एवं आस्तिकता</v>
      </c>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f ca="1">IFERROR(__xludf.DUMMYFUNCTION("""COMPUTED_VALUE"""),30)</f>
        <v>30</v>
      </c>
      <c r="BX799" s="1">
        <f ca="1">IFERROR(__xludf.DUMMYFUNCTION("""COMPUTED_VALUE"""),25)</f>
        <v>25</v>
      </c>
      <c r="BY799" s="1">
        <f ca="1">IFERROR(__xludf.DUMMYFUNCTION("""COMPUTED_VALUE"""),7)</f>
        <v>7</v>
      </c>
      <c r="BZ799" s="1">
        <f ca="1">IFERROR(__xludf.DUMMYFUNCTION("""COMPUTED_VALUE"""),7)</f>
        <v>7</v>
      </c>
      <c r="CA799" s="1"/>
      <c r="CB799" s="5">
        <f ca="1">IFERROR(__xludf.DUMMYFUNCTION("""COMPUTED_VALUE"""),45172.4625673611)</f>
        <v>45172.462567361101</v>
      </c>
      <c r="CC799" s="1" t="str">
        <f ca="1">IFERROR(__xludf.DUMMYFUNCTION("""COMPUTED_VALUE"""),"अवतार का प्रयोजन और स्वरुप : Rare Book")</f>
        <v>अवतार का प्रयोजन और स्वरुप : Rare Book</v>
      </c>
      <c r="CD799" s="3" t="str">
        <f ca="1">IFERROR(__xludf.DUMMYFUNCTION("""COMPUTED_VALUE"""),"https://vicharkrantibooks.org/productdetail?book_name=HINP0116_AVATAR_KA_PRAYOJAN_AUR_SWARUP_xx1981&amp;product_id=681")</f>
        <v>https://vicharkrantibooks.org/productdetail?book_name=HINP0116_AVATAR_KA_PRAYOJAN_AUR_SWARUP_xx1981&amp;product_id=681</v>
      </c>
      <c r="CE799" s="1" t="str">
        <f ca="1">IFERROR(__xludf.DUMMYFUNCTION("""COMPUTED_VALUE"""),"Audiobook : अवतार का प्रयोजन और स्वरुप : Rare Book : rajnivarma24.vns@gmail.com : Recorded")</f>
        <v>Audiobook : अवतार का प्रयोजन और स्वरुप : Rare Book : rajnivarma24.vns@gmail.com : Recorded</v>
      </c>
      <c r="CF799" s="1" t="str">
        <f ca="1">IFERROR(__xludf.DUMMYFUNCTION("""COMPUTED_VALUE"""),"Audiobook : अवतार का प्रयोजन और स्वरुप : Rare Book : rajnivarma24.vns@gmail.com : Recorded")</f>
        <v>Audiobook : अवतार का प्रयोजन और स्वरुप : Rare Book : rajnivarma24.vns@gmail.com : Recorded</v>
      </c>
      <c r="CG799" s="1" t="str">
        <f ca="1">IFERROR(__xludf.DUMMYFUNCTION("""COMPUTED_VALUE"""),"Adarniya Rajni varma ji अवतार का प्रयोजन और स्वरुप : Rare Book : Allocated on 24-Aug-23 Contact Number  9335661433")</f>
        <v>Adarniya Rajni varma ji अवतार का प्रयोजन और स्वरुप : Rare Book : Allocated on 24-Aug-23 Contact Number  9335661433</v>
      </c>
      <c r="CH799" s="1"/>
      <c r="CI799" s="1"/>
    </row>
    <row r="800" spans="1:87" x14ac:dyDescent="0.25">
      <c r="A800" s="5">
        <f ca="1">IFERROR(__xludf.DUMMYFUNCTION("""COMPUTED_VALUE"""),45162.4010628819)</f>
        <v>45162.401062881901</v>
      </c>
      <c r="B800" s="1" t="str">
        <f ca="1">IFERROR(__xludf.DUMMYFUNCTION("""COMPUTED_VALUE"""),"divyabhatnagar73@gmail.com")</f>
        <v>divyabhatnagar73@gmail.com</v>
      </c>
      <c r="C800" s="1" t="str">
        <f ca="1">IFERROR(__xludf.DUMMYFUNCTION("""COMPUTED_VALUE"""),"Bharat Bhushan Bhatnagar")</f>
        <v>Bharat Bhushan Bhatnagar</v>
      </c>
      <c r="D800" s="1" t="str">
        <f ca="1">IFERROR(__xludf.DUMMYFUNCTION("""COMPUTED_VALUE"""),"09630455233")</f>
        <v>09630455233</v>
      </c>
      <c r="E800" s="1" t="str">
        <f ca="1">IFERROR(__xludf.DUMMYFUNCTION("""COMPUTED_VALUE"""),"Yes")</f>
        <v>Yes</v>
      </c>
      <c r="F800" s="1" t="str">
        <f ca="1">IFERROR(__xludf.DUMMYFUNCTION("""COMPUTED_VALUE"""),"English")</f>
        <v>English</v>
      </c>
      <c r="G800" s="1" t="str">
        <f ca="1">IFERROR(__xludf.DUMMYFUNCTION("""COMPUTED_VALUE"""),"English")</f>
        <v>English</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f ca="1">IFERROR(__xludf.DUMMYFUNCTION("""COMPUTED_VALUE"""),12)</f>
        <v>12</v>
      </c>
      <c r="BX800" s="1">
        <f ca="1">IFERROR(__xludf.DUMMYFUNCTION("""COMPUTED_VALUE"""),6)</f>
        <v>6</v>
      </c>
      <c r="BY800" s="1">
        <f ca="1">IFERROR(__xludf.DUMMYFUNCTION("""COMPUTED_VALUE"""),7)</f>
        <v>7</v>
      </c>
      <c r="BZ800" s="1">
        <f ca="1">IFERROR(__xludf.DUMMYFUNCTION("""COMPUTED_VALUE"""),1)</f>
        <v>1</v>
      </c>
      <c r="CA800" s="1"/>
      <c r="CB800" s="5">
        <f ca="1">IFERROR(__xludf.DUMMYFUNCTION("""COMPUTED_VALUE"""),45172.4010628819)</f>
        <v>45172.401062881901</v>
      </c>
      <c r="CC800" s="1" t="str">
        <f ca="1">IFERROR(__xludf.DUMMYFUNCTION("""COMPUTED_VALUE"""),"Dignity Of Organisational Skill : EP_17")</f>
        <v>Dignity Of Organisational Skill : EP_17</v>
      </c>
      <c r="CD800" s="3" t="str">
        <f ca="1">IFERROR(__xludf.DUMMYFUNCTION("""COMPUTED_VALUE"""),"http://literature.awgp.org/book/vyavastha_buddhi_ki_garima/v2")</f>
        <v>http://literature.awgp.org/book/vyavastha_buddhi_ki_garima/v2</v>
      </c>
      <c r="CE800" s="1" t="str">
        <f ca="1">IFERROR(__xludf.DUMMYFUNCTION("""COMPUTED_VALUE"""),"Audiobook : Dignity Of Organisational Skill : EP_17 : divyabhatnagar73@gmail.com : Recorded")</f>
        <v>Audiobook : Dignity Of Organisational Skill : EP_17 : divyabhatnagar73@gmail.com : Recorded</v>
      </c>
      <c r="CF800" s="1" t="str">
        <f ca="1">IFERROR(__xludf.DUMMYFUNCTION("""COMPUTED_VALUE"""),"Audiobook : Dignity Of Organisational Skill : EP_17 : divyabhatnagar73@gmail.com : Recorded")</f>
        <v>Audiobook : Dignity Of Organisational Skill : EP_17 : divyabhatnagar73@gmail.com : Recorded</v>
      </c>
      <c r="CG800" s="1" t="str">
        <f ca="1">IFERROR(__xludf.DUMMYFUNCTION("""COMPUTED_VALUE"""),"Adarniya Bharat Bhushan Bhatnagar ji Dignity Of Organisational Skill : EP_17 : Allocated on 24-Aug-23 Contact Number  09630455233")</f>
        <v>Adarniya Bharat Bhushan Bhatnagar ji Dignity Of Organisational Skill : EP_17 : Allocated on 24-Aug-23 Contact Number  09630455233</v>
      </c>
      <c r="CH800" s="1"/>
      <c r="CI800" s="1"/>
    </row>
    <row r="801" spans="1:87" x14ac:dyDescent="0.25">
      <c r="A801" s="5">
        <f ca="1">IFERROR(__xludf.DUMMYFUNCTION("""COMPUTED_VALUE"""),45161.7158820023)</f>
        <v>45161.715882002303</v>
      </c>
      <c r="B801" s="1" t="str">
        <f ca="1">IFERROR(__xludf.DUMMYFUNCTION("""COMPUTED_VALUE"""),"druma4107@gmail.com")</f>
        <v>druma4107@gmail.com</v>
      </c>
      <c r="C801" s="1" t="str">
        <f ca="1">IFERROR(__xludf.DUMMYFUNCTION("""COMPUTED_VALUE"""),"Dr Uma Agrawal")</f>
        <v>Dr Uma Agrawal</v>
      </c>
      <c r="D801" s="1">
        <f ca="1">IFERROR(__xludf.DUMMYFUNCTION("""COMPUTED_VALUE"""),9410861182)</f>
        <v>9410861182</v>
      </c>
      <c r="E801" s="1" t="str">
        <f ca="1">IFERROR(__xludf.DUMMYFUNCTION("""COMPUTED_VALUE"""),"Yes")</f>
        <v>Yes</v>
      </c>
      <c r="F801" s="1" t="str">
        <f ca="1">IFERROR(__xludf.DUMMYFUNCTION("""COMPUTED_VALUE"""),"हिन्दी")</f>
        <v>हिन्दी</v>
      </c>
      <c r="G801" s="1" t="str">
        <f ca="1">IFERROR(__xludf.DUMMYFUNCTION("""COMPUTED_VALUE"""),"व्यक्ति निर्माण, युवा/विद्यार्थी एवं शिक्षक")</f>
        <v>व्यक्ति निर्माण, युवा/विद्यार्थी एवं शिक्षक</v>
      </c>
      <c r="H801" s="1"/>
      <c r="I801" s="1"/>
      <c r="J801" s="1"/>
      <c r="K801" s="1"/>
      <c r="L801" s="1"/>
      <c r="M801" s="1"/>
      <c r="N801" s="1"/>
      <c r="O801" s="1"/>
      <c r="P801" s="1"/>
      <c r="Q801" s="1"/>
      <c r="R801" s="1"/>
      <c r="S801" s="1"/>
      <c r="T801" s="1" t="str">
        <f ca="1">IFERROR(__xludf.DUMMYFUNCTION("""COMPUTED_VALUE"""),"काम उल्लास एवं ब्रह्मचर्य")</f>
        <v>काम उल्लास एवं ब्रह्मचर्य</v>
      </c>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f ca="1">IFERROR(__xludf.DUMMYFUNCTION("""COMPUTED_VALUE"""),104)</f>
        <v>104</v>
      </c>
      <c r="BX801" s="1">
        <f ca="1">IFERROR(__xludf.DUMMYFUNCTION("""COMPUTED_VALUE"""),106)</f>
        <v>106</v>
      </c>
      <c r="BY801" s="1">
        <f ca="1">IFERROR(__xludf.DUMMYFUNCTION("""COMPUTED_VALUE"""),9)</f>
        <v>9</v>
      </c>
      <c r="BZ801" s="1">
        <f ca="1">IFERROR(__xludf.DUMMYFUNCTION("""COMPUTED_VALUE"""),43)</f>
        <v>43</v>
      </c>
      <c r="CA801" s="1"/>
      <c r="CB801" s="5">
        <f ca="1">IFERROR(__xludf.DUMMYFUNCTION("""COMPUTED_VALUE"""),45171.7158820023)</f>
        <v>45171.715882002303</v>
      </c>
      <c r="CC801" s="1" t="str">
        <f ca="1">IFERROR(__xludf.DUMMYFUNCTION("""COMPUTED_VALUE"""),"अश्लील चिन्तन का पतन गर्त : Rare Book")</f>
        <v>अश्लील चिन्तन का पतन गर्त : Rare Book</v>
      </c>
      <c r="CD801" s="3" t="str">
        <f ca="1">IFERROR(__xludf.DUMMYFUNCTION("""COMPUTED_VALUE"""),"https://vicharkrantibooks.org/productdetail?book_name=HINP0074_ASHLIL_CHINTAN_KA_PATAN_GART_xx1978&amp;product_id=639")</f>
        <v>https://vicharkrantibooks.org/productdetail?book_name=HINP0074_ASHLIL_CHINTAN_KA_PATAN_GART_xx1978&amp;product_id=639</v>
      </c>
      <c r="CE801" s="1" t="str">
        <f ca="1">IFERROR(__xludf.DUMMYFUNCTION("""COMPUTED_VALUE"""),"Audiobook : अश्लील चिन्तन का पतन गर्त : Rare Book : druma4107@gmail.com : Recorded")</f>
        <v>Audiobook : अश्लील चिन्तन का पतन गर्त : Rare Book : druma4107@gmail.com : Recorded</v>
      </c>
      <c r="CF801" s="1" t="str">
        <f ca="1">IFERROR(__xludf.DUMMYFUNCTION("""COMPUTED_VALUE"""),"Audiobook : अश्लील चिन्तन का पतन गर्त : Rare Book : druma4107@gmail.com : Recorded")</f>
        <v>Audiobook : अश्लील चिन्तन का पतन गर्त : Rare Book : druma4107@gmail.com : Recorded</v>
      </c>
      <c r="CG801" s="1" t="str">
        <f ca="1">IFERROR(__xludf.DUMMYFUNCTION("""COMPUTED_VALUE"""),"Adarniya Dr Uma Agrawal ji अश्लील चिन्तन का पतन गर्त : Rare Book : Allocated on 23-Aug-23 Contact Number  9410861182")</f>
        <v>Adarniya Dr Uma Agrawal ji अश्लील चिन्तन का पतन गर्त : Rare Book : Allocated on 23-Aug-23 Contact Number  9410861182</v>
      </c>
      <c r="CH801" s="1"/>
      <c r="CI801" s="1"/>
    </row>
    <row r="802" spans="1:87" x14ac:dyDescent="0.25">
      <c r="A802" s="5">
        <f ca="1">IFERROR(__xludf.DUMMYFUNCTION("""COMPUTED_VALUE"""),45159.8362325925)</f>
        <v>45159.836232592497</v>
      </c>
      <c r="B802" s="1" t="str">
        <f ca="1">IFERROR(__xludf.DUMMYFUNCTION("""COMPUTED_VALUE"""),"spmittalmumbai@gmail.com")</f>
        <v>spmittalmumbai@gmail.com</v>
      </c>
      <c r="C802" s="1" t="str">
        <f ca="1">IFERROR(__xludf.DUMMYFUNCTION("""COMPUTED_VALUE"""),"S.P.Mittal")</f>
        <v>S.P.Mittal</v>
      </c>
      <c r="D802" s="1">
        <f ca="1">IFERROR(__xludf.DUMMYFUNCTION("""COMPUTED_VALUE"""),9860003407)</f>
        <v>9860003407</v>
      </c>
      <c r="E802" s="1" t="str">
        <f ca="1">IFERROR(__xludf.DUMMYFUNCTION("""COMPUTED_VALUE"""),"Yes")</f>
        <v>Yes</v>
      </c>
      <c r="F802" s="1" t="str">
        <f ca="1">IFERROR(__xludf.DUMMYFUNCTION("""COMPUTED_VALUE"""),"हिन्दी")</f>
        <v>हिन्दी</v>
      </c>
      <c r="G802" s="1" t="str">
        <f ca="1">IFERROR(__xludf.DUMMYFUNCTION("""COMPUTED_VALUE"""),"अध्यात्म, धर्म एवं दर्शन")</f>
        <v>अध्यात्म, धर्म एवं दर्शन</v>
      </c>
      <c r="H802" s="1" t="str">
        <f ca="1">IFERROR(__xludf.DUMMYFUNCTION("""COMPUTED_VALUE"""),"आत्मज्ञान एवं आत्मनिर्माण")</f>
        <v>आत्मज्ञान एवं आत्मनिर्माण</v>
      </c>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f ca="1">IFERROR(__xludf.DUMMYFUNCTION("""COMPUTED_VALUE"""),39)</f>
        <v>39</v>
      </c>
      <c r="BX802" s="1">
        <f ca="1">IFERROR(__xludf.DUMMYFUNCTION("""COMPUTED_VALUE"""),32)</f>
        <v>32</v>
      </c>
      <c r="BY802" s="1">
        <f ca="1">IFERROR(__xludf.DUMMYFUNCTION("""COMPUTED_VALUE"""),11)</f>
        <v>11</v>
      </c>
      <c r="BZ802" s="1">
        <f ca="1">IFERROR(__xludf.DUMMYFUNCTION("""COMPUTED_VALUE"""),23)</f>
        <v>23</v>
      </c>
      <c r="CA802" s="1"/>
      <c r="CB802" s="5">
        <f ca="1">IFERROR(__xludf.DUMMYFUNCTION("""COMPUTED_VALUE"""),45169.8362325925)</f>
        <v>45169.836232592497</v>
      </c>
      <c r="CC802" s="1" t="str">
        <f ca="1">IFERROR(__xludf.DUMMYFUNCTION("""COMPUTED_VALUE"""),"अध्‍यात्‍मवादी भौतिकता अपनाएँ : Rare Book")</f>
        <v>अध्‍यात्‍मवादी भौतिकता अपनाएँ : Rare Book</v>
      </c>
      <c r="CD802" s="3" t="str">
        <f ca="1">IFERROR(__xludf.DUMMYFUNCTION("""COMPUTED_VALUE"""),"https://vicharkrantibooks.org/productdetail?book_name=HINP0028_ADHYATMVADI_BHAUTIKATA_APANAE_xx1979&amp;product_id=593")</f>
        <v>https://vicharkrantibooks.org/productdetail?book_name=HINP0028_ADHYATMVADI_BHAUTIKATA_APANAE_xx1979&amp;product_id=593</v>
      </c>
      <c r="CE802" s="1" t="str">
        <f ca="1">IFERROR(__xludf.DUMMYFUNCTION("""COMPUTED_VALUE"""),"Audiobook : अध्‍यात्‍मवादी भौतिकता अपनाएँ : Rare Book : spmittalmumbai@gmail.com : Recorded")</f>
        <v>Audiobook : अध्‍यात्‍मवादी भौतिकता अपनाएँ : Rare Book : spmittalmumbai@gmail.com : Recorded</v>
      </c>
      <c r="CF802" s="1" t="str">
        <f ca="1">IFERROR(__xludf.DUMMYFUNCTION("""COMPUTED_VALUE"""),"Audiobook : अध्‍यात्‍मवादी भौतिकता अपनाएँ : Rare Book : spmittalmumbai@gmail.com : Recorded")</f>
        <v>Audiobook : अध्‍यात्‍मवादी भौतिकता अपनाएँ : Rare Book : spmittalmumbai@gmail.com : Recorded</v>
      </c>
      <c r="CG802" s="1" t="str">
        <f ca="1">IFERROR(__xludf.DUMMYFUNCTION("""COMPUTED_VALUE"""),"Adarniya S.P.Mittal ji अध्‍यात्‍मवादी भौतिकता अपनाएँ : Rare Book : Allocated on 21-Aug-23 Contact Number  9860003407")</f>
        <v>Adarniya S.P.Mittal ji अध्‍यात्‍मवादी भौतिकता अपनाएँ : Rare Book : Allocated on 21-Aug-23 Contact Number  9860003407</v>
      </c>
      <c r="CH802" s="1"/>
      <c r="CI802" s="1"/>
    </row>
    <row r="803" spans="1:87" x14ac:dyDescent="0.25">
      <c r="A803" s="5">
        <f ca="1">IFERROR(__xludf.DUMMYFUNCTION("""COMPUTED_VALUE"""),45159.7660573495)</f>
        <v>45159.766057349501</v>
      </c>
      <c r="B803" s="1" t="str">
        <f ca="1">IFERROR(__xludf.DUMMYFUNCTION("""COMPUTED_VALUE"""),"savita.dubey@gmail.com")</f>
        <v>savita.dubey@gmail.com</v>
      </c>
      <c r="C803" s="1" t="str">
        <f ca="1">IFERROR(__xludf.DUMMYFUNCTION("""COMPUTED_VALUE"""),"Savita")</f>
        <v>Savita</v>
      </c>
      <c r="D803" s="1">
        <f ca="1">IFERROR(__xludf.DUMMYFUNCTION("""COMPUTED_VALUE"""),4692640779)</f>
        <v>4692640779</v>
      </c>
      <c r="E803" s="1" t="str">
        <f ca="1">IFERROR(__xludf.DUMMYFUNCTION("""COMPUTED_VALUE"""),"Yes")</f>
        <v>Yes</v>
      </c>
      <c r="F803" s="1" t="str">
        <f ca="1">IFERROR(__xludf.DUMMYFUNCTION("""COMPUTED_VALUE"""),"हिन्दी")</f>
        <v>हिन्दी</v>
      </c>
      <c r="G803" s="1" t="str">
        <f ca="1">IFERROR(__xludf.DUMMYFUNCTION("""COMPUTED_VALUE"""),"पर्यावरण संरक्षण")</f>
        <v>पर्यावरण संरक्षण</v>
      </c>
      <c r="H803" s="1"/>
      <c r="I803" s="1"/>
      <c r="J803" s="1"/>
      <c r="K803" s="1"/>
      <c r="L803" s="1"/>
      <c r="M803" s="1"/>
      <c r="N803" s="1" t="str">
        <f ca="1">IFERROR(__xludf.DUMMYFUNCTION("""COMPUTED_VALUE"""),"पर्यावरण संरक्षण")</f>
        <v>पर्यावरण संरक्षण</v>
      </c>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f ca="1">IFERROR(__xludf.DUMMYFUNCTION("""COMPUTED_VALUE"""),9)</f>
        <v>9</v>
      </c>
      <c r="BX803" s="1">
        <f ca="1">IFERROR(__xludf.DUMMYFUNCTION("""COMPUTED_VALUE"""),10)</f>
        <v>10</v>
      </c>
      <c r="BY803" s="1">
        <f ca="1">IFERROR(__xludf.DUMMYFUNCTION("""COMPUTED_VALUE"""),3)</f>
        <v>3</v>
      </c>
      <c r="BZ803" s="1">
        <f ca="1">IFERROR(__xludf.DUMMYFUNCTION("""COMPUTED_VALUE"""),9)</f>
        <v>9</v>
      </c>
      <c r="CA803" s="1"/>
      <c r="CB803" s="5">
        <f ca="1">IFERROR(__xludf.DUMMYFUNCTION("""COMPUTED_VALUE"""),45169.7660573495)</f>
        <v>45169.766057349501</v>
      </c>
      <c r="CC803" s="1" t="str">
        <f ca="1">IFERROR(__xludf.DUMMYFUNCTION("""COMPUTED_VALUE"""),"वायु प्रदूषण और तुलसी रोपण : Rare Book")</f>
        <v>वायु प्रदूषण और तुलसी रोपण : Rare Book</v>
      </c>
      <c r="CD803" s="3" t="str">
        <f ca="1">IFERROR(__xludf.DUMMYFUNCTION("""COMPUTED_VALUE"""),"https://vicharkrantibooks.org/productdetail?book_name=HINP0953_VAYU_PRADUSHAN_AUR_TULASI_ROPAN_xxyyyy&amp;product_id=1518")</f>
        <v>https://vicharkrantibooks.org/productdetail?book_name=HINP0953_VAYU_PRADUSHAN_AUR_TULASI_ROPAN_xxyyyy&amp;product_id=1518</v>
      </c>
      <c r="CE803" s="1" t="str">
        <f ca="1">IFERROR(__xludf.DUMMYFUNCTION("""COMPUTED_VALUE"""),"Audiobook : वायु प्रदूषण और तुलसी रोपण : Rare Book : savita.dubey@gmail.com : Recorded")</f>
        <v>Audiobook : वायु प्रदूषण और तुलसी रोपण : Rare Book : savita.dubey@gmail.com : Recorded</v>
      </c>
      <c r="CF803" s="1" t="str">
        <f ca="1">IFERROR(__xludf.DUMMYFUNCTION("""COMPUTED_VALUE"""),"#N/A")</f>
        <v>#N/A</v>
      </c>
      <c r="CG803" s="1" t="str">
        <f ca="1">IFERROR(__xludf.DUMMYFUNCTION("""COMPUTED_VALUE"""),"Adarniya Savita ji वायु प्रदूषण और तुलसी रोपण : Rare Book : Allocated on 21-Aug-23 Contact Number  4692640779")</f>
        <v>Adarniya Savita ji वायु प्रदूषण और तुलसी रोपण : Rare Book : Allocated on 21-Aug-23 Contact Number  4692640779</v>
      </c>
      <c r="CH803" s="1"/>
      <c r="CI803" s="1"/>
    </row>
    <row r="804" spans="1:87" x14ac:dyDescent="0.25">
      <c r="A804" s="5">
        <f ca="1">IFERROR(__xludf.DUMMYFUNCTION("""COMPUTED_VALUE"""),45158.9167404861)</f>
        <v>45158.9167404861</v>
      </c>
      <c r="B804" s="1" t="str">
        <f ca="1">IFERROR(__xludf.DUMMYFUNCTION("""COMPUTED_VALUE"""),"druma4107@gmail.com")</f>
        <v>druma4107@gmail.com</v>
      </c>
      <c r="C804" s="1" t="str">
        <f ca="1">IFERROR(__xludf.DUMMYFUNCTION("""COMPUTED_VALUE"""),"Dr Uma Agrawal")</f>
        <v>Dr Uma Agrawal</v>
      </c>
      <c r="D804" s="1">
        <f ca="1">IFERROR(__xludf.DUMMYFUNCTION("""COMPUTED_VALUE"""),9410861182)</f>
        <v>9410861182</v>
      </c>
      <c r="E804" s="1" t="str">
        <f ca="1">IFERROR(__xludf.DUMMYFUNCTION("""COMPUTED_VALUE"""),"Yes")</f>
        <v>Yes</v>
      </c>
      <c r="F804" s="1" t="str">
        <f ca="1">IFERROR(__xludf.DUMMYFUNCTION("""COMPUTED_VALUE"""),"हिन्दी")</f>
        <v>हिन्दी</v>
      </c>
      <c r="G804" s="1" t="str">
        <f ca="1">IFERROR(__xludf.DUMMYFUNCTION("""COMPUTED_VALUE"""),"जीवन प्रबंध")</f>
        <v>जीवन प्रबंध</v>
      </c>
      <c r="H804" s="1"/>
      <c r="I804" s="1"/>
      <c r="J804" s="1"/>
      <c r="K804" s="1"/>
      <c r="L804" s="1" t="str">
        <f ca="1">IFERROR(__xludf.DUMMYFUNCTION("""COMPUTED_VALUE"""),"मन की शक्ति एवं मनोविज्ञान")</f>
        <v>मन की शक्ति एवं मनोविज्ञान</v>
      </c>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f ca="1">IFERROR(__xludf.DUMMYFUNCTION("""COMPUTED_VALUE"""),104)</f>
        <v>104</v>
      </c>
      <c r="BX804" s="1">
        <f ca="1">IFERROR(__xludf.DUMMYFUNCTION("""COMPUTED_VALUE"""),106)</f>
        <v>106</v>
      </c>
      <c r="BY804" s="1">
        <f ca="1">IFERROR(__xludf.DUMMYFUNCTION("""COMPUTED_VALUE"""),9)</f>
        <v>9</v>
      </c>
      <c r="BZ804" s="1">
        <f ca="1">IFERROR(__xludf.DUMMYFUNCTION("""COMPUTED_VALUE"""),43)</f>
        <v>43</v>
      </c>
      <c r="CA804" s="1"/>
      <c r="CB804" s="5">
        <f ca="1">IFERROR(__xludf.DUMMYFUNCTION("""COMPUTED_VALUE"""),45168.9167404861)</f>
        <v>45168.9167404861</v>
      </c>
      <c r="CC804" s="1" t="str">
        <f ca="1">IFERROR(__xludf.DUMMYFUNCTION("""COMPUTED_VALUE"""),"जीवन को उत्कृष्ट बनाओ : Rare Book")</f>
        <v>जीवन को उत्कृष्ट बनाओ : Rare Book</v>
      </c>
      <c r="CD804" s="3" t="str">
        <f ca="1">IFERROR(__xludf.DUMMYFUNCTION("""COMPUTED_VALUE"""),"https://vicharkrantibooks.org/productdetail?book_name=HINP0390_JIVAN_KO_UTKRUSHT_BANAO_xxyyyy&amp;product_id=955")</f>
        <v>https://vicharkrantibooks.org/productdetail?book_name=HINP0390_JIVAN_KO_UTKRUSHT_BANAO_xxyyyy&amp;product_id=955</v>
      </c>
      <c r="CE804" s="1" t="str">
        <f ca="1">IFERROR(__xludf.DUMMYFUNCTION("""COMPUTED_VALUE"""),"Audiobook : जीवन को उत्कृष्ट बनाओ : Rare Book : druma4107@gmail.com : Recorded")</f>
        <v>Audiobook : जीवन को उत्कृष्ट बनाओ : Rare Book : druma4107@gmail.com : Recorded</v>
      </c>
      <c r="CF804" s="1" t="str">
        <f ca="1">IFERROR(__xludf.DUMMYFUNCTION("""COMPUTED_VALUE"""),"Audiobook : जीवन को उत्कृष्ट बनाओ : Rare Book : druma4107@gmail.com : Recorded")</f>
        <v>Audiobook : जीवन को उत्कृष्ट बनाओ : Rare Book : druma4107@gmail.com : Recorded</v>
      </c>
      <c r="CG804" s="1" t="str">
        <f ca="1">IFERROR(__xludf.DUMMYFUNCTION("""COMPUTED_VALUE"""),"Adarniya Dr Uma Agrawal ji जीवन को उत्कृष्ट बनाओ : Rare Book : Allocated on 20-Aug-23 Contact Number  9410861182")</f>
        <v>Adarniya Dr Uma Agrawal ji जीवन को उत्कृष्ट बनाओ : Rare Book : Allocated on 20-Aug-23 Contact Number  9410861182</v>
      </c>
      <c r="CH804" s="1"/>
      <c r="CI804" s="1"/>
    </row>
    <row r="805" spans="1:87" x14ac:dyDescent="0.25">
      <c r="A805" s="5">
        <f ca="1">IFERROR(__xludf.DUMMYFUNCTION("""COMPUTED_VALUE"""),45158.6124992708)</f>
        <v>45158.612499270799</v>
      </c>
      <c r="B805" s="1" t="str">
        <f ca="1">IFERROR(__xludf.DUMMYFUNCTION("""COMPUTED_VALUE"""),"rbbansalriya@gmail.com")</f>
        <v>rbbansalriya@gmail.com</v>
      </c>
      <c r="C805" s="1" t="str">
        <f ca="1">IFERROR(__xludf.DUMMYFUNCTION("""COMPUTED_VALUE"""),"Riya bansal ")</f>
        <v xml:space="preserve">Riya bansal </v>
      </c>
      <c r="D805" s="1">
        <f ca="1">IFERROR(__xludf.DUMMYFUNCTION("""COMPUTED_VALUE"""),9176361023)</f>
        <v>9176361023</v>
      </c>
      <c r="E805" s="1" t="str">
        <f ca="1">IFERROR(__xludf.DUMMYFUNCTION("""COMPUTED_VALUE"""),"Yes")</f>
        <v>Yes</v>
      </c>
      <c r="F805" s="1" t="str">
        <f ca="1">IFERROR(__xludf.DUMMYFUNCTION("""COMPUTED_VALUE"""),"हिन्दी")</f>
        <v>हिन्दी</v>
      </c>
      <c r="G805" s="1" t="str">
        <f ca="1">IFERROR(__xludf.DUMMYFUNCTION("""COMPUTED_VALUE"""),"समाज निर्माण")</f>
        <v>समाज निर्माण</v>
      </c>
      <c r="H805" s="1"/>
      <c r="I805" s="1"/>
      <c r="J805" s="1"/>
      <c r="K805" s="1"/>
      <c r="L805" s="1"/>
      <c r="M805" s="1"/>
      <c r="N805" s="1"/>
      <c r="O805" s="1"/>
      <c r="P805" s="1"/>
      <c r="Q805" s="1"/>
      <c r="R805" s="1"/>
      <c r="S805" s="1"/>
      <c r="T805" s="1"/>
      <c r="U805" s="1"/>
      <c r="V805" s="1" t="str">
        <f ca="1">IFERROR(__xludf.DUMMYFUNCTION("""COMPUTED_VALUE"""),"आदर्श विवाहों का प्रचलन")</f>
        <v>आदर्श विवाहों का प्रचलन</v>
      </c>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f ca="1">IFERROR(__xludf.DUMMYFUNCTION("""COMPUTED_VALUE"""),54)</f>
        <v>54</v>
      </c>
      <c r="BX805" s="1">
        <f ca="1">IFERROR(__xludf.DUMMYFUNCTION("""COMPUTED_VALUE"""),55)</f>
        <v>55</v>
      </c>
      <c r="BY805" s="1">
        <f ca="1">IFERROR(__xludf.DUMMYFUNCTION("""COMPUTED_VALUE"""),9)</f>
        <v>9</v>
      </c>
      <c r="BZ805" s="1">
        <f ca="1">IFERROR(__xludf.DUMMYFUNCTION("""COMPUTED_VALUE"""),43)</f>
        <v>43</v>
      </c>
      <c r="CA805" s="1"/>
      <c r="CB805" s="5">
        <f ca="1">IFERROR(__xludf.DUMMYFUNCTION("""COMPUTED_VALUE"""),45168.6124992708)</f>
        <v>45168.612499270799</v>
      </c>
      <c r="CC805" s="1" t="str">
        <f ca="1">IFERROR(__xludf.DUMMYFUNCTION("""COMPUTED_VALUE"""),"कहीं आप झहर तो नहीं खा रहे है : H_PP_29")</f>
        <v>कहीं आप झहर तो नहीं खा रहे है : H_PP_29</v>
      </c>
      <c r="CD805" s="3" t="str">
        <f ca="1">IFERROR(__xludf.DUMMYFUNCTION("""COMPUTED_VALUE"""),"https://vicharkrantibooks.org/productdetail?book_name=HINP0408_KAHIN_AP_JHAHAR_TO_NAHI_KHA_RAHE_HAI_xxyyyy&amp;product_id=973")</f>
        <v>https://vicharkrantibooks.org/productdetail?book_name=HINP0408_KAHIN_AP_JHAHAR_TO_NAHI_KHA_RAHE_HAI_xxyyyy&amp;product_id=973</v>
      </c>
      <c r="CE805" s="1" t="str">
        <f ca="1">IFERROR(__xludf.DUMMYFUNCTION("""COMPUTED_VALUE"""),"Audiobook : कहीं आप झहर तो नहीं खा रहे है : H_PP_29 : rbbansalriya@gmail.com : Recorded")</f>
        <v>Audiobook : कहीं आप झहर तो नहीं खा रहे है : H_PP_29 : rbbansalriya@gmail.com : Recorded</v>
      </c>
      <c r="CF805" s="1" t="str">
        <f ca="1">IFERROR(__xludf.DUMMYFUNCTION("""COMPUTED_VALUE"""),"Audiobook : कहीं आप झहर तो नहीं खा रहे है : H_PP_29 : rbbansalriya@gmail.com : Recorded")</f>
        <v>Audiobook : कहीं आप झहर तो नहीं खा रहे है : H_PP_29 : rbbansalriya@gmail.com : Recorded</v>
      </c>
      <c r="CG805" s="1" t="str">
        <f ca="1">IFERROR(__xludf.DUMMYFUNCTION("""COMPUTED_VALUE"""),"Adarniya Riya bansal  ji कहीं आप झहर तो नहीं खा रहे है : H_PP_29 : Allocated on 20-Aug-23 Contact Number  9176361023")</f>
        <v>Adarniya Riya bansal  ji कहीं आप झहर तो नहीं खा रहे है : H_PP_29 : Allocated on 20-Aug-23 Contact Number  9176361023</v>
      </c>
      <c r="CH805" s="1"/>
      <c r="CI805" s="1"/>
    </row>
    <row r="806" spans="1:87" x14ac:dyDescent="0.25">
      <c r="A806" s="5">
        <f ca="1">IFERROR(__xludf.DUMMYFUNCTION("""COMPUTED_VALUE"""),45158.385465081)</f>
        <v>45158.385465081003</v>
      </c>
      <c r="B806" s="1" t="str">
        <f ca="1">IFERROR(__xludf.DUMMYFUNCTION("""COMPUTED_VALUE"""),"jamunashukla17@gmail.com")</f>
        <v>jamunashukla17@gmail.com</v>
      </c>
      <c r="C806" s="1" t="str">
        <f ca="1">IFERROR(__xludf.DUMMYFUNCTION("""COMPUTED_VALUE"""),"Smt Jamuna Shukla ")</f>
        <v xml:space="preserve">Smt Jamuna Shukla </v>
      </c>
      <c r="D806" s="1">
        <f ca="1">IFERROR(__xludf.DUMMYFUNCTION("""COMPUTED_VALUE"""),8390353167)</f>
        <v>8390353167</v>
      </c>
      <c r="E806" s="1" t="str">
        <f ca="1">IFERROR(__xludf.DUMMYFUNCTION("""COMPUTED_VALUE"""),"Yes")</f>
        <v>Yes</v>
      </c>
      <c r="F806" s="1" t="str">
        <f ca="1">IFERROR(__xludf.DUMMYFUNCTION("""COMPUTED_VALUE"""),"हिन्दी")</f>
        <v>हिन्दी</v>
      </c>
      <c r="G806" s="1" t="str">
        <f ca="1">IFERROR(__xludf.DUMMYFUNCTION("""COMPUTED_VALUE"""),"जीवन प्रबंध")</f>
        <v>जीवन प्रबंध</v>
      </c>
      <c r="H806" s="1"/>
      <c r="I806" s="1"/>
      <c r="J806" s="1"/>
      <c r="K806" s="1"/>
      <c r="L806" s="1" t="str">
        <f ca="1">IFERROR(__xludf.DUMMYFUNCTION("""COMPUTED_VALUE"""),"मन की शक्ति एवं मनोविज्ञान")</f>
        <v>मन की शक्ति एवं मनोविज्ञान</v>
      </c>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f ca="1">IFERROR(__xludf.DUMMYFUNCTION("""COMPUTED_VALUE"""),53)</f>
        <v>53</v>
      </c>
      <c r="BX806" s="1">
        <f ca="1">IFERROR(__xludf.DUMMYFUNCTION("""COMPUTED_VALUE"""),53)</f>
        <v>53</v>
      </c>
      <c r="BY806" s="1">
        <f ca="1">IFERROR(__xludf.DUMMYFUNCTION("""COMPUTED_VALUE"""),9)</f>
        <v>9</v>
      </c>
      <c r="BZ806" s="1">
        <f ca="1">IFERROR(__xludf.DUMMYFUNCTION("""COMPUTED_VALUE"""),25)</f>
        <v>25</v>
      </c>
      <c r="CA806" s="1"/>
      <c r="CB806" s="5">
        <f ca="1">IFERROR(__xludf.DUMMYFUNCTION("""COMPUTED_VALUE"""),45168.385465081)</f>
        <v>45168.385465081003</v>
      </c>
      <c r="CC806" s="1" t="str">
        <f ca="1">IFERROR(__xludf.DUMMYFUNCTION("""COMPUTED_VALUE"""),"आनंद की गंगोत्री अपने ही अंतराल में : Rare Book")</f>
        <v>आनंद की गंगोत्री अपने ही अंतराल में : Rare Book</v>
      </c>
      <c r="CD806" s="3" t="str">
        <f ca="1">IFERROR(__xludf.DUMMYFUNCTION("""COMPUTED_VALUE"""),"https://vicharkrantibooks.org/productdetail?book_name=HINP0040_ANAND_KI_GANGOTRI_APANE_HI_ANTARAL_MEIN_xx1981&amp;product_id=605")</f>
        <v>https://vicharkrantibooks.org/productdetail?book_name=HINP0040_ANAND_KI_GANGOTRI_APANE_HI_ANTARAL_MEIN_xx1981&amp;product_id=605</v>
      </c>
      <c r="CE806" s="1" t="str">
        <f ca="1">IFERROR(__xludf.DUMMYFUNCTION("""COMPUTED_VALUE"""),"Audiobook : आनंद की गंगोत्री अपने ही अंतराल में : Rare Book : jamunashukla17@gmail.com : Recorded")</f>
        <v>Audiobook : आनंद की गंगोत्री अपने ही अंतराल में : Rare Book : jamunashukla17@gmail.com : Recorded</v>
      </c>
      <c r="CF806" s="1" t="str">
        <f ca="1">IFERROR(__xludf.DUMMYFUNCTION("""COMPUTED_VALUE"""),"Audiobook : आनंद की गंगोत्री अपने ही अंतराल में : Rare Book : jamunashukla17@gmail.com : Recorded")</f>
        <v>Audiobook : आनंद की गंगोत्री अपने ही अंतराल में : Rare Book : jamunashukla17@gmail.com : Recorded</v>
      </c>
      <c r="CG806" s="1" t="str">
        <f ca="1">IFERROR(__xludf.DUMMYFUNCTION("""COMPUTED_VALUE"""),"Adarniya Smt Jamuna Shukla  ji आनंद की गंगोत्री अपने ही अंतराल में : Rare Book : Allocated on 20-Aug-23 Contact Number  8390353167")</f>
        <v>Adarniya Smt Jamuna Shukla  ji आनंद की गंगोत्री अपने ही अंतराल में : Rare Book : Allocated on 20-Aug-23 Contact Number  8390353167</v>
      </c>
      <c r="CH806" s="1"/>
      <c r="CI806" s="1"/>
    </row>
    <row r="807" spans="1:87" x14ac:dyDescent="0.25">
      <c r="A807" s="5">
        <f ca="1">IFERROR(__xludf.DUMMYFUNCTION("""COMPUTED_VALUE"""),45157.750218125)</f>
        <v>45157.750218125002</v>
      </c>
      <c r="B807" s="1" t="str">
        <f ca="1">IFERROR(__xludf.DUMMYFUNCTION("""COMPUTED_VALUE"""),"amrita_dube@yahoo.com")</f>
        <v>amrita_dube@yahoo.com</v>
      </c>
      <c r="C807" s="1" t="str">
        <f ca="1">IFERROR(__xludf.DUMMYFUNCTION("""COMPUTED_VALUE"""),"Amrita")</f>
        <v>Amrita</v>
      </c>
      <c r="D807" s="1"/>
      <c r="E807" s="1" t="str">
        <f ca="1">IFERROR(__xludf.DUMMYFUNCTION("""COMPUTED_VALUE"""),"No")</f>
        <v>No</v>
      </c>
      <c r="F807" s="1" t="str">
        <f ca="1">IFERROR(__xludf.DUMMYFUNCTION("""COMPUTED_VALUE"""),"English")</f>
        <v>English</v>
      </c>
      <c r="G807" s="1" t="str">
        <f ca="1">IFERROR(__xludf.DUMMYFUNCTION("""COMPUTED_VALUE"""),"English")</f>
        <v>English</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f ca="1">IFERROR(__xludf.DUMMYFUNCTION("""COMPUTED_VALUE"""),17)</f>
        <v>17</v>
      </c>
      <c r="BX807" s="1">
        <f ca="1">IFERROR(__xludf.DUMMYFUNCTION("""COMPUTED_VALUE"""),14)</f>
        <v>14</v>
      </c>
      <c r="BY807" s="1">
        <f ca="1">IFERROR(__xludf.DUMMYFUNCTION("""COMPUTED_VALUE"""),6)</f>
        <v>6</v>
      </c>
      <c r="BZ807" s="1">
        <f ca="1">IFERROR(__xludf.DUMMYFUNCTION("""COMPUTED_VALUE"""),5)</f>
        <v>5</v>
      </c>
      <c r="CA807" s="1"/>
      <c r="CB807" s="5">
        <f ca="1">IFERROR(__xludf.DUMMYFUNCTION("""COMPUTED_VALUE"""),45167.750218125)</f>
        <v>45167.750218125002</v>
      </c>
      <c r="CC807" s="1" t="str">
        <f ca="1">IFERROR(__xludf.DUMMYFUNCTION("""COMPUTED_VALUE"""),"Problems Of Today Solution For Tomorrow : EP_14")</f>
        <v>Problems Of Today Solution For Tomorrow : EP_14</v>
      </c>
      <c r="CD807" s="3" t="str">
        <f ca="1">IFERROR(__xludf.DUMMYFUNCTION("""COMPUTED_VALUE"""),"http://literature.awgp.org/book/PROBLEMS_OF_TODAY_SOLUTIONS_FOR_TOMORROW/v1")</f>
        <v>http://literature.awgp.org/book/PROBLEMS_OF_TODAY_SOLUTIONS_FOR_TOMORROW/v1</v>
      </c>
      <c r="CE807" s="1" t="str">
        <f ca="1">IFERROR(__xludf.DUMMYFUNCTION("""COMPUTED_VALUE"""),"Audiobook : Problems Of Today Solution For Tomorrow : EP_14 : amrita_dube@yahoo.com : Recorded")</f>
        <v>Audiobook : Problems Of Today Solution For Tomorrow : EP_14 : amrita_dube@yahoo.com : Recorded</v>
      </c>
      <c r="CF807" s="1" t="str">
        <f ca="1">IFERROR(__xludf.DUMMYFUNCTION("""COMPUTED_VALUE"""),"Audiobook : Problems Of Today Solution For Tomorrow : EP_14 : amrita_dube@yahoo.com : Recorded")</f>
        <v>Audiobook : Problems Of Today Solution For Tomorrow : EP_14 : amrita_dube@yahoo.com : Recorded</v>
      </c>
      <c r="CG807" s="1" t="str">
        <f ca="1">IFERROR(__xludf.DUMMYFUNCTION("""COMPUTED_VALUE"""),"Adarniya Amrita ji Problems Of Today Solution For Tomorrow : EP_14 : Allocated on 19-Aug-23 Contact Number  ")</f>
        <v xml:space="preserve">Adarniya Amrita ji Problems Of Today Solution For Tomorrow : EP_14 : Allocated on 19-Aug-23 Contact Number  </v>
      </c>
      <c r="CH807" s="1"/>
      <c r="CI807" s="1"/>
    </row>
    <row r="808" spans="1:87" x14ac:dyDescent="0.25">
      <c r="A808" s="5">
        <f ca="1">IFERROR(__xludf.DUMMYFUNCTION("""COMPUTED_VALUE"""),45156.4025509837)</f>
        <v>45156.402550983701</v>
      </c>
      <c r="B808" s="1" t="str">
        <f ca="1">IFERROR(__xludf.DUMMYFUNCTION("""COMPUTED_VALUE"""),"manjusaini789789@gmail.com")</f>
        <v>manjusaini789789@gmail.com</v>
      </c>
      <c r="C808" s="1" t="str">
        <f ca="1">IFERROR(__xludf.DUMMYFUNCTION("""COMPUTED_VALUE"""),"मंजु सैनी")</f>
        <v>मंजु सैनी</v>
      </c>
      <c r="D808" s="1">
        <f ca="1">IFERROR(__xludf.DUMMYFUNCTION("""COMPUTED_VALUE"""),9414693254)</f>
        <v>9414693254</v>
      </c>
      <c r="E808" s="1" t="str">
        <f ca="1">IFERROR(__xludf.DUMMYFUNCTION("""COMPUTED_VALUE"""),"Yes")</f>
        <v>Yes</v>
      </c>
      <c r="F808" s="1" t="str">
        <f ca="1">IFERROR(__xludf.DUMMYFUNCTION("""COMPUTED_VALUE"""),"हिन्दी")</f>
        <v>हिन्दी</v>
      </c>
      <c r="G808" s="1" t="str">
        <f ca="1">IFERROR(__xludf.DUMMYFUNCTION("""COMPUTED_VALUE"""),"युग द्रष्टा पं. श्रीराम शर्मा आचार्यजी")</f>
        <v>युग द्रष्टा पं. श्रीराम शर्मा आचार्यजी</v>
      </c>
      <c r="H808" s="1"/>
      <c r="I808" s="1"/>
      <c r="J808" s="1"/>
      <c r="K808" s="1"/>
      <c r="L808" s="1"/>
      <c r="M808" s="1"/>
      <c r="N808" s="1"/>
      <c r="O808" s="1"/>
      <c r="P808" s="1" t="str">
        <f ca="1">IFERROR(__xludf.DUMMYFUNCTION("""COMPUTED_VALUE"""),"युगॠषी का जीवनदर्शन")</f>
        <v>युगॠषी का जीवनदर्शन</v>
      </c>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f ca="1">IFERROR(__xludf.DUMMYFUNCTION("""COMPUTED_VALUE"""),2)</f>
        <v>2</v>
      </c>
      <c r="BX808" s="1">
        <f ca="1">IFERROR(__xludf.DUMMYFUNCTION("""COMPUTED_VALUE"""),0)</f>
        <v>0</v>
      </c>
      <c r="BY808" s="1">
        <f ca="1">IFERROR(__xludf.DUMMYFUNCTION("""COMPUTED_VALUE"""),2)</f>
        <v>2</v>
      </c>
      <c r="BZ808" s="1">
        <f ca="1">IFERROR(__xludf.DUMMYFUNCTION("""COMPUTED_VALUE"""),0)</f>
        <v>0</v>
      </c>
      <c r="CA808" s="1" t="str">
        <f ca="1">IFERROR(__xludf.DUMMYFUNCTION("""COMPUTED_VALUE"""),"Yes")</f>
        <v>Yes</v>
      </c>
      <c r="CB808" s="5">
        <f ca="1">IFERROR(__xludf.DUMMYFUNCTION("""COMPUTED_VALUE"""),45166.4025509837)</f>
        <v>45166.402550983701</v>
      </c>
      <c r="CC808" s="1" t="str">
        <f ca="1">IFERROR(__xludf.DUMMYFUNCTION("""COMPUTED_VALUE"""),"युग ऋषि की जन्मशति : H_SJ_56")</f>
        <v>युग ऋषि की जन्मशति : H_SJ_56</v>
      </c>
      <c r="CD808" s="3" t="str">
        <f ca="1">IFERROR(__xludf.DUMMYFUNCTION("""COMPUTED_VALUE"""),"https://vicharkrantibooks.org/productdetail?book_name=HINP1068_YUGRUSHI_KI_JANMASHATI_xxyyyy&amp;product_id=1633")</f>
        <v>https://vicharkrantibooks.org/productdetail?book_name=HINP1068_YUGRUSHI_KI_JANMASHATI_xxyyyy&amp;product_id=1633</v>
      </c>
      <c r="CE808" s="1" t="str">
        <f ca="1">IFERROR(__xludf.DUMMYFUNCTION("""COMPUTED_VALUE"""),"Audiobook : युग ऋषि की जन्मशति : H_SJ_56 : manjusaini789789@gmail.com : Recorded")</f>
        <v>Audiobook : युग ऋषि की जन्मशति : H_SJ_56 : manjusaini789789@gmail.com : Recorded</v>
      </c>
      <c r="CF808" s="1" t="str">
        <f ca="1">IFERROR(__xludf.DUMMYFUNCTION("""COMPUTED_VALUE"""),"#N/A")</f>
        <v>#N/A</v>
      </c>
      <c r="CG808" s="1" t="str">
        <f ca="1">IFERROR(__xludf.DUMMYFUNCTION("""COMPUTED_VALUE"""),"Adarniya मंजु सैनी ji युग ऋषि की जन्मशति : H_SJ_56 : Allocated on 18-Aug-23 Contact Number  9414693254")</f>
        <v>Adarniya मंजु सैनी ji युग ऋषि की जन्मशति : H_SJ_56 : Allocated on 18-Aug-23 Contact Number  9414693254</v>
      </c>
      <c r="CH808" s="1"/>
      <c r="CI808" s="1"/>
    </row>
    <row r="809" spans="1:87" x14ac:dyDescent="0.25">
      <c r="A809" s="5">
        <f ca="1">IFERROR(__xludf.DUMMYFUNCTION("""COMPUTED_VALUE"""),45155.8063828356)</f>
        <v>45155.806382835603</v>
      </c>
      <c r="B809" s="1" t="str">
        <f ca="1">IFERROR(__xludf.DUMMYFUNCTION("""COMPUTED_VALUE"""),"druma4107@gmail.com")</f>
        <v>druma4107@gmail.com</v>
      </c>
      <c r="C809" s="1" t="str">
        <f ca="1">IFERROR(__xludf.DUMMYFUNCTION("""COMPUTED_VALUE"""),"Dr Uma Agrawal")</f>
        <v>Dr Uma Agrawal</v>
      </c>
      <c r="D809" s="1">
        <f ca="1">IFERROR(__xludf.DUMMYFUNCTION("""COMPUTED_VALUE"""),9410861182)</f>
        <v>9410861182</v>
      </c>
      <c r="E809" s="1" t="str">
        <f ca="1">IFERROR(__xludf.DUMMYFUNCTION("""COMPUTED_VALUE"""),"Yes")</f>
        <v>Yes</v>
      </c>
      <c r="F809" s="1" t="str">
        <f ca="1">IFERROR(__xludf.DUMMYFUNCTION("""COMPUTED_VALUE"""),"हिन्दी")</f>
        <v>हिन्दी</v>
      </c>
      <c r="G809" s="1" t="str">
        <f ca="1">IFERROR(__xludf.DUMMYFUNCTION("""COMPUTED_VALUE"""),"व्यक्ति निर्माण, युवा/विद्यार्थी एवं शिक्षक")</f>
        <v>व्यक्ति निर्माण, युवा/विद्यार्थी एवं शिक्षक</v>
      </c>
      <c r="H809" s="1"/>
      <c r="I809" s="1"/>
      <c r="J809" s="1"/>
      <c r="K809" s="1"/>
      <c r="L809" s="1"/>
      <c r="M809" s="1"/>
      <c r="N809" s="1"/>
      <c r="O809" s="1"/>
      <c r="P809" s="1"/>
      <c r="Q809" s="1"/>
      <c r="R809" s="1"/>
      <c r="S809" s="1"/>
      <c r="T809" s="1" t="str">
        <f ca="1">IFERROR(__xludf.DUMMYFUNCTION("""COMPUTED_VALUE"""),"विद्यार्थी एवं शिक्षक")</f>
        <v>विद्यार्थी एवं शिक्षक</v>
      </c>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f ca="1">IFERROR(__xludf.DUMMYFUNCTION("""COMPUTED_VALUE"""),104)</f>
        <v>104</v>
      </c>
      <c r="BX809" s="1">
        <f ca="1">IFERROR(__xludf.DUMMYFUNCTION("""COMPUTED_VALUE"""),106)</f>
        <v>106</v>
      </c>
      <c r="BY809" s="1">
        <f ca="1">IFERROR(__xludf.DUMMYFUNCTION("""COMPUTED_VALUE"""),9)</f>
        <v>9</v>
      </c>
      <c r="BZ809" s="1">
        <f ca="1">IFERROR(__xludf.DUMMYFUNCTION("""COMPUTED_VALUE"""),43)</f>
        <v>43</v>
      </c>
      <c r="CA809" s="1"/>
      <c r="CB809" s="5">
        <f ca="1">IFERROR(__xludf.DUMMYFUNCTION("""COMPUTED_VALUE"""),45165.8063828356)</f>
        <v>45165.806382835603</v>
      </c>
      <c r="CC809" s="1" t="str">
        <f ca="1">IFERROR(__xludf.DUMMYFUNCTION("""COMPUTED_VALUE"""),"अवरोधों के दो अनुदान साहस और पराक्रम : Rare Book")</f>
        <v>अवरोधों के दो अनुदान साहस और पराक्रम : Rare Book</v>
      </c>
      <c r="CD809" s="3" t="str">
        <f ca="1">IFERROR(__xludf.DUMMYFUNCTION("""COMPUTED_VALUE"""),"https://vicharkrantibooks.org/productdetail?book_name=HINP0115_AVARODHON_KE_DO_ANUDAN_SAHAS_AUR_PARAKRAM_xx1981&amp;product_id=680")</f>
        <v>https://vicharkrantibooks.org/productdetail?book_name=HINP0115_AVARODHON_KE_DO_ANUDAN_SAHAS_AUR_PARAKRAM_xx1981&amp;product_id=680</v>
      </c>
      <c r="CE809" s="1" t="str">
        <f ca="1">IFERROR(__xludf.DUMMYFUNCTION("""COMPUTED_VALUE"""),"Audiobook : अवरोधों के दो अनुदान साहस और पराक्रम : Rare Book : druma4107@gmail.com : Recorded")</f>
        <v>Audiobook : अवरोधों के दो अनुदान साहस और पराक्रम : Rare Book : druma4107@gmail.com : Recorded</v>
      </c>
      <c r="CF809" s="1" t="str">
        <f ca="1">IFERROR(__xludf.DUMMYFUNCTION("""COMPUTED_VALUE"""),"Audiobook : अवरोधों के दो अनुदान साहस और पराक्रम : Rare Book : druma4107@gmail.com : Recorded")</f>
        <v>Audiobook : अवरोधों के दो अनुदान साहस और पराक्रम : Rare Book : druma4107@gmail.com : Recorded</v>
      </c>
      <c r="CG809" s="1" t="str">
        <f ca="1">IFERROR(__xludf.DUMMYFUNCTION("""COMPUTED_VALUE"""),"Adarniya Dr Uma Agrawal ji अवरोधों के दो अनुदान साहस और पराक्रम : Rare Book : Allocated on 17-Aug-23 Contact Number  9410861182")</f>
        <v>Adarniya Dr Uma Agrawal ji अवरोधों के दो अनुदान साहस और पराक्रम : Rare Book : Allocated on 17-Aug-23 Contact Number  9410861182</v>
      </c>
      <c r="CH809" s="1"/>
      <c r="CI809" s="1"/>
    </row>
    <row r="810" spans="1:87" x14ac:dyDescent="0.25">
      <c r="A810" s="5">
        <f ca="1">IFERROR(__xludf.DUMMYFUNCTION("""COMPUTED_VALUE"""),45155.6575391319)</f>
        <v>45155.657539131898</v>
      </c>
      <c r="B810" s="1" t="str">
        <f ca="1">IFERROR(__xludf.DUMMYFUNCTION("""COMPUTED_VALUE"""),"rajnivarma24.vns@gmail.com")</f>
        <v>rajnivarma24.vns@gmail.com</v>
      </c>
      <c r="C810" s="1" t="str">
        <f ca="1">IFERROR(__xludf.DUMMYFUNCTION("""COMPUTED_VALUE"""),"Rajni varma")</f>
        <v>Rajni varma</v>
      </c>
      <c r="D810" s="1">
        <f ca="1">IFERROR(__xludf.DUMMYFUNCTION("""COMPUTED_VALUE"""),9335661433)</f>
        <v>9335661433</v>
      </c>
      <c r="E810" s="1" t="str">
        <f ca="1">IFERROR(__xludf.DUMMYFUNCTION("""COMPUTED_VALUE"""),"No")</f>
        <v>No</v>
      </c>
      <c r="F810" s="1" t="str">
        <f ca="1">IFERROR(__xludf.DUMMYFUNCTION("""COMPUTED_VALUE"""),"हिन्दी")</f>
        <v>हिन्दी</v>
      </c>
      <c r="G810" s="1" t="str">
        <f ca="1">IFERROR(__xludf.DUMMYFUNCTION("""COMPUTED_VALUE"""),"अध्यात्म, धर्म एवं दर्शन")</f>
        <v>अध्यात्म, धर्म एवं दर्शन</v>
      </c>
      <c r="H810" s="1" t="str">
        <f ca="1">IFERROR(__xludf.DUMMYFUNCTION("""COMPUTED_VALUE"""),"अध्यात्म, धर्म एवं आस्तिकता")</f>
        <v>अध्यात्म, धर्म एवं आस्तिकता</v>
      </c>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f ca="1">IFERROR(__xludf.DUMMYFUNCTION("""COMPUTED_VALUE"""),30)</f>
        <v>30</v>
      </c>
      <c r="BX810" s="1">
        <f ca="1">IFERROR(__xludf.DUMMYFUNCTION("""COMPUTED_VALUE"""),25)</f>
        <v>25</v>
      </c>
      <c r="BY810" s="1">
        <f ca="1">IFERROR(__xludf.DUMMYFUNCTION("""COMPUTED_VALUE"""),7)</f>
        <v>7</v>
      </c>
      <c r="BZ810" s="1">
        <f ca="1">IFERROR(__xludf.DUMMYFUNCTION("""COMPUTED_VALUE"""),7)</f>
        <v>7</v>
      </c>
      <c r="CA810" s="1"/>
      <c r="CB810" s="5">
        <f ca="1">IFERROR(__xludf.DUMMYFUNCTION("""COMPUTED_VALUE"""),45165.6575391319)</f>
        <v>45165.657539131898</v>
      </c>
      <c r="CC810" s="1" t="str">
        <f ca="1">IFERROR(__xludf.DUMMYFUNCTION("""COMPUTED_VALUE"""),"धरती सत्य पर टिकी है : Rare Book")</f>
        <v>धरती सत्य पर टिकी है : Rare Book</v>
      </c>
      <c r="CD810" s="3" t="str">
        <f ca="1">IFERROR(__xludf.DUMMYFUNCTION("""COMPUTED_VALUE"""),"https://vicharkrantibooks.org/productdetail?book_name=HINP0228_DHARATI_SATY_PAR_TIKI_HAI_xx1978&amp;product_id=793")</f>
        <v>https://vicharkrantibooks.org/productdetail?book_name=HINP0228_DHARATI_SATY_PAR_TIKI_HAI_xx1978&amp;product_id=793</v>
      </c>
      <c r="CE810" s="1" t="str">
        <f ca="1">IFERROR(__xludf.DUMMYFUNCTION("""COMPUTED_VALUE"""),"Audiobook : धरती सत्य पर टिकी है : Rare Book : rajnivarma24.vns@gmail.com : Recorded")</f>
        <v>Audiobook : धरती सत्य पर टिकी है : Rare Book : rajnivarma24.vns@gmail.com : Recorded</v>
      </c>
      <c r="CF810" s="1" t="str">
        <f ca="1">IFERROR(__xludf.DUMMYFUNCTION("""COMPUTED_VALUE"""),"Audiobook : धरती सत्य पर टिकी है : Rare Book : rajnivarma24.vns@gmail.com : Recorded")</f>
        <v>Audiobook : धरती सत्य पर टिकी है : Rare Book : rajnivarma24.vns@gmail.com : Recorded</v>
      </c>
      <c r="CG810" s="1" t="str">
        <f ca="1">IFERROR(__xludf.DUMMYFUNCTION("""COMPUTED_VALUE"""),"Adarniya Rajni varma ji धरती सत्य पर टिकी है : Rare Book : Allocated on 17-Aug-23 Contact Number  9335661433")</f>
        <v>Adarniya Rajni varma ji धरती सत्य पर टिकी है : Rare Book : Allocated on 17-Aug-23 Contact Number  9335661433</v>
      </c>
      <c r="CH810" s="1"/>
      <c r="CI810" s="1"/>
    </row>
    <row r="811" spans="1:87" x14ac:dyDescent="0.25">
      <c r="A811" s="5">
        <f ca="1">IFERROR(__xludf.DUMMYFUNCTION("""COMPUTED_VALUE"""),45155.4726090625)</f>
        <v>45155.472609062497</v>
      </c>
      <c r="B811" s="1" t="str">
        <f ca="1">IFERROR(__xludf.DUMMYFUNCTION("""COMPUTED_VALUE"""),"rani25.mp@gmail.con")</f>
        <v>rani25.mp@gmail.con</v>
      </c>
      <c r="C811" s="1" t="str">
        <f ca="1">IFERROR(__xludf.DUMMYFUNCTION("""COMPUTED_VALUE"""),"Rani Raikwar Bharti ")</f>
        <v xml:space="preserve">Rani Raikwar Bharti </v>
      </c>
      <c r="D811" s="1">
        <f ca="1">IFERROR(__xludf.DUMMYFUNCTION("""COMPUTED_VALUE"""),8120820647)</f>
        <v>8120820647</v>
      </c>
      <c r="E811" s="1" t="str">
        <f ca="1">IFERROR(__xludf.DUMMYFUNCTION("""COMPUTED_VALUE"""),"Yes")</f>
        <v>Yes</v>
      </c>
      <c r="F811" s="1" t="str">
        <f ca="1">IFERROR(__xludf.DUMMYFUNCTION("""COMPUTED_VALUE"""),"हिन्दी")</f>
        <v>हिन्दी</v>
      </c>
      <c r="G811" s="1" t="str">
        <f ca="1">IFERROR(__xludf.DUMMYFUNCTION("""COMPUTED_VALUE"""),"युग परिवर्तन-विचार क्रांति")</f>
        <v>युग परिवर्तन-विचार क्रांति</v>
      </c>
      <c r="H811" s="1"/>
      <c r="I811" s="1"/>
      <c r="J811" s="1"/>
      <c r="K811" s="1"/>
      <c r="L811" s="1"/>
      <c r="M811" s="1"/>
      <c r="N811" s="1"/>
      <c r="O811" s="1"/>
      <c r="P811" s="1"/>
      <c r="Q811" s="1" t="str">
        <f ca="1">IFERROR(__xludf.DUMMYFUNCTION("""COMPUTED_VALUE"""),"युग निर्माण योजना एवं युग परिवर्तन")</f>
        <v>युग निर्माण योजना एवं युग परिवर्तन</v>
      </c>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f ca="1">IFERROR(__xludf.DUMMYFUNCTION("""COMPUTED_VALUE"""),1)</f>
        <v>1</v>
      </c>
      <c r="BX811" s="1">
        <f ca="1">IFERROR(__xludf.DUMMYFUNCTION("""COMPUTED_VALUE"""),0)</f>
        <v>0</v>
      </c>
      <c r="BY811" s="1">
        <f ca="1">IFERROR(__xludf.DUMMYFUNCTION("""COMPUTED_VALUE"""),1)</f>
        <v>1</v>
      </c>
      <c r="BZ811" s="1">
        <f ca="1">IFERROR(__xludf.DUMMYFUNCTION("""COMPUTED_VALUE"""),0)</f>
        <v>0</v>
      </c>
      <c r="CA811" s="1" t="str">
        <f ca="1">IFERROR(__xludf.DUMMYFUNCTION("""COMPUTED_VALUE"""),"Yes")</f>
        <v>Yes</v>
      </c>
      <c r="CB811" s="5">
        <f ca="1">IFERROR(__xludf.DUMMYFUNCTION("""COMPUTED_VALUE"""),45165.4726090625)</f>
        <v>45165.472609062497</v>
      </c>
      <c r="CC811" s="1" t="str">
        <f ca="1">IFERROR(__xludf.DUMMYFUNCTION("""COMPUTED_VALUE"""),"इक्कीसवीं सदी की उज्जवल संभावनाएँ : Rare Book")</f>
        <v>इक्कीसवीं सदी की उज्जवल संभावनाएँ : Rare Book</v>
      </c>
      <c r="CD811" s="3" t="str">
        <f ca="1">IFERROR(__xludf.DUMMYFUNCTION("""COMPUTED_VALUE"""),"https://vicharkrantibooks.org/productdetail?book_name=HINP1116_IKKISAVI_SADI_KI_UJJAVAL_SAMBHAVANAE_xxyyyy&amp;product_id=1681")</f>
        <v>https://vicharkrantibooks.org/productdetail?book_name=HINP1116_IKKISAVI_SADI_KI_UJJAVAL_SAMBHAVANAE_xxyyyy&amp;product_id=1681</v>
      </c>
      <c r="CE811" s="1" t="str">
        <f ca="1">IFERROR(__xludf.DUMMYFUNCTION("""COMPUTED_VALUE"""),"Audiobook : इक्कीसवीं सदी की उज्जवल संभावनाएँ : Rare Book : rani25.mp@gmail.con : Recorded")</f>
        <v>Audiobook : इक्कीसवीं सदी की उज्जवल संभावनाएँ : Rare Book : rani25.mp@gmail.con : Recorded</v>
      </c>
      <c r="CF811" s="1" t="str">
        <f ca="1">IFERROR(__xludf.DUMMYFUNCTION("""COMPUTED_VALUE"""),"#N/A")</f>
        <v>#N/A</v>
      </c>
      <c r="CG811" s="1" t="str">
        <f ca="1">IFERROR(__xludf.DUMMYFUNCTION("""COMPUTED_VALUE"""),"Adarniya Rani Raikwar Bharti  ji इक्कीसवीं सदी की उज्जवल संभावनाएँ : Rare Book : Allocated on 17-Aug-23 Contact Number  8120820647")</f>
        <v>Adarniya Rani Raikwar Bharti  ji इक्कीसवीं सदी की उज्जवल संभावनाएँ : Rare Book : Allocated on 17-Aug-23 Contact Number  8120820647</v>
      </c>
      <c r="CH811" s="1"/>
      <c r="CI811" s="1"/>
    </row>
    <row r="812" spans="1:87" x14ac:dyDescent="0.25">
      <c r="A812" s="5">
        <f ca="1">IFERROR(__xludf.DUMMYFUNCTION("""COMPUTED_VALUE"""),45155.3577590625)</f>
        <v>45155.357759062499</v>
      </c>
      <c r="B812" s="1" t="str">
        <f ca="1">IFERROR(__xludf.DUMMYFUNCTION("""COMPUTED_VALUE"""),"divyabhatnagar73@gmail.com")</f>
        <v>divyabhatnagar73@gmail.com</v>
      </c>
      <c r="C812" s="1" t="str">
        <f ca="1">IFERROR(__xludf.DUMMYFUNCTION("""COMPUTED_VALUE"""),"Divya Bhatnagar")</f>
        <v>Divya Bhatnagar</v>
      </c>
      <c r="D812" s="1" t="str">
        <f ca="1">IFERROR(__xludf.DUMMYFUNCTION("""COMPUTED_VALUE"""),"09672806579")</f>
        <v>09672806579</v>
      </c>
      <c r="E812" s="1" t="str">
        <f ca="1">IFERROR(__xludf.DUMMYFUNCTION("""COMPUTED_VALUE"""),"Yes")</f>
        <v>Yes</v>
      </c>
      <c r="F812" s="1" t="str">
        <f ca="1">IFERROR(__xludf.DUMMYFUNCTION("""COMPUTED_VALUE"""),"हिन्दी or English")</f>
        <v>हिन्दी or English</v>
      </c>
      <c r="G812" s="1" t="str">
        <f ca="1">IFERROR(__xludf.DUMMYFUNCTION("""COMPUTED_VALUE"""),"भारतीय संस्कृति")</f>
        <v>भारतीय संस्कृति</v>
      </c>
      <c r="H812" s="1"/>
      <c r="I812" s="1"/>
      <c r="J812" s="1"/>
      <c r="K812" s="1"/>
      <c r="L812" s="1"/>
      <c r="M812" s="1"/>
      <c r="N812" s="1"/>
      <c r="O812" s="1" t="str">
        <f ca="1">IFERROR(__xludf.DUMMYFUNCTION("""COMPUTED_VALUE"""),"यज्ञ")</f>
        <v>यज्ञ</v>
      </c>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f ca="1">IFERROR(__xludf.DUMMYFUNCTION("""COMPUTED_VALUE"""),12)</f>
        <v>12</v>
      </c>
      <c r="BX812" s="1">
        <f ca="1">IFERROR(__xludf.DUMMYFUNCTION("""COMPUTED_VALUE"""),6)</f>
        <v>6</v>
      </c>
      <c r="BY812" s="1">
        <f ca="1">IFERROR(__xludf.DUMMYFUNCTION("""COMPUTED_VALUE"""),7)</f>
        <v>7</v>
      </c>
      <c r="BZ812" s="1">
        <f ca="1">IFERROR(__xludf.DUMMYFUNCTION("""COMPUTED_VALUE"""),1)</f>
        <v>1</v>
      </c>
      <c r="CA812" s="1"/>
      <c r="CB812" s="5">
        <f ca="1">IFERROR(__xludf.DUMMYFUNCTION("""COMPUTED_VALUE"""),45165.3577590625)</f>
        <v>45165.357759062499</v>
      </c>
      <c r="CC812" s="1" t="str">
        <f ca="1">IFERROR(__xludf.DUMMYFUNCTION("""COMPUTED_VALUE"""),"Jivan Sadhana A Noble Art Of Living : EP_80")</f>
        <v>Jivan Sadhana A Noble Art Of Living : EP_80</v>
      </c>
      <c r="CD812" s="3" t="str">
        <f ca="1">IFERROR(__xludf.DUMMYFUNCTION("""COMPUTED_VALUE"""),"http://literature.awgp.org/book/A_noble_Art_of_Living/v1")</f>
        <v>http://literature.awgp.org/book/A_noble_Art_of_Living/v1</v>
      </c>
      <c r="CE812" s="1" t="str">
        <f ca="1">IFERROR(__xludf.DUMMYFUNCTION("""COMPUTED_VALUE"""),"Audiobook : Jivan Sadhana A Noble Art Of Living : EP_80 : divyabhatnagar73@gmail.com : Recorded")</f>
        <v>Audiobook : Jivan Sadhana A Noble Art Of Living : EP_80 : divyabhatnagar73@gmail.com : Recorded</v>
      </c>
      <c r="CF812" s="1" t="str">
        <f ca="1">IFERROR(__xludf.DUMMYFUNCTION("""COMPUTED_VALUE"""),"#N/A")</f>
        <v>#N/A</v>
      </c>
      <c r="CG812" s="1" t="str">
        <f ca="1">IFERROR(__xludf.DUMMYFUNCTION("""COMPUTED_VALUE"""),"Adarniya Divya Bhatnagar ji Jivan Sadhana A Noble Art Of Living : EP_80 : Allocated on 17-Aug-23 Contact Number  09672806579")</f>
        <v>Adarniya Divya Bhatnagar ji Jivan Sadhana A Noble Art Of Living : EP_80 : Allocated on 17-Aug-23 Contact Number  09672806579</v>
      </c>
      <c r="CH812" s="1"/>
      <c r="CI812" s="1"/>
    </row>
    <row r="813" spans="1:87" x14ac:dyDescent="0.25">
      <c r="A813" s="5">
        <f ca="1">IFERROR(__xludf.DUMMYFUNCTION("""COMPUTED_VALUE"""),45155.2492405324)</f>
        <v>45155.249240532401</v>
      </c>
      <c r="B813" s="1" t="str">
        <f ca="1">IFERROR(__xludf.DUMMYFUNCTION("""COMPUTED_VALUE"""),"sanjayneha1@yahoo.com")</f>
        <v>sanjayneha1@yahoo.com</v>
      </c>
      <c r="C813" s="1" t="str">
        <f ca="1">IFERROR(__xludf.DUMMYFUNCTION("""COMPUTED_VALUE"""),"Neha Manocha")</f>
        <v>Neha Manocha</v>
      </c>
      <c r="D813" s="1">
        <f ca="1">IFERROR(__xludf.DUMMYFUNCTION("""COMPUTED_VALUE"""),16174130446)</f>
        <v>16174130446</v>
      </c>
      <c r="E813" s="1" t="str">
        <f ca="1">IFERROR(__xludf.DUMMYFUNCTION("""COMPUTED_VALUE"""),"Yes")</f>
        <v>Yes</v>
      </c>
      <c r="F813" s="1" t="str">
        <f ca="1">IFERROR(__xludf.DUMMYFUNCTION("""COMPUTED_VALUE"""),"हिन्दी or English")</f>
        <v>हिन्दी or English</v>
      </c>
      <c r="G813" s="1" t="str">
        <f ca="1">IFERROR(__xludf.DUMMYFUNCTION("""COMPUTED_VALUE"""),"युग द्रष्टा पं. श्रीराम शर्मा आचार्यजी")</f>
        <v>युग द्रष्टा पं. श्रीराम शर्मा आचार्यजी</v>
      </c>
      <c r="H813" s="1"/>
      <c r="I813" s="1"/>
      <c r="J813" s="1"/>
      <c r="K813" s="1"/>
      <c r="L813" s="1"/>
      <c r="M813" s="1"/>
      <c r="N813" s="1"/>
      <c r="O813" s="1"/>
      <c r="P813" s="1" t="str">
        <f ca="1">IFERROR(__xludf.DUMMYFUNCTION("""COMPUTED_VALUE"""),"युगॠषी का जीवनदर्शन")</f>
        <v>युगॠषी का जीवनदर्शन</v>
      </c>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f ca="1">IFERROR(__xludf.DUMMYFUNCTION("""COMPUTED_VALUE"""),33)</f>
        <v>33</v>
      </c>
      <c r="BX813" s="1">
        <f ca="1">IFERROR(__xludf.DUMMYFUNCTION("""COMPUTED_VALUE"""),40)</f>
        <v>40</v>
      </c>
      <c r="BY813" s="1">
        <f ca="1">IFERROR(__xludf.DUMMYFUNCTION("""COMPUTED_VALUE"""),3)</f>
        <v>3</v>
      </c>
      <c r="BZ813" s="1">
        <f ca="1">IFERROR(__xludf.DUMMYFUNCTION("""COMPUTED_VALUE"""),22)</f>
        <v>22</v>
      </c>
      <c r="CA813" s="1"/>
      <c r="CB813" s="5">
        <f ca="1">IFERROR(__xludf.DUMMYFUNCTION("""COMPUTED_VALUE"""),45165.2492405324)</f>
        <v>45165.249240532401</v>
      </c>
      <c r="CC813" s="1" t="str">
        <f ca="1">IFERROR(__xludf.DUMMYFUNCTION("""COMPUTED_VALUE"""),"A Glimpse Of The Golden Future : EP_71")</f>
        <v>A Glimpse Of The Golden Future : EP_71</v>
      </c>
      <c r="CD813" s="3" t="str">
        <f ca="1">IFERROR(__xludf.DUMMYFUNCTION("""COMPUTED_VALUE"""),"http://literature.awgp.org/book/glimpse_of_golden_future/v2")</f>
        <v>http://literature.awgp.org/book/glimpse_of_golden_future/v2</v>
      </c>
      <c r="CE813" s="1" t="str">
        <f ca="1">IFERROR(__xludf.DUMMYFUNCTION("""COMPUTED_VALUE"""),"Audiobook : A Glimpse Of The Golden Future : EP_71 : sanjayneha1@yahoo.com : Recorded")</f>
        <v>Audiobook : A Glimpse Of The Golden Future : EP_71 : sanjayneha1@yahoo.com : Recorded</v>
      </c>
      <c r="CF813" s="1" t="str">
        <f ca="1">IFERROR(__xludf.DUMMYFUNCTION("""COMPUTED_VALUE"""),"Audiobook : A Glimpse Of The Golden Future : EP_71 : sanjayneha1@yahoo.com : Recorded")</f>
        <v>Audiobook : A Glimpse Of The Golden Future : EP_71 : sanjayneha1@yahoo.com : Recorded</v>
      </c>
      <c r="CG813" s="1" t="str">
        <f ca="1">IFERROR(__xludf.DUMMYFUNCTION("""COMPUTED_VALUE"""),"Adarniya Neha Manocha ji A Glimpse Of The Golden Future : EP_71 : Allocated on 17-Aug-23 Contact Number  16174130446")</f>
        <v>Adarniya Neha Manocha ji A Glimpse Of The Golden Future : EP_71 : Allocated on 17-Aug-23 Contact Number  16174130446</v>
      </c>
      <c r="CH813" s="1"/>
      <c r="CI813" s="1"/>
    </row>
    <row r="814" spans="1:87" x14ac:dyDescent="0.25">
      <c r="A814" s="5">
        <f ca="1">IFERROR(__xludf.DUMMYFUNCTION("""COMPUTED_VALUE"""),45154.9370217013)</f>
        <v>45154.937021701298</v>
      </c>
      <c r="B814" s="1" t="str">
        <f ca="1">IFERROR(__xludf.DUMMYFUNCTION("""COMPUTED_VALUE"""),"vandana15@gmail.com")</f>
        <v>vandana15@gmail.com</v>
      </c>
      <c r="C814" s="1" t="str">
        <f ca="1">IFERROR(__xludf.DUMMYFUNCTION("""COMPUTED_VALUE"""),"Vandana rastogi")</f>
        <v>Vandana rastogi</v>
      </c>
      <c r="D814" s="1">
        <f ca="1">IFERROR(__xludf.DUMMYFUNCTION("""COMPUTED_VALUE"""),9359528684)</f>
        <v>9359528684</v>
      </c>
      <c r="E814" s="1" t="str">
        <f ca="1">IFERROR(__xludf.DUMMYFUNCTION("""COMPUTED_VALUE"""),"Yes")</f>
        <v>Yes</v>
      </c>
      <c r="F814" s="1" t="str">
        <f ca="1">IFERROR(__xludf.DUMMYFUNCTION("""COMPUTED_VALUE"""),"हिन्दी")</f>
        <v>हिन्दी</v>
      </c>
      <c r="G814" s="1" t="str">
        <f ca="1">IFERROR(__xludf.DUMMYFUNCTION("""COMPUTED_VALUE"""),"अध्यात्म, धर्म एवं दर्शन")</f>
        <v>अध्यात्म, धर्म एवं दर्शन</v>
      </c>
      <c r="H814" s="1" t="str">
        <f ca="1">IFERROR(__xludf.DUMMYFUNCTION("""COMPUTED_VALUE"""),"अध्यात्म, धर्म एवं आस्तिकता")</f>
        <v>अध्यात्म, धर्म एवं आस्तिकता</v>
      </c>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f ca="1">IFERROR(__xludf.DUMMYFUNCTION("""COMPUTED_VALUE"""),1)</f>
        <v>1</v>
      </c>
      <c r="BX814" s="1">
        <f ca="1">IFERROR(__xludf.DUMMYFUNCTION("""COMPUTED_VALUE"""),0)</f>
        <v>0</v>
      </c>
      <c r="BY814" s="1">
        <f ca="1">IFERROR(__xludf.DUMMYFUNCTION("""COMPUTED_VALUE"""),1)</f>
        <v>1</v>
      </c>
      <c r="BZ814" s="1">
        <f ca="1">IFERROR(__xludf.DUMMYFUNCTION("""COMPUTED_VALUE"""),0)</f>
        <v>0</v>
      </c>
      <c r="CA814" s="1" t="str">
        <f ca="1">IFERROR(__xludf.DUMMYFUNCTION("""COMPUTED_VALUE"""),"Yes")</f>
        <v>Yes</v>
      </c>
      <c r="CB814" s="5">
        <f ca="1">IFERROR(__xludf.DUMMYFUNCTION("""COMPUTED_VALUE"""),45164.9370217013)</f>
        <v>45164.937021701298</v>
      </c>
      <c r="CC814" s="1" t="str">
        <f ca="1">IFERROR(__xludf.DUMMYFUNCTION("""COMPUTED_VALUE"""),"कामनाएँ भगवान को सौंप दें : H_JS_54")</f>
        <v>कामनाएँ भगवान को सौंप दें : H_JS_54</v>
      </c>
      <c r="CD814" s="3" t="str">
        <f ca="1">IFERROR(__xludf.DUMMYFUNCTION("""COMPUTED_VALUE"""),"https://vicharkrantibooks.org/productdetail?book_name=HINP0417_KAMANAEN_BHAGAVAN_KO_SAUNP_DEN_xx2011&amp;product_id=982")</f>
        <v>https://vicharkrantibooks.org/productdetail?book_name=HINP0417_KAMANAEN_BHAGAVAN_KO_SAUNP_DEN_xx2011&amp;product_id=982</v>
      </c>
      <c r="CE814" s="1" t="str">
        <f ca="1">IFERROR(__xludf.DUMMYFUNCTION("""COMPUTED_VALUE"""),"Audiobook : कामनाएँ भगवान को सौंप दें : H_JS_54 : vandana15@gmail.com : Recorded")</f>
        <v>Audiobook : कामनाएँ भगवान को सौंप दें : H_JS_54 : vandana15@gmail.com : Recorded</v>
      </c>
      <c r="CF814" s="1" t="str">
        <f ca="1">IFERROR(__xludf.DUMMYFUNCTION("""COMPUTED_VALUE"""),"#N/A")</f>
        <v>#N/A</v>
      </c>
      <c r="CG814" s="1" t="str">
        <f ca="1">IFERROR(__xludf.DUMMYFUNCTION("""COMPUTED_VALUE"""),"Adarniya Vandana rastogi ji कामनाएँ भगवान को सौंप दें : H_JS_54 : Allocated on 16-Aug-23 Contact Number  9359528684")</f>
        <v>Adarniya Vandana rastogi ji कामनाएँ भगवान को सौंप दें : H_JS_54 : Allocated on 16-Aug-23 Contact Number  9359528684</v>
      </c>
      <c r="CH814" s="1"/>
      <c r="CI814" s="1"/>
    </row>
    <row r="815" spans="1:87" x14ac:dyDescent="0.25">
      <c r="A815" s="5">
        <f ca="1">IFERROR(__xludf.DUMMYFUNCTION("""COMPUTED_VALUE"""),45153.9961737847)</f>
        <v>45153.996173784697</v>
      </c>
      <c r="B815" s="1" t="str">
        <f ca="1">IFERROR(__xludf.DUMMYFUNCTION("""COMPUTED_VALUE"""),"ojhakrishna2310@gmail.com")</f>
        <v>ojhakrishna2310@gmail.com</v>
      </c>
      <c r="C815" s="1" t="str">
        <f ca="1">IFERROR(__xludf.DUMMYFUNCTION("""COMPUTED_VALUE"""),"Krishna  ojha")</f>
        <v>Krishna  ojha</v>
      </c>
      <c r="D815" s="1">
        <f ca="1">IFERROR(__xludf.DUMMYFUNCTION("""COMPUTED_VALUE"""),9637907058)</f>
        <v>9637907058</v>
      </c>
      <c r="E815" s="1"/>
      <c r="F815" s="1" t="str">
        <f ca="1">IFERROR(__xludf.DUMMYFUNCTION("""COMPUTED_VALUE"""),"हिन्दी")</f>
        <v>हिन्दी</v>
      </c>
      <c r="G815" s="1" t="str">
        <f ca="1">IFERROR(__xludf.DUMMYFUNCTION("""COMPUTED_VALUE"""),"जीवन प्रबंध")</f>
        <v>जीवन प्रबंध</v>
      </c>
      <c r="H815" s="1"/>
      <c r="I815" s="1"/>
      <c r="J815" s="1"/>
      <c r="K815" s="1"/>
      <c r="L815" s="1" t="str">
        <f ca="1">IFERROR(__xludf.DUMMYFUNCTION("""COMPUTED_VALUE"""),"मन की शक्ति एवं मनोविज्ञान")</f>
        <v>मन की शक्ति एवं मनोविज्ञान</v>
      </c>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f ca="1">IFERROR(__xludf.DUMMYFUNCTION("""COMPUTED_VALUE"""),13)</f>
        <v>13</v>
      </c>
      <c r="BX815" s="1">
        <f ca="1">IFERROR(__xludf.DUMMYFUNCTION("""COMPUTED_VALUE"""),6)</f>
        <v>6</v>
      </c>
      <c r="BY815" s="1">
        <f ca="1">IFERROR(__xludf.DUMMYFUNCTION("""COMPUTED_VALUE"""),8)</f>
        <v>8</v>
      </c>
      <c r="BZ815" s="1">
        <f ca="1">IFERROR(__xludf.DUMMYFUNCTION("""COMPUTED_VALUE"""),0)</f>
        <v>0</v>
      </c>
      <c r="CA815" s="1"/>
      <c r="CB815" s="5">
        <f ca="1">IFERROR(__xludf.DUMMYFUNCTION("""COMPUTED_VALUE"""),45163.9961737847)</f>
        <v>45163.996173784697</v>
      </c>
      <c r="CC815" s="1" t="str">
        <f ca="1">IFERROR(__xludf.DUMMYFUNCTION("""COMPUTED_VALUE"""),"अंतर्जगत का देवासुर संग्राम : Rare Book")</f>
        <v>अंतर्जगत का देवासुर संग्राम : Rare Book</v>
      </c>
      <c r="CD815" s="3" t="str">
        <f ca="1">IFERROR(__xludf.DUMMYFUNCTION("""COMPUTED_VALUE"""),"https://vicharkrantibooks.org/productdetail?book_name=HINP0052_ANTARJAGAT_KA_DEVASUR_SANGRAM_xx1978&amp;product_id=617")</f>
        <v>https://vicharkrantibooks.org/productdetail?book_name=HINP0052_ANTARJAGAT_KA_DEVASUR_SANGRAM_xx1978&amp;product_id=617</v>
      </c>
      <c r="CE815" s="1" t="str">
        <f ca="1">IFERROR(__xludf.DUMMYFUNCTION("""COMPUTED_VALUE"""),"Audiobook : अंतर्जगत का देवासुर संग्राम : Rare Book : ojhakrishna2310@gmail.com : Recorded")</f>
        <v>Audiobook : अंतर्जगत का देवासुर संग्राम : Rare Book : ojhakrishna2310@gmail.com : Recorded</v>
      </c>
      <c r="CF815" s="1" t="str">
        <f ca="1">IFERROR(__xludf.DUMMYFUNCTION("""COMPUTED_VALUE"""),"Audiobook : अंतर्जगत का देवासुर संग्राम : Rare Book : ojhakrishna2310@gmail.com : Recorded")</f>
        <v>Audiobook : अंतर्जगत का देवासुर संग्राम : Rare Book : ojhakrishna2310@gmail.com : Recorded</v>
      </c>
      <c r="CG815" s="1" t="str">
        <f ca="1">IFERROR(__xludf.DUMMYFUNCTION("""COMPUTED_VALUE"""),"Adarniya Krishna  ojha ji अंतर्जगत का देवासुर संग्राम : Rare Book : Allocated on 15-Aug-23 Contact Number  9637907058")</f>
        <v>Adarniya Krishna  ojha ji अंतर्जगत का देवासुर संग्राम : Rare Book : Allocated on 15-Aug-23 Contact Number  9637907058</v>
      </c>
      <c r="CH815" s="1"/>
      <c r="CI815" s="1"/>
    </row>
    <row r="816" spans="1:87" x14ac:dyDescent="0.25">
      <c r="A816" s="5">
        <f ca="1">IFERROR(__xludf.DUMMYFUNCTION("""COMPUTED_VALUE"""),45153.9346200231)</f>
        <v>45153.934620023101</v>
      </c>
      <c r="B816" s="1" t="str">
        <f ca="1">IFERROR(__xludf.DUMMYFUNCTION("""COMPUTED_VALUE"""),"gayatrimantra56@gmail.com")</f>
        <v>gayatrimantra56@gmail.com</v>
      </c>
      <c r="C816" s="1" t="str">
        <f ca="1">IFERROR(__xludf.DUMMYFUNCTION("""COMPUTED_VALUE"""),"Sushma Rani Sharma ")</f>
        <v xml:space="preserve">Sushma Rani Sharma </v>
      </c>
      <c r="D816" s="1">
        <f ca="1">IFERROR(__xludf.DUMMYFUNCTION("""COMPUTED_VALUE"""),9416956300)</f>
        <v>9416956300</v>
      </c>
      <c r="E816" s="1" t="str">
        <f ca="1">IFERROR(__xludf.DUMMYFUNCTION("""COMPUTED_VALUE"""),"Yes")</f>
        <v>Yes</v>
      </c>
      <c r="F816" s="1" t="str">
        <f ca="1">IFERROR(__xludf.DUMMYFUNCTION("""COMPUTED_VALUE"""),"हिन्दी")</f>
        <v>हिन्दी</v>
      </c>
      <c r="G816" s="1" t="str">
        <f ca="1">IFERROR(__xludf.DUMMYFUNCTION("""COMPUTED_VALUE"""),"भारतीय संस्कृति")</f>
        <v>भारतीय संस्कृति</v>
      </c>
      <c r="H816" s="1"/>
      <c r="I816" s="1"/>
      <c r="J816" s="1"/>
      <c r="K816" s="1"/>
      <c r="L816" s="1"/>
      <c r="M816" s="1"/>
      <c r="N816" s="1"/>
      <c r="O816" s="1" t="str">
        <f ca="1">IFERROR(__xludf.DUMMYFUNCTION("""COMPUTED_VALUE"""),"भारतीय संस्कृति")</f>
        <v>भारतीय संस्कृति</v>
      </c>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f ca="1">IFERROR(__xludf.DUMMYFUNCTION("""COMPUTED_VALUE"""),3)</f>
        <v>3</v>
      </c>
      <c r="BX816" s="1">
        <f ca="1">IFERROR(__xludf.DUMMYFUNCTION("""COMPUTED_VALUE"""),2)</f>
        <v>2</v>
      </c>
      <c r="BY816" s="1">
        <f ca="1">IFERROR(__xludf.DUMMYFUNCTION("""COMPUTED_VALUE"""),1)</f>
        <v>1</v>
      </c>
      <c r="BZ816" s="1">
        <f ca="1">IFERROR(__xludf.DUMMYFUNCTION("""COMPUTED_VALUE"""),0)</f>
        <v>0</v>
      </c>
      <c r="CA816" s="1" t="str">
        <f ca="1">IFERROR(__xludf.DUMMYFUNCTION("""COMPUTED_VALUE"""),"Yes")</f>
        <v>Yes</v>
      </c>
      <c r="CB816" s="5">
        <f ca="1">IFERROR(__xludf.DUMMYFUNCTION("""COMPUTED_VALUE"""),45163.9346200231)</f>
        <v>45163.934620023101</v>
      </c>
      <c r="CC816" s="1" t="str">
        <f ca="1">IFERROR(__xludf.DUMMYFUNCTION("""COMPUTED_VALUE"""),"कामधेनु गायत्री : Rare Book")</f>
        <v>कामधेनु गायत्री : Rare Book</v>
      </c>
      <c r="CD816" s="3" t="str">
        <f ca="1">IFERROR(__xludf.DUMMYFUNCTION("""COMPUTED_VALUE"""),"https://vicharkrantibooks.org/productdetail?book_name=HINP0416_KAMADEHANU_GAYATRI_xxyyyy&amp;product_id=981")</f>
        <v>https://vicharkrantibooks.org/productdetail?book_name=HINP0416_KAMADEHANU_GAYATRI_xxyyyy&amp;product_id=981</v>
      </c>
      <c r="CE816" s="1" t="str">
        <f ca="1">IFERROR(__xludf.DUMMYFUNCTION("""COMPUTED_VALUE"""),"Audiobook : कामधेनु गायत्री : Rare Book : gayatrimantra56@gmail.com : Recorded")</f>
        <v>Audiobook : कामधेनु गायत्री : Rare Book : gayatrimantra56@gmail.com : Recorded</v>
      </c>
      <c r="CF816" s="1" t="str">
        <f ca="1">IFERROR(__xludf.DUMMYFUNCTION("""COMPUTED_VALUE"""),"Audiobook : कामधेनु गायत्री : Rare Book : gayatrimantra56@gmail.com : Recorded")</f>
        <v>Audiobook : कामधेनु गायत्री : Rare Book : gayatrimantra56@gmail.com : Recorded</v>
      </c>
      <c r="CG816" s="1" t="str">
        <f ca="1">IFERROR(__xludf.DUMMYFUNCTION("""COMPUTED_VALUE"""),"Adarniya Sushma Rani Sharma  ji कामधेनु गायत्री : Rare Book : Allocated on 15-Aug-23 Contact Number  9416956300")</f>
        <v>Adarniya Sushma Rani Sharma  ji कामधेनु गायत्री : Rare Book : Allocated on 15-Aug-23 Contact Number  9416956300</v>
      </c>
      <c r="CH816" s="1"/>
      <c r="CI816" s="1"/>
    </row>
    <row r="817" spans="1:87" x14ac:dyDescent="0.25">
      <c r="A817" s="5">
        <f ca="1">IFERROR(__xludf.DUMMYFUNCTION("""COMPUTED_VALUE"""),45153.8971767013)</f>
        <v>45153.897176701299</v>
      </c>
      <c r="B817" s="1" t="str">
        <f ca="1">IFERROR(__xludf.DUMMYFUNCTION("""COMPUTED_VALUE"""),"subhashbaghelkar@gmail.com")</f>
        <v>subhashbaghelkar@gmail.com</v>
      </c>
      <c r="C817" s="1" t="str">
        <f ca="1">IFERROR(__xludf.DUMMYFUNCTION("""COMPUTED_VALUE"""),"Subhash Baghelkar")</f>
        <v>Subhash Baghelkar</v>
      </c>
      <c r="D817" s="1">
        <f ca="1">IFERROR(__xludf.DUMMYFUNCTION("""COMPUTED_VALUE"""),8800989458)</f>
        <v>8800989458</v>
      </c>
      <c r="E817" s="1" t="str">
        <f ca="1">IFERROR(__xludf.DUMMYFUNCTION("""COMPUTED_VALUE"""),"No")</f>
        <v>No</v>
      </c>
      <c r="F817" s="1" t="str">
        <f ca="1">IFERROR(__xludf.DUMMYFUNCTION("""COMPUTED_VALUE"""),"हिन्दी or English")</f>
        <v>हिन्दी or English</v>
      </c>
      <c r="G817" s="1" t="str">
        <f ca="1">IFERROR(__xludf.DUMMYFUNCTION("""COMPUTED_VALUE"""),"English")</f>
        <v>English</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f ca="1">IFERROR(__xludf.DUMMYFUNCTION("""COMPUTED_VALUE"""),4)</f>
        <v>4</v>
      </c>
      <c r="BX817" s="1">
        <f ca="1">IFERROR(__xludf.DUMMYFUNCTION("""COMPUTED_VALUE"""),3)</f>
        <v>3</v>
      </c>
      <c r="BY817" s="1">
        <f ca="1">IFERROR(__xludf.DUMMYFUNCTION("""COMPUTED_VALUE"""),2)</f>
        <v>2</v>
      </c>
      <c r="BZ817" s="1">
        <f ca="1">IFERROR(__xludf.DUMMYFUNCTION("""COMPUTED_VALUE"""),0)</f>
        <v>0</v>
      </c>
      <c r="CA817" s="1" t="str">
        <f ca="1">IFERROR(__xludf.DUMMYFUNCTION("""COMPUTED_VALUE"""),"Yes")</f>
        <v>Yes</v>
      </c>
      <c r="CB817" s="5">
        <f ca="1">IFERROR(__xludf.DUMMYFUNCTION("""COMPUTED_VALUE"""),45163.8971767013)</f>
        <v>45163.897176701299</v>
      </c>
      <c r="CC817" s="1" t="str">
        <f ca="1">IFERROR(__xludf.DUMMYFUNCTION("""COMPUTED_VALUE"""),"घर एक तपोवन परिवार एक प्रयोगशाला : H_JS_64")</f>
        <v>घर एक तपोवन परिवार एक प्रयोगशाला : H_JS_64</v>
      </c>
      <c r="CD817" s="3" t="str">
        <f ca="1">IFERROR(__xludf.DUMMYFUNCTION("""COMPUTED_VALUE"""),"https://vicharkrantibooks.org/productdetail?book_name=HINP0305_GHAR_EK_TAPOVAN_PARIWAR_EK_PRAYOGASHALA_xx2011&amp;product_id=870")</f>
        <v>https://vicharkrantibooks.org/productdetail?book_name=HINP0305_GHAR_EK_TAPOVAN_PARIWAR_EK_PRAYOGASHALA_xx2011&amp;product_id=870</v>
      </c>
      <c r="CE817" s="1" t="str">
        <f ca="1">IFERROR(__xludf.DUMMYFUNCTION("""COMPUTED_VALUE"""),"Audiobook : घर एक तपोवन परिवार एक प्रयोगशाला : H_JS_64 : subhashbaghelkar@gmail.com : Recorded")</f>
        <v>Audiobook : घर एक तपोवन परिवार एक प्रयोगशाला : H_JS_64 : subhashbaghelkar@gmail.com : Recorded</v>
      </c>
      <c r="CF817" s="1" t="str">
        <f ca="1">IFERROR(__xludf.DUMMYFUNCTION("""COMPUTED_VALUE"""),"Audiobook : घर एक तपोवन परिवार एक प्रयोगशाला : H_JS_64 : subhashbaghelkar@gmail.com : Recorded")</f>
        <v>Audiobook : घर एक तपोवन परिवार एक प्रयोगशाला : H_JS_64 : subhashbaghelkar@gmail.com : Recorded</v>
      </c>
      <c r="CG817" s="1" t="str">
        <f ca="1">IFERROR(__xludf.DUMMYFUNCTION("""COMPUTED_VALUE"""),"Adarniya Subhash Baghelkar ji घर एक तपोवन परिवार एक प्रयोगशाला : H_JS_64 : Allocated on 15-Aug-23 Contact Number  8800989458")</f>
        <v>Adarniya Subhash Baghelkar ji घर एक तपोवन परिवार एक प्रयोगशाला : H_JS_64 : Allocated on 15-Aug-23 Contact Number  8800989458</v>
      </c>
      <c r="CH817" s="1"/>
      <c r="CI817" s="1"/>
    </row>
    <row r="818" spans="1:87" x14ac:dyDescent="0.25">
      <c r="A818" s="5">
        <f ca="1">IFERROR(__xludf.DUMMYFUNCTION("""COMPUTED_VALUE"""),45153.86849603)</f>
        <v>45153.868496030002</v>
      </c>
      <c r="B818" s="1" t="str">
        <f ca="1">IFERROR(__xludf.DUMMYFUNCTION("""COMPUTED_VALUE"""),"rbbansalriya@gmail.com")</f>
        <v>rbbansalriya@gmail.com</v>
      </c>
      <c r="C818" s="1" t="str">
        <f ca="1">IFERROR(__xludf.DUMMYFUNCTION("""COMPUTED_VALUE"""),"Riya bansal ")</f>
        <v xml:space="preserve">Riya bansal </v>
      </c>
      <c r="D818" s="1">
        <f ca="1">IFERROR(__xludf.DUMMYFUNCTION("""COMPUTED_VALUE"""),9176361023)</f>
        <v>9176361023</v>
      </c>
      <c r="E818" s="1" t="str">
        <f ca="1">IFERROR(__xludf.DUMMYFUNCTION("""COMPUTED_VALUE"""),"Yes")</f>
        <v>Yes</v>
      </c>
      <c r="F818" s="1" t="str">
        <f ca="1">IFERROR(__xludf.DUMMYFUNCTION("""COMPUTED_VALUE"""),"हिन्दी")</f>
        <v>हिन्दी</v>
      </c>
      <c r="G818" s="1" t="str">
        <f ca="1">IFERROR(__xludf.DUMMYFUNCTION("""COMPUTED_VALUE"""),"समाज निर्माण")</f>
        <v>समाज निर्माण</v>
      </c>
      <c r="H818" s="1"/>
      <c r="I818" s="1"/>
      <c r="J818" s="1"/>
      <c r="K818" s="1"/>
      <c r="L818" s="1"/>
      <c r="M818" s="1"/>
      <c r="N818" s="1"/>
      <c r="O818" s="1"/>
      <c r="P818" s="1"/>
      <c r="Q818" s="1"/>
      <c r="R818" s="1"/>
      <c r="S818" s="1"/>
      <c r="T818" s="1"/>
      <c r="U818" s="1"/>
      <c r="V818" s="1" t="str">
        <f ca="1">IFERROR(__xludf.DUMMYFUNCTION("""COMPUTED_VALUE"""),"आदर्श विवाहों का प्रचलन")</f>
        <v>आदर्श विवाहों का प्रचलन</v>
      </c>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f ca="1">IFERROR(__xludf.DUMMYFUNCTION("""COMPUTED_VALUE"""),54)</f>
        <v>54</v>
      </c>
      <c r="BX818" s="1">
        <f ca="1">IFERROR(__xludf.DUMMYFUNCTION("""COMPUTED_VALUE"""),55)</f>
        <v>55</v>
      </c>
      <c r="BY818" s="1">
        <f ca="1">IFERROR(__xludf.DUMMYFUNCTION("""COMPUTED_VALUE"""),9)</f>
        <v>9</v>
      </c>
      <c r="BZ818" s="1">
        <f ca="1">IFERROR(__xludf.DUMMYFUNCTION("""COMPUTED_VALUE"""),43)</f>
        <v>43</v>
      </c>
      <c r="CA818" s="1"/>
      <c r="CB818" s="5">
        <f ca="1">IFERROR(__xludf.DUMMYFUNCTION("""COMPUTED_VALUE"""),45163.86849603)</f>
        <v>45163.868496030002</v>
      </c>
      <c r="CC818" s="1" t="str">
        <f ca="1">IFERROR(__xludf.DUMMYFUNCTION("""COMPUTED_VALUE"""),"कला की शक्ति लोकमंगल में लगे : H_SN_64")</f>
        <v>कला की शक्ति लोकमंगल में लगे : H_SN_64</v>
      </c>
      <c r="CD818" s="3" t="str">
        <f ca="1">IFERROR(__xludf.DUMMYFUNCTION("""COMPUTED_VALUE"""),"https://vicharkrantibooks.org/productdetail?book_name=HINP0412_KALA_KI_SHAKTI_LOKAMANGAL_MEIN_LAGE_xxyyyy&amp;product_id=977")</f>
        <v>https://vicharkrantibooks.org/productdetail?book_name=HINP0412_KALA_KI_SHAKTI_LOKAMANGAL_MEIN_LAGE_xxyyyy&amp;product_id=977</v>
      </c>
      <c r="CE818" s="1" t="str">
        <f ca="1">IFERROR(__xludf.DUMMYFUNCTION("""COMPUTED_VALUE"""),"Audiobook : कला की शक्ति लोकमंगल में लगे : H_SN_64 : rbbansalriya@gmail.com : Recorded")</f>
        <v>Audiobook : कला की शक्ति लोकमंगल में लगे : H_SN_64 : rbbansalriya@gmail.com : Recorded</v>
      </c>
      <c r="CF818" s="1" t="str">
        <f ca="1">IFERROR(__xludf.DUMMYFUNCTION("""COMPUTED_VALUE"""),"Audiobook : कला की शक्ति लोकमंगल में लगे : H_SN_64 : rbbansalriya@gmail.com : Recorded")</f>
        <v>Audiobook : कला की शक्ति लोकमंगल में लगे : H_SN_64 : rbbansalriya@gmail.com : Recorded</v>
      </c>
      <c r="CG818" s="1" t="str">
        <f ca="1">IFERROR(__xludf.DUMMYFUNCTION("""COMPUTED_VALUE"""),"Adarniya Riya bansal  ji कला की शक्ति लोकमंगल में लगे : H_SN_64 : Allocated on 15-Aug-23 Contact Number  9176361023")</f>
        <v>Adarniya Riya bansal  ji कला की शक्ति लोकमंगल में लगे : H_SN_64 : Allocated on 15-Aug-23 Contact Number  9176361023</v>
      </c>
      <c r="CH818" s="1"/>
      <c r="CI818" s="1"/>
    </row>
    <row r="819" spans="1:87" x14ac:dyDescent="0.25">
      <c r="A819" s="5">
        <f ca="1">IFERROR(__xludf.DUMMYFUNCTION("""COMPUTED_VALUE"""),45153.5634955787)</f>
        <v>45153.563495578703</v>
      </c>
      <c r="B819" s="1" t="str">
        <f ca="1">IFERROR(__xludf.DUMMYFUNCTION("""COMPUTED_VALUE"""),"kapila.dharmendra.kd@gmail.com")</f>
        <v>kapila.dharmendra.kd@gmail.com</v>
      </c>
      <c r="C819" s="1" t="str">
        <f ca="1">IFERROR(__xludf.DUMMYFUNCTION("""COMPUTED_VALUE"""),"कपिला परिहार ")</f>
        <v xml:space="preserve">कपिला परिहार </v>
      </c>
      <c r="D819" s="1">
        <f ca="1">IFERROR(__xludf.DUMMYFUNCTION("""COMPUTED_VALUE"""),7665131615)</f>
        <v>7665131615</v>
      </c>
      <c r="E819" s="1" t="str">
        <f ca="1">IFERROR(__xludf.DUMMYFUNCTION("""COMPUTED_VALUE"""),"Yes")</f>
        <v>Yes</v>
      </c>
      <c r="F819" s="1" t="str">
        <f ca="1">IFERROR(__xludf.DUMMYFUNCTION("""COMPUTED_VALUE"""),"हिन्दी")</f>
        <v>हिन्दी</v>
      </c>
      <c r="G819" s="1" t="str">
        <f ca="1">IFERROR(__xludf.DUMMYFUNCTION("""COMPUTED_VALUE"""),"युग द्रष्टा पं. श्रीराम शर्मा आचार्यजी")</f>
        <v>युग द्रष्टा पं. श्रीराम शर्मा आचार्यजी</v>
      </c>
      <c r="H819" s="1"/>
      <c r="I819" s="1"/>
      <c r="J819" s="1"/>
      <c r="K819" s="1"/>
      <c r="L819" s="1"/>
      <c r="M819" s="1"/>
      <c r="N819" s="1"/>
      <c r="O819" s="1"/>
      <c r="P819" s="1" t="str">
        <f ca="1">IFERROR(__xludf.DUMMYFUNCTION("""COMPUTED_VALUE"""),"युगॠषी की अमृतवाणी")</f>
        <v>युगॠषी की अमृतवाणी</v>
      </c>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f ca="1">IFERROR(__xludf.DUMMYFUNCTION("""COMPUTED_VALUE"""),2)</f>
        <v>2</v>
      </c>
      <c r="BX819" s="1">
        <f ca="1">IFERROR(__xludf.DUMMYFUNCTION("""COMPUTED_VALUE"""),1)</f>
        <v>1</v>
      </c>
      <c r="BY819" s="1">
        <f ca="1">IFERROR(__xludf.DUMMYFUNCTION("""COMPUTED_VALUE"""),2)</f>
        <v>2</v>
      </c>
      <c r="BZ819" s="1">
        <f ca="1">IFERROR(__xludf.DUMMYFUNCTION("""COMPUTED_VALUE"""),1)</f>
        <v>1</v>
      </c>
      <c r="CA819" s="1" t="str">
        <f ca="1">IFERROR(__xludf.DUMMYFUNCTION("""COMPUTED_VALUE"""),"Yes")</f>
        <v>Yes</v>
      </c>
      <c r="CB819" s="5">
        <f ca="1">IFERROR(__xludf.DUMMYFUNCTION("""COMPUTED_VALUE"""),45163.5634955787)</f>
        <v>45163.563495578703</v>
      </c>
      <c r="CC819" s="1" t="str">
        <f ca="1">IFERROR(__xludf.DUMMYFUNCTION("""COMPUTED_VALUE"""),"मातृशक्ति के अमृत वचन : H_SC_10")</f>
        <v>मातृशक्ति के अमृत वचन : H_SC_10</v>
      </c>
      <c r="CD819" s="3" t="str">
        <f ca="1">IFERROR(__xludf.DUMMYFUNCTION("""COMPUTED_VALUE"""),"https://vicharkrantibooks.org/productdetail?book_name=HINP0535_MATRUSHAKTI_KE_AMRUT_VACHAN_xxyyyy&amp;product_id=1100")</f>
        <v>https://vicharkrantibooks.org/productdetail?book_name=HINP0535_MATRUSHAKTI_KE_AMRUT_VACHAN_xxyyyy&amp;product_id=1100</v>
      </c>
      <c r="CE819" s="1" t="str">
        <f ca="1">IFERROR(__xludf.DUMMYFUNCTION("""COMPUTED_VALUE"""),"Audiobook : मातृशक्ति के अमृत वचन : H_SC_10 : kapila.dharmendra.kd@gmail.com : Recorded")</f>
        <v>Audiobook : मातृशक्ति के अमृत वचन : H_SC_10 : kapila.dharmendra.kd@gmail.com : Recorded</v>
      </c>
      <c r="CF819" s="1" t="str">
        <f ca="1">IFERROR(__xludf.DUMMYFUNCTION("""COMPUTED_VALUE"""),"#N/A")</f>
        <v>#N/A</v>
      </c>
      <c r="CG819" s="1" t="str">
        <f ca="1">IFERROR(__xludf.DUMMYFUNCTION("""COMPUTED_VALUE"""),"Adarniya कपिला परिहार  ji मातृशक्ति के अमृत वचन : H_SC_10 : Allocated on 15-Aug-23 Contact Number  7665131615")</f>
        <v>Adarniya कपिला परिहार  ji मातृशक्ति के अमृत वचन : H_SC_10 : Allocated on 15-Aug-23 Contact Number  7665131615</v>
      </c>
      <c r="CH819" s="1"/>
      <c r="CI819" s="1"/>
    </row>
    <row r="820" spans="1:87" x14ac:dyDescent="0.25">
      <c r="A820" s="5">
        <f ca="1">IFERROR(__xludf.DUMMYFUNCTION("""COMPUTED_VALUE"""),45152.9545131365)</f>
        <v>45152.954513136501</v>
      </c>
      <c r="B820" s="1" t="str">
        <f ca="1">IFERROR(__xludf.DUMMYFUNCTION("""COMPUTED_VALUE"""),"druma4107@gmail.com")</f>
        <v>druma4107@gmail.com</v>
      </c>
      <c r="C820" s="1" t="str">
        <f ca="1">IFERROR(__xludf.DUMMYFUNCTION("""COMPUTED_VALUE"""),"Dr Umà Agrawal")</f>
        <v>Dr Umà Agrawal</v>
      </c>
      <c r="D820" s="1">
        <f ca="1">IFERROR(__xludf.DUMMYFUNCTION("""COMPUTED_VALUE"""),9410861181)</f>
        <v>9410861181</v>
      </c>
      <c r="E820" s="1" t="str">
        <f ca="1">IFERROR(__xludf.DUMMYFUNCTION("""COMPUTED_VALUE"""),"Yes")</f>
        <v>Yes</v>
      </c>
      <c r="F820" s="1" t="str">
        <f ca="1">IFERROR(__xludf.DUMMYFUNCTION("""COMPUTED_VALUE"""),"हिन्दी")</f>
        <v>हिन्दी</v>
      </c>
      <c r="G820" s="1" t="str">
        <f ca="1">IFERROR(__xludf.DUMMYFUNCTION("""COMPUTED_VALUE"""),"व्यक्ति निर्माण, युवा/विद्यार्थी एवं शिक्षक")</f>
        <v>व्यक्ति निर्माण, युवा/विद्यार्थी एवं शिक्षक</v>
      </c>
      <c r="H820" s="1"/>
      <c r="I820" s="1"/>
      <c r="J820" s="1"/>
      <c r="K820" s="1"/>
      <c r="L820" s="1"/>
      <c r="M820" s="1"/>
      <c r="N820" s="1"/>
      <c r="O820" s="1"/>
      <c r="P820" s="1"/>
      <c r="Q820" s="1"/>
      <c r="R820" s="1"/>
      <c r="S820" s="1"/>
      <c r="T820" s="1" t="str">
        <f ca="1">IFERROR(__xludf.DUMMYFUNCTION("""COMPUTED_VALUE"""),"विद्यार्थी एवं शिक्षक")</f>
        <v>विद्यार्थी एवं शिक्षक</v>
      </c>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f ca="1">IFERROR(__xludf.DUMMYFUNCTION("""COMPUTED_VALUE"""),104)</f>
        <v>104</v>
      </c>
      <c r="BX820" s="1">
        <f ca="1">IFERROR(__xludf.DUMMYFUNCTION("""COMPUTED_VALUE"""),106)</f>
        <v>106</v>
      </c>
      <c r="BY820" s="1">
        <f ca="1">IFERROR(__xludf.DUMMYFUNCTION("""COMPUTED_VALUE"""),9)</f>
        <v>9</v>
      </c>
      <c r="BZ820" s="1">
        <f ca="1">IFERROR(__xludf.DUMMYFUNCTION("""COMPUTED_VALUE"""),43)</f>
        <v>43</v>
      </c>
      <c r="CA820" s="1" t="str">
        <f ca="1">IFERROR(__xludf.DUMMYFUNCTION("""COMPUTED_VALUE"""),"Yes")</f>
        <v>Yes</v>
      </c>
      <c r="CB820" s="5">
        <f ca="1">IFERROR(__xludf.DUMMYFUNCTION("""COMPUTED_VALUE"""),45162.9545131365)</f>
        <v>45162.954513136501</v>
      </c>
      <c r="CC820" s="1" t="str">
        <f ca="1">IFERROR(__xludf.DUMMYFUNCTION("""COMPUTED_VALUE"""),"अपना स्वर्ग, नरक हम स्वयं बनाते हैं : Rare Book")</f>
        <v>अपना स्वर्ग, नरक हम स्वयं बनाते हैं : Rare Book</v>
      </c>
      <c r="CD820" s="3" t="str">
        <f ca="1">IFERROR(__xludf.DUMMYFUNCTION("""COMPUTED_VALUE"""),"https://vicharkrantibooks.org/productdetail?book_name=HINP0058_APANA_SWARG_NARAK_HUM_SVAYAM_BANATE_HAIN_xxyyyy&amp;product_id=623")</f>
        <v>https://vicharkrantibooks.org/productdetail?book_name=HINP0058_APANA_SWARG_NARAK_HUM_SVAYAM_BANATE_HAIN_xxyyyy&amp;product_id=623</v>
      </c>
      <c r="CE820" s="1" t="str">
        <f ca="1">IFERROR(__xludf.DUMMYFUNCTION("""COMPUTED_VALUE"""),"Audiobook : अपना स्वर्ग, नरक हम स्वयं बनाते हैं : Rare Book : druma4107@gmail.com : Recorded")</f>
        <v>Audiobook : अपना स्वर्ग, नरक हम स्वयं बनाते हैं : Rare Book : druma4107@gmail.com : Recorded</v>
      </c>
      <c r="CF820" s="1" t="str">
        <f ca="1">IFERROR(__xludf.DUMMYFUNCTION("""COMPUTED_VALUE"""),"Audiobook : अपना स्वर्ग, नरक हम स्वयं बनाते हैं : Rare Book : druma4107@gmail.com : Recorded")</f>
        <v>Audiobook : अपना स्वर्ग, नरक हम स्वयं बनाते हैं : Rare Book : druma4107@gmail.com : Recorded</v>
      </c>
      <c r="CG820" s="1" t="str">
        <f ca="1">IFERROR(__xludf.DUMMYFUNCTION("""COMPUTED_VALUE"""),"Adarniya Dr Umà Agrawal ji अपना स्वर्ग, नरक हम स्वयं बनाते हैं : Rare Book : Allocated on 14-Aug-23 Contact Number  9410861181")</f>
        <v>Adarniya Dr Umà Agrawal ji अपना स्वर्ग, नरक हम स्वयं बनाते हैं : Rare Book : Allocated on 14-Aug-23 Contact Number  9410861181</v>
      </c>
      <c r="CH820" s="1"/>
      <c r="CI820" s="1"/>
    </row>
    <row r="821" spans="1:87" x14ac:dyDescent="0.25">
      <c r="A821" s="5">
        <f ca="1">IFERROR(__xludf.DUMMYFUNCTION("""COMPUTED_VALUE"""),45152.8716794675)</f>
        <v>45152.871679467498</v>
      </c>
      <c r="B821" s="1" t="str">
        <f ca="1">IFERROR(__xludf.DUMMYFUNCTION("""COMPUTED_VALUE"""),"rs_7982@yahoo.co.in")</f>
        <v>rs_7982@yahoo.co.in</v>
      </c>
      <c r="C821" s="1" t="str">
        <f ca="1">IFERROR(__xludf.DUMMYFUNCTION("""COMPUTED_VALUE"""),"Ruchi Anand ")</f>
        <v xml:space="preserve">Ruchi Anand </v>
      </c>
      <c r="D821" s="1">
        <f ca="1">IFERROR(__xludf.DUMMYFUNCTION("""COMPUTED_VALUE"""),7972158098)</f>
        <v>7972158098</v>
      </c>
      <c r="E821" s="1" t="str">
        <f ca="1">IFERROR(__xludf.DUMMYFUNCTION("""COMPUTED_VALUE"""),"No")</f>
        <v>No</v>
      </c>
      <c r="F821" s="1" t="str">
        <f ca="1">IFERROR(__xludf.DUMMYFUNCTION("""COMPUTED_VALUE"""),"हिन्दी or English")</f>
        <v>हिन्दी or English</v>
      </c>
      <c r="G821" s="1" t="str">
        <f ca="1">IFERROR(__xludf.DUMMYFUNCTION("""COMPUTED_VALUE"""),"युग द्रष्टा पं. श्रीराम शर्मा आचार्यजी")</f>
        <v>युग द्रष्टा पं. श्रीराम शर्मा आचार्यजी</v>
      </c>
      <c r="H821" s="1"/>
      <c r="I821" s="1"/>
      <c r="J821" s="1"/>
      <c r="K821" s="1"/>
      <c r="L821" s="1"/>
      <c r="M821" s="1"/>
      <c r="N821" s="1"/>
      <c r="O821" s="1"/>
      <c r="P821" s="1" t="str">
        <f ca="1">IFERROR(__xludf.DUMMYFUNCTION("""COMPUTED_VALUE"""),"युगॠषी की अमृतवाणी")</f>
        <v>युगॠषी की अमृतवाणी</v>
      </c>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f ca="1">IFERROR(__xludf.DUMMYFUNCTION("""COMPUTED_VALUE"""),4)</f>
        <v>4</v>
      </c>
      <c r="BX821" s="1">
        <f ca="1">IFERROR(__xludf.DUMMYFUNCTION("""COMPUTED_VALUE"""),3)</f>
        <v>3</v>
      </c>
      <c r="BY821" s="1">
        <f ca="1">IFERROR(__xludf.DUMMYFUNCTION("""COMPUTED_VALUE"""),2)</f>
        <v>2</v>
      </c>
      <c r="BZ821" s="1">
        <f ca="1">IFERROR(__xludf.DUMMYFUNCTION("""COMPUTED_VALUE"""),1)</f>
        <v>1</v>
      </c>
      <c r="CA821" s="1" t="str">
        <f ca="1">IFERROR(__xludf.DUMMYFUNCTION("""COMPUTED_VALUE"""),"Yes")</f>
        <v>Yes</v>
      </c>
      <c r="CB821" s="5">
        <f ca="1">IFERROR(__xludf.DUMMYFUNCTION("""COMPUTED_VALUE"""),45162.8716794675)</f>
        <v>45162.871679467498</v>
      </c>
      <c r="CC821" s="1" t="str">
        <f ca="1">IFERROR(__xludf.DUMMYFUNCTION("""COMPUTED_VALUE"""),"Awake O'Talented And Come ForwardBook in English : EP_43")</f>
        <v>Awake O'Talented And Come ForwardBook in English : EP_43</v>
      </c>
      <c r="CD821" s="3" t="str">
        <f ca="1">IFERROR(__xludf.DUMMYFUNCTION("""COMPUTED_VALUE"""),"https://vicharkrantibooks.org/productdetail?book_name=ENGRE043_AWAKE_O%27TALENTED_AND_COME_FORWARD_RE2012&amp;product_id=3436")</f>
        <v>https://vicharkrantibooks.org/productdetail?book_name=ENGRE043_AWAKE_O%27TALENTED_AND_COME_FORWARD_RE2012&amp;product_id=3436</v>
      </c>
      <c r="CE821" s="1" t="str">
        <f ca="1">IFERROR(__xludf.DUMMYFUNCTION("""COMPUTED_VALUE"""),"Audiobook : Awake O'Talented And Come ForwardBook in English : EP_43 : rs_7982@yahoo.co.in : Recorded")</f>
        <v>Audiobook : Awake O'Talented And Come ForwardBook in English : EP_43 : rs_7982@yahoo.co.in : Recorded</v>
      </c>
      <c r="CF821" s="1" t="str">
        <f ca="1">IFERROR(__xludf.DUMMYFUNCTION("""COMPUTED_VALUE"""),"#N/A")</f>
        <v>#N/A</v>
      </c>
      <c r="CG821" s="1" t="str">
        <f ca="1">IFERROR(__xludf.DUMMYFUNCTION("""COMPUTED_VALUE"""),"Adarniya Ruchi Anand  ji Awake O'Talented And Come ForwardBook in English : EP_43 : Allocated on 14-Aug-23 Contact Number  7972158098")</f>
        <v>Adarniya Ruchi Anand  ji Awake O'Talented And Come ForwardBook in English : EP_43 : Allocated on 14-Aug-23 Contact Number  7972158098</v>
      </c>
      <c r="CH821" s="1"/>
      <c r="CI821" s="1"/>
    </row>
    <row r="822" spans="1:87" x14ac:dyDescent="0.25">
      <c r="A822" s="5">
        <f ca="1">IFERROR(__xludf.DUMMYFUNCTION("""COMPUTED_VALUE"""),45152.6763608449)</f>
        <v>45152.676360844896</v>
      </c>
      <c r="B822" s="1" t="str">
        <f ca="1">IFERROR(__xludf.DUMMYFUNCTION("""COMPUTED_VALUE"""),"brphodmba@gmail.com")</f>
        <v>brphodmba@gmail.com</v>
      </c>
      <c r="C822" s="1" t="str">
        <f ca="1">IFERROR(__xludf.DUMMYFUNCTION("""COMPUTED_VALUE"""),"Dr.Baidyanath Ram Prajapati Phd")</f>
        <v>Dr.Baidyanath Ram Prajapati Phd</v>
      </c>
      <c r="D822" s="1">
        <f ca="1">IFERROR(__xludf.DUMMYFUNCTION("""COMPUTED_VALUE"""),9811724821)</f>
        <v>9811724821</v>
      </c>
      <c r="E822" s="1"/>
      <c r="F822" s="1"/>
      <c r="G822" s="1" t="str">
        <f ca="1">IFERROR(__xludf.DUMMYFUNCTION("""COMPUTED_VALUE"""),"भारतीय संस्कृति")</f>
        <v>भारतीय संस्कृति</v>
      </c>
      <c r="H822" s="1"/>
      <c r="I822" s="1"/>
      <c r="J822" s="1"/>
      <c r="K822" s="1"/>
      <c r="L822" s="1"/>
      <c r="M822" s="1"/>
      <c r="N822" s="1"/>
      <c r="O822" s="1" t="str">
        <f ca="1">IFERROR(__xludf.DUMMYFUNCTION("""COMPUTED_VALUE"""),"भारतीय संस्कृति")</f>
        <v>भारतीय संस्कृति</v>
      </c>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f ca="1">IFERROR(__xludf.DUMMYFUNCTION("""COMPUTED_VALUE"""),12)</f>
        <v>12</v>
      </c>
      <c r="BX822" s="1">
        <f ca="1">IFERROR(__xludf.DUMMYFUNCTION("""COMPUTED_VALUE"""),10)</f>
        <v>10</v>
      </c>
      <c r="BY822" s="1">
        <f ca="1">IFERROR(__xludf.DUMMYFUNCTION("""COMPUTED_VALUE"""),4)</f>
        <v>4</v>
      </c>
      <c r="BZ822" s="1">
        <f ca="1">IFERROR(__xludf.DUMMYFUNCTION("""COMPUTED_VALUE"""),0)</f>
        <v>0</v>
      </c>
      <c r="CA822" s="1" t="str">
        <f ca="1">IFERROR(__xludf.DUMMYFUNCTION("""COMPUTED_VALUE"""),"Yes")</f>
        <v>Yes</v>
      </c>
      <c r="CB822" s="5">
        <f ca="1">IFERROR(__xludf.DUMMYFUNCTION("""COMPUTED_VALUE"""),45162.6763608449)</f>
        <v>45162.676360844896</v>
      </c>
      <c r="CC822" s="1" t="str">
        <f ca="1">IFERROR(__xludf.DUMMYFUNCTION("""COMPUTED_VALUE"""),"कामधेनु गायत्री : Rare Book")</f>
        <v>कामधेनु गायत्री : Rare Book</v>
      </c>
      <c r="CD822" s="3" t="str">
        <f ca="1">IFERROR(__xludf.DUMMYFUNCTION("""COMPUTED_VALUE"""),"https://vicharkrantibooks.org/productdetail?book_name=HINP0416_KAMADEHANU_GAYATRI_xxyyyy&amp;product_id=981")</f>
        <v>https://vicharkrantibooks.org/productdetail?book_name=HINP0416_KAMADEHANU_GAYATRI_xxyyyy&amp;product_id=981</v>
      </c>
      <c r="CE822" s="1" t="str">
        <f ca="1">IFERROR(__xludf.DUMMYFUNCTION("""COMPUTED_VALUE"""),"Audiobook : कामधेनु गायत्री : Rare Book : brphodmba@gmail.com : Recorded")</f>
        <v>Audiobook : कामधेनु गायत्री : Rare Book : brphodmba@gmail.com : Recorded</v>
      </c>
      <c r="CF822" s="1" t="str">
        <f ca="1">IFERROR(__xludf.DUMMYFUNCTION("""COMPUTED_VALUE"""),"Audiobook : कामधेनु गायत्री : Rare Book : brphodmba@gmail.com : Recorded")</f>
        <v>Audiobook : कामधेनु गायत्री : Rare Book : brphodmba@gmail.com : Recorded</v>
      </c>
      <c r="CG822" s="1" t="str">
        <f ca="1">IFERROR(__xludf.DUMMYFUNCTION("""COMPUTED_VALUE"""),"Adarniya Dr.Baidyanath Ram Prajapati Phd ji कामधेनु गायत्री : Rare Book : Allocated on 14-Aug-23 Contact Number  9811724821")</f>
        <v>Adarniya Dr.Baidyanath Ram Prajapati Phd ji कामधेनु गायत्री : Rare Book : Allocated on 14-Aug-23 Contact Number  9811724821</v>
      </c>
      <c r="CH822" s="1"/>
      <c r="CI822" s="1"/>
    </row>
    <row r="823" spans="1:87" x14ac:dyDescent="0.25">
      <c r="A823" s="5">
        <f ca="1">IFERROR(__xludf.DUMMYFUNCTION("""COMPUTED_VALUE"""),45152.6106088194)</f>
        <v>45152.610608819399</v>
      </c>
      <c r="B823" s="1" t="str">
        <f ca="1">IFERROR(__xludf.DUMMYFUNCTION("""COMPUTED_VALUE"""),"yashasvi25parsai@gmail.com")</f>
        <v>yashasvi25parsai@gmail.com</v>
      </c>
      <c r="C823" s="1" t="str">
        <f ca="1">IFERROR(__xludf.DUMMYFUNCTION("""COMPUTED_VALUE"""),"Yashasvi Parsai")</f>
        <v>Yashasvi Parsai</v>
      </c>
      <c r="D823" s="1" t="str">
        <f ca="1">IFERROR(__xludf.DUMMYFUNCTION("""COMPUTED_VALUE"""),"T")</f>
        <v>T</v>
      </c>
      <c r="E823" s="1" t="str">
        <f ca="1">IFERROR(__xludf.DUMMYFUNCTION("""COMPUTED_VALUE"""),"Yes")</f>
        <v>Yes</v>
      </c>
      <c r="F823" s="1" t="str">
        <f ca="1">IFERROR(__xludf.DUMMYFUNCTION("""COMPUTED_VALUE"""),"English")</f>
        <v>English</v>
      </c>
      <c r="G823" s="1" t="str">
        <f ca="1">IFERROR(__xludf.DUMMYFUNCTION("""COMPUTED_VALUE"""),"English")</f>
        <v>English</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f ca="1">IFERROR(__xludf.DUMMYFUNCTION("""COMPUTED_VALUE"""),1)</f>
        <v>1</v>
      </c>
      <c r="BX823" s="1">
        <f ca="1">IFERROR(__xludf.DUMMYFUNCTION("""COMPUTED_VALUE"""),0)</f>
        <v>0</v>
      </c>
      <c r="BY823" s="1">
        <f ca="1">IFERROR(__xludf.DUMMYFUNCTION("""COMPUTED_VALUE"""),1)</f>
        <v>1</v>
      </c>
      <c r="BZ823" s="1">
        <f ca="1">IFERROR(__xludf.DUMMYFUNCTION("""COMPUTED_VALUE"""),0)</f>
        <v>0</v>
      </c>
      <c r="CA823" s="1" t="str">
        <f ca="1">IFERROR(__xludf.DUMMYFUNCTION("""COMPUTED_VALUE"""),"Yes")</f>
        <v>Yes</v>
      </c>
      <c r="CB823" s="5">
        <f ca="1">IFERROR(__xludf.DUMMYFUNCTION("""COMPUTED_VALUE"""),45162.6106088194)</f>
        <v>45162.610608819399</v>
      </c>
      <c r="CC823" s="1" t="str">
        <f ca="1">IFERROR(__xludf.DUMMYFUNCTION("""COMPUTED_VALUE"""),"A Glimpse Of The Golden Future : EP_71")</f>
        <v>A Glimpse Of The Golden Future : EP_71</v>
      </c>
      <c r="CD823" s="3" t="str">
        <f ca="1">IFERROR(__xludf.DUMMYFUNCTION("""COMPUTED_VALUE"""),"http://literature.awgp.org/book/glimpse_of_golden_future/v2")</f>
        <v>http://literature.awgp.org/book/glimpse_of_golden_future/v2</v>
      </c>
      <c r="CE823" s="1" t="str">
        <f ca="1">IFERROR(__xludf.DUMMYFUNCTION("""COMPUTED_VALUE"""),"Audiobook : A Glimpse Of The Golden Future : EP_71 : yashasvi25parsai@gmail.com : Recorded")</f>
        <v>Audiobook : A Glimpse Of The Golden Future : EP_71 : yashasvi25parsai@gmail.com : Recorded</v>
      </c>
      <c r="CF823" s="1" t="str">
        <f ca="1">IFERROR(__xludf.DUMMYFUNCTION("""COMPUTED_VALUE"""),"#N/A")</f>
        <v>#N/A</v>
      </c>
      <c r="CG823" s="1" t="str">
        <f ca="1">IFERROR(__xludf.DUMMYFUNCTION("""COMPUTED_VALUE"""),"Adarniya Yashasvi Parsai ji A Glimpse Of The Golden Future : EP_71 : Allocated on 14-Aug-23 Contact Number  T")</f>
        <v>Adarniya Yashasvi Parsai ji A Glimpse Of The Golden Future : EP_71 : Allocated on 14-Aug-23 Contact Number  T</v>
      </c>
      <c r="CH823" s="1"/>
      <c r="CI823" s="1"/>
    </row>
    <row r="824" spans="1:87" x14ac:dyDescent="0.25">
      <c r="A824" s="5">
        <f ca="1">IFERROR(__xludf.DUMMYFUNCTION("""COMPUTED_VALUE"""),45152.5064931018)</f>
        <v>45152.506493101799</v>
      </c>
      <c r="B824" s="1" t="str">
        <f ca="1">IFERROR(__xludf.DUMMYFUNCTION("""COMPUTED_VALUE"""),"patilyogitaj@gmail.com")</f>
        <v>patilyogitaj@gmail.com</v>
      </c>
      <c r="C824" s="1" t="str">
        <f ca="1">IFERROR(__xludf.DUMMYFUNCTION("""COMPUTED_VALUE"""),"Dr.Yogita")</f>
        <v>Dr.Yogita</v>
      </c>
      <c r="D824" s="1" t="str">
        <f ca="1">IFERROR(__xludf.DUMMYFUNCTION("""COMPUTED_VALUE"""),"+919403837133")</f>
        <v>+919403837133</v>
      </c>
      <c r="E824" s="1" t="str">
        <f ca="1">IFERROR(__xludf.DUMMYFUNCTION("""COMPUTED_VALUE"""),"No")</f>
        <v>No</v>
      </c>
      <c r="F824" s="1" t="str">
        <f ca="1">IFERROR(__xludf.DUMMYFUNCTION("""COMPUTED_VALUE"""),"हिन्दी or English")</f>
        <v>हिन्दी or English</v>
      </c>
      <c r="G824" s="1" t="str">
        <f ca="1">IFERROR(__xludf.DUMMYFUNCTION("""COMPUTED_VALUE"""),"व्यक्ति निर्माण, युवा/विद्यार्थी एवं शिक्षक")</f>
        <v>व्यक्ति निर्माण, युवा/विद्यार्थी एवं शिक्षक</v>
      </c>
      <c r="H824" s="1"/>
      <c r="I824" s="1"/>
      <c r="J824" s="1"/>
      <c r="K824" s="1"/>
      <c r="L824" s="1"/>
      <c r="M824" s="1"/>
      <c r="N824" s="1"/>
      <c r="O824" s="1"/>
      <c r="P824" s="1"/>
      <c r="Q824" s="1"/>
      <c r="R824" s="1"/>
      <c r="S824" s="1"/>
      <c r="T824" s="1" t="str">
        <f ca="1">IFERROR(__xludf.DUMMYFUNCTION("""COMPUTED_VALUE"""),"व्यक्तित्व परिष्कार")</f>
        <v>व्यक्तित्व परिष्कार</v>
      </c>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f ca="1">IFERROR(__xludf.DUMMYFUNCTION("""COMPUTED_VALUE"""),4)</f>
        <v>4</v>
      </c>
      <c r="BX824" s="1">
        <f ca="1">IFERROR(__xludf.DUMMYFUNCTION("""COMPUTED_VALUE"""),1)</f>
        <v>1</v>
      </c>
      <c r="BY824" s="1">
        <f ca="1">IFERROR(__xludf.DUMMYFUNCTION("""COMPUTED_VALUE"""),3)</f>
        <v>3</v>
      </c>
      <c r="BZ824" s="1">
        <f ca="1">IFERROR(__xludf.DUMMYFUNCTION("""COMPUTED_VALUE"""),0)</f>
        <v>0</v>
      </c>
      <c r="CA824" s="1" t="str">
        <f ca="1">IFERROR(__xludf.DUMMYFUNCTION("""COMPUTED_VALUE"""),"Yes")</f>
        <v>Yes</v>
      </c>
      <c r="CB824" s="5">
        <f ca="1">IFERROR(__xludf.DUMMYFUNCTION("""COMPUTED_VALUE"""),45162.5064931018)</f>
        <v>45162.506493101799</v>
      </c>
      <c r="CC824" s="1" t="str">
        <f ca="1">IFERROR(__xludf.DUMMYFUNCTION("""COMPUTED_VALUE"""),"अपना मूल्यांकन भी करते रहें : Rare Book")</f>
        <v>अपना मूल्यांकन भी करते रहें : Rare Book</v>
      </c>
      <c r="CD824" s="3" t="str">
        <f ca="1">IFERROR(__xludf.DUMMYFUNCTION("""COMPUTED_VALUE"""),"https://vicharkrantibooks.org/productdetail?book_name=HINP0056_APANA_MULYANKAN_BHI_KARATE_RAHEN_xxyyyy&amp;product_id=621")</f>
        <v>https://vicharkrantibooks.org/productdetail?book_name=HINP0056_APANA_MULYANKAN_BHI_KARATE_RAHEN_xxyyyy&amp;product_id=621</v>
      </c>
      <c r="CE824" s="1" t="str">
        <f ca="1">IFERROR(__xludf.DUMMYFUNCTION("""COMPUTED_VALUE"""),"Audiobook : अपना मूल्यांकन भी करते रहें : Rare Book : patilyogitaj@gmail.com : Recorded")</f>
        <v>Audiobook : अपना मूल्यांकन भी करते रहें : Rare Book : patilyogitaj@gmail.com : Recorded</v>
      </c>
      <c r="CF824" s="1" t="str">
        <f ca="1">IFERROR(__xludf.DUMMYFUNCTION("""COMPUTED_VALUE"""),"#N/A")</f>
        <v>#N/A</v>
      </c>
      <c r="CG824" s="1" t="str">
        <f ca="1">IFERROR(__xludf.DUMMYFUNCTION("""COMPUTED_VALUE"""),"Adarniya Dr.Yogita ji अपना मूल्यांकन भी करते रहें : Rare Book : Allocated on 14-Aug-23 Contact Number  +919403837133")</f>
        <v>Adarniya Dr.Yogita ji अपना मूल्यांकन भी करते रहें : Rare Book : Allocated on 14-Aug-23 Contact Number  +919403837133</v>
      </c>
      <c r="CH824" s="1"/>
      <c r="CI824" s="1"/>
    </row>
    <row r="825" spans="1:87" x14ac:dyDescent="0.25">
      <c r="A825" s="5">
        <f ca="1">IFERROR(__xludf.DUMMYFUNCTION("""COMPUTED_VALUE"""),45150.8526731365)</f>
        <v>45150.852673136498</v>
      </c>
      <c r="B825" s="1" t="str">
        <f ca="1">IFERROR(__xludf.DUMMYFUNCTION("""COMPUTED_VALUE"""),"guptarakhi072@gmail.com")</f>
        <v>guptarakhi072@gmail.com</v>
      </c>
      <c r="C825" s="1" t="str">
        <f ca="1">IFERROR(__xludf.DUMMYFUNCTION("""COMPUTED_VALUE"""),"राखी गुप्ता ")</f>
        <v xml:space="preserve">राखी गुप्ता </v>
      </c>
      <c r="D825" s="1">
        <f ca="1">IFERROR(__xludf.DUMMYFUNCTION("""COMPUTED_VALUE"""),8128540757)</f>
        <v>8128540757</v>
      </c>
      <c r="E825" s="1" t="str">
        <f ca="1">IFERROR(__xludf.DUMMYFUNCTION("""COMPUTED_VALUE"""),"Yes")</f>
        <v>Yes</v>
      </c>
      <c r="F825" s="1" t="str">
        <f ca="1">IFERROR(__xludf.DUMMYFUNCTION("""COMPUTED_VALUE"""),"हिन्दी")</f>
        <v>हिन्दी</v>
      </c>
      <c r="G825" s="1" t="str">
        <f ca="1">IFERROR(__xludf.DUMMYFUNCTION("""COMPUTED_VALUE"""),"युग द्रष्टा पं. श्रीराम शर्मा आचार्यजी")</f>
        <v>युग द्रष्टा पं. श्रीराम शर्मा आचार्यजी</v>
      </c>
      <c r="H825" s="1"/>
      <c r="I825" s="1"/>
      <c r="J825" s="1"/>
      <c r="K825" s="1"/>
      <c r="L825" s="1"/>
      <c r="M825" s="1"/>
      <c r="N825" s="1"/>
      <c r="O825" s="1"/>
      <c r="P825" s="1" t="str">
        <f ca="1">IFERROR(__xludf.DUMMYFUNCTION("""COMPUTED_VALUE"""),"युगॠषी का जीवनदर्शन")</f>
        <v>युगॠषी का जीवनदर्शन</v>
      </c>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f ca="1">IFERROR(__xludf.DUMMYFUNCTION("""COMPUTED_VALUE"""),21)</f>
        <v>21</v>
      </c>
      <c r="BX825" s="1">
        <f ca="1">IFERROR(__xludf.DUMMYFUNCTION("""COMPUTED_VALUE"""),20)</f>
        <v>20</v>
      </c>
      <c r="BY825" s="1">
        <f ca="1">IFERROR(__xludf.DUMMYFUNCTION("""COMPUTED_VALUE"""),2)</f>
        <v>2</v>
      </c>
      <c r="BZ825" s="1">
        <f ca="1">IFERROR(__xludf.DUMMYFUNCTION("""COMPUTED_VALUE"""),14)</f>
        <v>14</v>
      </c>
      <c r="CA825" s="1" t="str">
        <f ca="1">IFERROR(__xludf.DUMMYFUNCTION("""COMPUTED_VALUE"""),"Yes")</f>
        <v>Yes</v>
      </c>
      <c r="CB825" s="5">
        <f ca="1">IFERROR(__xludf.DUMMYFUNCTION("""COMPUTED_VALUE"""),45160.8526731365)</f>
        <v>45160.852673136498</v>
      </c>
      <c r="CC825" s="1" t="str">
        <f ca="1">IFERROR(__xludf.DUMMYFUNCTION("""COMPUTED_VALUE"""),"युग ऋषि की अमर वाणी भाग २ : Rare Book")</f>
        <v>युग ऋषि की अमर वाणी भाग २ : Rare Book</v>
      </c>
      <c r="CD825" s="3" t="str">
        <f ca="1">IFERROR(__xludf.DUMMYFUNCTION("""COMPUTED_VALUE"""),"https://vicharkrantibooks.org/productdetail?book_name=HINP1060_YUG_RUSHI_KI_AMAR_VANI_BHAG_2_xxyyyy&amp;product_id=1625")</f>
        <v>https://vicharkrantibooks.org/productdetail?book_name=HINP1060_YUG_RUSHI_KI_AMAR_VANI_BHAG_2_xxyyyy&amp;product_id=1625</v>
      </c>
      <c r="CE825" s="1" t="str">
        <f ca="1">IFERROR(__xludf.DUMMYFUNCTION("""COMPUTED_VALUE"""),"Audiobook : युग ऋषि की अमर वाणी भाग २ : Rare Book : guptarakhi072@gmail.com : Recorded")</f>
        <v>Audiobook : युग ऋषि की अमर वाणी भाग २ : Rare Book : guptarakhi072@gmail.com : Recorded</v>
      </c>
      <c r="CF825" s="1" t="str">
        <f ca="1">IFERROR(__xludf.DUMMYFUNCTION("""COMPUTED_VALUE"""),"Audiobook : युग ऋषि की अमर वाणी भाग २ : Rare Book : guptarakhi072@gmail.com : Recorded")</f>
        <v>Audiobook : युग ऋषि की अमर वाणी भाग २ : Rare Book : guptarakhi072@gmail.com : Recorded</v>
      </c>
      <c r="CG825" s="1" t="str">
        <f ca="1">IFERROR(__xludf.DUMMYFUNCTION("""COMPUTED_VALUE"""),"Adarniya राखी गुप्ता  ji युग ऋषि की अमर वाणी भाग २ : Rare Book : Allocated on 12-Aug-23 Contact Number  8128540757")</f>
        <v>Adarniya राखी गुप्ता  ji युग ऋषि की अमर वाणी भाग २ : Rare Book : Allocated on 12-Aug-23 Contact Number  8128540757</v>
      </c>
      <c r="CH825" s="1"/>
      <c r="CI825" s="1"/>
    </row>
    <row r="826" spans="1:87" x14ac:dyDescent="0.25">
      <c r="A826" s="5">
        <f ca="1">IFERROR(__xludf.DUMMYFUNCTION("""COMPUTED_VALUE"""),45150.8510949421)</f>
        <v>45150.851094942103</v>
      </c>
      <c r="B826" s="1" t="str">
        <f ca="1">IFERROR(__xludf.DUMMYFUNCTION("""COMPUTED_VALUE"""),"purnima.bharadwaj.24@gmail.com")</f>
        <v>purnima.bharadwaj.24@gmail.com</v>
      </c>
      <c r="C826" s="1" t="str">
        <f ca="1">IFERROR(__xludf.DUMMYFUNCTION("""COMPUTED_VALUE"""),"पूर्णिमा भारद्वाज ")</f>
        <v xml:space="preserve">पूर्णिमा भारद्वाज </v>
      </c>
      <c r="D826" s="1">
        <f ca="1">IFERROR(__xludf.DUMMYFUNCTION("""COMPUTED_VALUE"""),9415389032)</f>
        <v>9415389032</v>
      </c>
      <c r="E826" s="1" t="str">
        <f ca="1">IFERROR(__xludf.DUMMYFUNCTION("""COMPUTED_VALUE"""),"Yes")</f>
        <v>Yes</v>
      </c>
      <c r="F826" s="1" t="str">
        <f ca="1">IFERROR(__xludf.DUMMYFUNCTION("""COMPUTED_VALUE"""),"हिन्दी")</f>
        <v>हिन्दी</v>
      </c>
      <c r="G826" s="1" t="str">
        <f ca="1">IFERROR(__xludf.DUMMYFUNCTION("""COMPUTED_VALUE"""),"युग द्रष्टा पं. श्रीराम शर्मा आचार्यजी")</f>
        <v>युग द्रष्टा पं. श्रीराम शर्मा आचार्यजी</v>
      </c>
      <c r="H826" s="1"/>
      <c r="I826" s="1"/>
      <c r="J826" s="1"/>
      <c r="K826" s="1"/>
      <c r="L826" s="1"/>
      <c r="M826" s="1"/>
      <c r="N826" s="1"/>
      <c r="O826" s="1"/>
      <c r="P826" s="1" t="str">
        <f ca="1">IFERROR(__xludf.DUMMYFUNCTION("""COMPUTED_VALUE"""),"युगॠषी की अमृतवाणी")</f>
        <v>युगॠषी की अमृतवाणी</v>
      </c>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f ca="1">IFERROR(__xludf.DUMMYFUNCTION("""COMPUTED_VALUE"""),43)</f>
        <v>43</v>
      </c>
      <c r="BX826" s="1">
        <f ca="1">IFERROR(__xludf.DUMMYFUNCTION("""COMPUTED_VALUE"""),36)</f>
        <v>36</v>
      </c>
      <c r="BY826" s="1">
        <f ca="1">IFERROR(__xludf.DUMMYFUNCTION("""COMPUTED_VALUE"""),9)</f>
        <v>9</v>
      </c>
      <c r="BZ826" s="1">
        <f ca="1">IFERROR(__xludf.DUMMYFUNCTION("""COMPUTED_VALUE"""),30)</f>
        <v>30</v>
      </c>
      <c r="CA826" s="1" t="str">
        <f ca="1">IFERROR(__xludf.DUMMYFUNCTION("""COMPUTED_VALUE"""),"Yes")</f>
        <v>Yes</v>
      </c>
      <c r="CB826" s="5">
        <f ca="1">IFERROR(__xludf.DUMMYFUNCTION("""COMPUTED_VALUE"""),45160.8510949421)</f>
        <v>45160.851094942103</v>
      </c>
      <c r="CC826" s="1" t="str">
        <f ca="1">IFERROR(__xludf.DUMMYFUNCTION("""COMPUTED_VALUE"""),"युग ऋषि की अपेक्षाएँ हम सबसे : H_SC_06")</f>
        <v>युग ऋषि की अपेक्षाएँ हम सबसे : H_SC_06</v>
      </c>
      <c r="CD826" s="3" t="str">
        <f ca="1">IFERROR(__xludf.DUMMYFUNCTION("""COMPUTED_VALUE"""),"https://vicharkrantibooks.org/productdetail?book_name=HINP1061_YUG_RUSHI_KI_APEKSHAEN_HAM_SABASE_xxyyyy&amp;product_id=1626")</f>
        <v>https://vicharkrantibooks.org/productdetail?book_name=HINP1061_YUG_RUSHI_KI_APEKSHAEN_HAM_SABASE_xxyyyy&amp;product_id=1626</v>
      </c>
      <c r="CE826" s="1" t="str">
        <f ca="1">IFERROR(__xludf.DUMMYFUNCTION("""COMPUTED_VALUE"""),"Audiobook : युग ऋषि की अपेक्षाएँ हम सबसे : H_SC_06 : purnima.bharadwaj.24@gmail.com : Recorded")</f>
        <v>Audiobook : युग ऋषि की अपेक्षाएँ हम सबसे : H_SC_06 : purnima.bharadwaj.24@gmail.com : Recorded</v>
      </c>
      <c r="CF826" s="1" t="str">
        <f ca="1">IFERROR(__xludf.DUMMYFUNCTION("""COMPUTED_VALUE"""),"Audiobook : युग ऋषि की अपेक्षाएँ हम सबसे : H_SC_06 : purnima.bharadwaj.24@gmail.com : Recorded")</f>
        <v>Audiobook : युग ऋषि की अपेक्षाएँ हम सबसे : H_SC_06 : purnima.bharadwaj.24@gmail.com : Recorded</v>
      </c>
      <c r="CG826" s="1" t="str">
        <f ca="1">IFERROR(__xludf.DUMMYFUNCTION("""COMPUTED_VALUE"""),"Adarniya पूर्णिमा भारद्वाज  ji युग ऋषि की अपेक्षाएँ हम सबसे : H_SC_06 : Allocated on 12-Aug-23 Contact Number  9415389032")</f>
        <v>Adarniya पूर्णिमा भारद्वाज  ji युग ऋषि की अपेक्षाएँ हम सबसे : H_SC_06 : Allocated on 12-Aug-23 Contact Number  9415389032</v>
      </c>
      <c r="CH826" s="1"/>
      <c r="CI826" s="1"/>
    </row>
    <row r="827" spans="1:87" x14ac:dyDescent="0.25">
      <c r="A827" s="5">
        <f ca="1">IFERROR(__xludf.DUMMYFUNCTION("""COMPUTED_VALUE"""),45150.7130910763)</f>
        <v>45150.713091076301</v>
      </c>
      <c r="B827" s="1" t="str">
        <f ca="1">IFERROR(__xludf.DUMMYFUNCTION("""COMPUTED_VALUE"""),"richasharma310575@gmail.com")</f>
        <v>richasharma310575@gmail.com</v>
      </c>
      <c r="C827" s="1" t="str">
        <f ca="1">IFERROR(__xludf.DUMMYFUNCTION("""COMPUTED_VALUE"""),"Richa Sharma")</f>
        <v>Richa Sharma</v>
      </c>
      <c r="D827" s="1">
        <f ca="1">IFERROR(__xludf.DUMMYFUNCTION("""COMPUTED_VALUE"""),9479664049)</f>
        <v>9479664049</v>
      </c>
      <c r="E827" s="1" t="str">
        <f ca="1">IFERROR(__xludf.DUMMYFUNCTION("""COMPUTED_VALUE"""),"Yes")</f>
        <v>Yes</v>
      </c>
      <c r="F827" s="1" t="str">
        <f ca="1">IFERROR(__xludf.DUMMYFUNCTION("""COMPUTED_VALUE"""),"हिन्दी")</f>
        <v>हिन्दी</v>
      </c>
      <c r="G827" s="1" t="str">
        <f ca="1">IFERROR(__xludf.DUMMYFUNCTION("""COMPUTED_VALUE"""),"संस्कार, कर्मकाण्ड, पाठ, पूजा, गीत-संगीत")</f>
        <v>संस्कार, कर्मकाण्ड, पाठ, पूजा, गीत-संगीत</v>
      </c>
      <c r="H827" s="1"/>
      <c r="I827" s="1"/>
      <c r="J827" s="1"/>
      <c r="K827" s="1"/>
      <c r="L827" s="1"/>
      <c r="M827" s="1"/>
      <c r="N827" s="1"/>
      <c r="O827" s="1"/>
      <c r="P827" s="1"/>
      <c r="Q827" s="1"/>
      <c r="R827" s="1"/>
      <c r="S827" s="1"/>
      <c r="T827" s="1"/>
      <c r="U827" s="1"/>
      <c r="V827" s="1"/>
      <c r="W827" s="1" t="str">
        <f ca="1">IFERROR(__xludf.DUMMYFUNCTION("""COMPUTED_VALUE"""),"पर्व-त्यौहार, कर्मकाण्ड")</f>
        <v>पर्व-त्यौहार, कर्मकाण्ड</v>
      </c>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t="str">
        <f ca="1">IFERROR(__xludf.DUMMYFUNCTION("""COMPUTED_VALUE"""),"कर्मकांड की प्रेरणाओं में छिपा अध्यात्म")</f>
        <v>कर्मकांड की प्रेरणाओं में छिपा अध्यात्म</v>
      </c>
      <c r="BH827" s="1"/>
      <c r="BI827" s="1"/>
      <c r="BJ827" s="1"/>
      <c r="BK827" s="1"/>
      <c r="BL827" s="1"/>
      <c r="BM827" s="1"/>
      <c r="BN827" s="1"/>
      <c r="BO827" s="1"/>
      <c r="BP827" s="1"/>
      <c r="BQ827" s="1"/>
      <c r="BR827" s="1"/>
      <c r="BS827" s="1"/>
      <c r="BT827" s="1"/>
      <c r="BU827" s="1"/>
      <c r="BV827" s="1"/>
      <c r="BW827" s="1">
        <f ca="1">IFERROR(__xludf.DUMMYFUNCTION("""COMPUTED_VALUE"""),23)</f>
        <v>23</v>
      </c>
      <c r="BX827" s="1">
        <f ca="1">IFERROR(__xludf.DUMMYFUNCTION("""COMPUTED_VALUE"""),28)</f>
        <v>28</v>
      </c>
      <c r="BY827" s="1">
        <f ca="1">IFERROR(__xludf.DUMMYFUNCTION("""COMPUTED_VALUE"""),2)</f>
        <v>2</v>
      </c>
      <c r="BZ827" s="1">
        <f ca="1">IFERROR(__xludf.DUMMYFUNCTION("""COMPUTED_VALUE"""),24)</f>
        <v>24</v>
      </c>
      <c r="CA827" s="1" t="str">
        <f ca="1">IFERROR(__xludf.DUMMYFUNCTION("""COMPUTED_VALUE"""),"Yes")</f>
        <v>Yes</v>
      </c>
      <c r="CB827" s="5">
        <f ca="1">IFERROR(__xludf.DUMMYFUNCTION("""COMPUTED_VALUE"""),45160.7130910763)</f>
        <v>45160.713091076301</v>
      </c>
      <c r="CC827" s="1" t="str">
        <f ca="1">IFERROR(__xludf.DUMMYFUNCTION("""COMPUTED_VALUE"""),"कर्मकांड की प्रेरणाओं में छिपा अध्यात्म : H_JS_39")</f>
        <v>कर्मकांड की प्रेरणाओं में छिपा अध्यात्म : H_JS_39</v>
      </c>
      <c r="CD827" s="3" t="str">
        <f ca="1">IFERROR(__xludf.DUMMYFUNCTION("""COMPUTED_VALUE"""),"https://vicharkrantibooks.org/productdetail?book_name=HINP0423_KARMAKAND_KI_PRERANAON_MEIN_CHHIPA_ADHYATM_xx2011&amp;product_id=988")</f>
        <v>https://vicharkrantibooks.org/productdetail?book_name=HINP0423_KARMAKAND_KI_PRERANAON_MEIN_CHHIPA_ADHYATM_xx2011&amp;product_id=988</v>
      </c>
      <c r="CE827" s="1" t="str">
        <f ca="1">IFERROR(__xludf.DUMMYFUNCTION("""COMPUTED_VALUE"""),"Audiobook : कर्मकांड की प्रेरणाओं में छिपा अध्यात्म : H_JS_39 : richasharma310575@gmail.com : Recorded")</f>
        <v>Audiobook : कर्मकांड की प्रेरणाओं में छिपा अध्यात्म : H_JS_39 : richasharma310575@gmail.com : Recorded</v>
      </c>
      <c r="CF827" s="1" t="str">
        <f ca="1">IFERROR(__xludf.DUMMYFUNCTION("""COMPUTED_VALUE"""),"Audiobook : कर्मकांड की प्रेरणाओं में छिपा अध्यात्म : H_JS_39 : richasharma310575@gmail.com : Recorded")</f>
        <v>Audiobook : कर्मकांड की प्रेरणाओं में छिपा अध्यात्म : H_JS_39 : richasharma310575@gmail.com : Recorded</v>
      </c>
      <c r="CG827" s="1" t="str">
        <f ca="1">IFERROR(__xludf.DUMMYFUNCTION("""COMPUTED_VALUE"""),"Adarniya Richa Sharma ji कर्मकांड की प्रेरणाओं में छिपा अध्यात्म : H_JS_39 : Allocated on 12-Aug-23 Contact Number  9479664049")</f>
        <v>Adarniya Richa Sharma ji कर्मकांड की प्रेरणाओं में छिपा अध्यात्म : H_JS_39 : Allocated on 12-Aug-23 Contact Number  9479664049</v>
      </c>
      <c r="CH827" s="1"/>
      <c r="CI827" s="1"/>
    </row>
    <row r="828" spans="1:87" x14ac:dyDescent="0.25">
      <c r="A828" s="5">
        <f ca="1">IFERROR(__xludf.DUMMYFUNCTION("""COMPUTED_VALUE"""),45150.3475266319)</f>
        <v>45150.3475266319</v>
      </c>
      <c r="B828" s="1" t="str">
        <f ca="1">IFERROR(__xludf.DUMMYFUNCTION("""COMPUTED_VALUE"""),"Pragyapaliwal78@gmail.com")</f>
        <v>Pragyapaliwal78@gmail.com</v>
      </c>
      <c r="C828" s="1" t="str">
        <f ca="1">IFERROR(__xludf.DUMMYFUNCTION("""COMPUTED_VALUE"""),"Pragya")</f>
        <v>Pragya</v>
      </c>
      <c r="D828" s="1" t="str">
        <f ca="1">IFERROR(__xludf.DUMMYFUNCTION("""COMPUTED_VALUE"""),"08696296388")</f>
        <v>08696296388</v>
      </c>
      <c r="E828" s="1" t="str">
        <f ca="1">IFERROR(__xludf.DUMMYFUNCTION("""COMPUTED_VALUE"""),"Yes")</f>
        <v>Yes</v>
      </c>
      <c r="F828" s="1" t="str">
        <f ca="1">IFERROR(__xludf.DUMMYFUNCTION("""COMPUTED_VALUE"""),"हिन्दी")</f>
        <v>हिन्दी</v>
      </c>
      <c r="G828" s="1" t="str">
        <f ca="1">IFERROR(__xludf.DUMMYFUNCTION("""COMPUTED_VALUE"""),"वैज्ञानिक अध्यात्मवाद का प्रतिपादन")</f>
        <v>वैज्ञानिक अध्यात्मवाद का प्रतिपादन</v>
      </c>
      <c r="H828" s="1"/>
      <c r="I828" s="1"/>
      <c r="J828" s="1"/>
      <c r="K828" s="1"/>
      <c r="L828" s="1"/>
      <c r="M828" s="1"/>
      <c r="N828" s="1"/>
      <c r="O828" s="1"/>
      <c r="P828" s="1"/>
      <c r="Q828" s="1"/>
      <c r="R828" s="1"/>
      <c r="S828" s="1" t="str">
        <f ca="1">IFERROR(__xludf.DUMMYFUNCTION("""COMPUTED_VALUE"""),"वैज्ञानिक अध्यात्मवाद का प्रतिपादन")</f>
        <v>वैज्ञानिक अध्यात्मवाद का प्रतिपादन</v>
      </c>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f ca="1">IFERROR(__xludf.DUMMYFUNCTION("""COMPUTED_VALUE"""),11)</f>
        <v>11</v>
      </c>
      <c r="BX828" s="1">
        <f ca="1">IFERROR(__xludf.DUMMYFUNCTION("""COMPUTED_VALUE"""),3)</f>
        <v>3</v>
      </c>
      <c r="BY828" s="1">
        <f ca="1">IFERROR(__xludf.DUMMYFUNCTION("""COMPUTED_VALUE"""),8)</f>
        <v>8</v>
      </c>
      <c r="BZ828" s="1">
        <f ca="1">IFERROR(__xludf.DUMMYFUNCTION("""COMPUTED_VALUE"""),0)</f>
        <v>0</v>
      </c>
      <c r="CA828" s="1" t="str">
        <f ca="1">IFERROR(__xludf.DUMMYFUNCTION("""COMPUTED_VALUE"""),"Yes")</f>
        <v>Yes</v>
      </c>
      <c r="CB828" s="5">
        <f ca="1">IFERROR(__xludf.DUMMYFUNCTION("""COMPUTED_VALUE"""),45160.3475266319)</f>
        <v>45160.3475266319</v>
      </c>
      <c r="CC828" s="1" t="str">
        <f ca="1">IFERROR(__xludf.DUMMYFUNCTION("""COMPUTED_VALUE"""),"कैसे होगा समन्वय विज्ञान और आध्यात्म का : H_JS_01")</f>
        <v>कैसे होगा समन्वय विज्ञान और आध्यात्म का : H_JS_01</v>
      </c>
      <c r="CD828" s="3" t="str">
        <f ca="1">IFERROR(__xludf.DUMMYFUNCTION("""COMPUTED_VALUE"""),"https://vicharkrantibooks.org/productdetail?book_name=HINP0411_KAISE_HOGA_SAMANVAY_VIGYAN_AUR_ADHYATM_KA_xx2011&amp;product_id=976")</f>
        <v>https://vicharkrantibooks.org/productdetail?book_name=HINP0411_KAISE_HOGA_SAMANVAY_VIGYAN_AUR_ADHYATM_KA_xx2011&amp;product_id=976</v>
      </c>
      <c r="CE828" s="1" t="str">
        <f ca="1">IFERROR(__xludf.DUMMYFUNCTION("""COMPUTED_VALUE"""),"Audiobook : कैसे होगा समन्वय विज्ञान और आध्यात्म का : H_JS_01 : Pragyapaliwal78@gmail.com : Recorded")</f>
        <v>Audiobook : कैसे होगा समन्वय विज्ञान और आध्यात्म का : H_JS_01 : Pragyapaliwal78@gmail.com : Recorded</v>
      </c>
      <c r="CF828" s="1" t="str">
        <f ca="1">IFERROR(__xludf.DUMMYFUNCTION("""COMPUTED_VALUE"""),"#N/A")</f>
        <v>#N/A</v>
      </c>
      <c r="CG828" s="1" t="str">
        <f ca="1">IFERROR(__xludf.DUMMYFUNCTION("""COMPUTED_VALUE"""),"Adarniya Pragya ji कैसे होगा समन्वय विज्ञान और आध्यात्म का : H_JS_01 : Allocated on 12-Aug-23 Contact Number  08696296388")</f>
        <v>Adarniya Pragya ji कैसे होगा समन्वय विज्ञान और आध्यात्म का : H_JS_01 : Allocated on 12-Aug-23 Contact Number  08696296388</v>
      </c>
      <c r="CH828" s="1"/>
      <c r="CI828" s="1"/>
    </row>
    <row r="829" spans="1:87" x14ac:dyDescent="0.25">
      <c r="A829" s="5">
        <f ca="1">IFERROR(__xludf.DUMMYFUNCTION("""COMPUTED_VALUE"""),45150.2621059259)</f>
        <v>45150.262105925904</v>
      </c>
      <c r="B829" s="1" t="str">
        <f ca="1">IFERROR(__xludf.DUMMYFUNCTION("""COMPUTED_VALUE"""),"rbbansalriya@gmail.com")</f>
        <v>rbbansalriya@gmail.com</v>
      </c>
      <c r="C829" s="1" t="str">
        <f ca="1">IFERROR(__xludf.DUMMYFUNCTION("""COMPUTED_VALUE"""),"Riya bansal ")</f>
        <v xml:space="preserve">Riya bansal </v>
      </c>
      <c r="D829" s="1">
        <f ca="1">IFERROR(__xludf.DUMMYFUNCTION("""COMPUTED_VALUE"""),9176361023)</f>
        <v>9176361023</v>
      </c>
      <c r="E829" s="1" t="str">
        <f ca="1">IFERROR(__xludf.DUMMYFUNCTION("""COMPUTED_VALUE"""),"Yes")</f>
        <v>Yes</v>
      </c>
      <c r="F829" s="1" t="str">
        <f ca="1">IFERROR(__xludf.DUMMYFUNCTION("""COMPUTED_VALUE"""),"हिन्दी")</f>
        <v>हिन्दी</v>
      </c>
      <c r="G829" s="1" t="str">
        <f ca="1">IFERROR(__xludf.DUMMYFUNCTION("""COMPUTED_VALUE"""),"समाज निर्माण")</f>
        <v>समाज निर्माण</v>
      </c>
      <c r="H829" s="1"/>
      <c r="I829" s="1"/>
      <c r="J829" s="1"/>
      <c r="K829" s="1"/>
      <c r="L829" s="1"/>
      <c r="M829" s="1"/>
      <c r="N829" s="1"/>
      <c r="O829" s="1"/>
      <c r="P829" s="1"/>
      <c r="Q829" s="1"/>
      <c r="R829" s="1"/>
      <c r="S829" s="1"/>
      <c r="T829" s="1"/>
      <c r="U829" s="1"/>
      <c r="V829" s="1" t="str">
        <f ca="1">IFERROR(__xludf.DUMMYFUNCTION("""COMPUTED_VALUE"""),"नारी सशक्तिकरण")</f>
        <v>नारी सशक्तिकरण</v>
      </c>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f ca="1">IFERROR(__xludf.DUMMYFUNCTION("""COMPUTED_VALUE"""),54)</f>
        <v>54</v>
      </c>
      <c r="BX829" s="1">
        <f ca="1">IFERROR(__xludf.DUMMYFUNCTION("""COMPUTED_VALUE"""),55)</f>
        <v>55</v>
      </c>
      <c r="BY829" s="1">
        <f ca="1">IFERROR(__xludf.DUMMYFUNCTION("""COMPUTED_VALUE"""),9)</f>
        <v>9</v>
      </c>
      <c r="BZ829" s="1">
        <f ca="1">IFERROR(__xludf.DUMMYFUNCTION("""COMPUTED_VALUE"""),43)</f>
        <v>43</v>
      </c>
      <c r="CA829" s="1" t="str">
        <f ca="1">IFERROR(__xludf.DUMMYFUNCTION("""COMPUTED_VALUE"""),"Yes")</f>
        <v>Yes</v>
      </c>
      <c r="CB829" s="5">
        <f ca="1">IFERROR(__xludf.DUMMYFUNCTION("""COMPUTED_VALUE"""),45160.2621059259)</f>
        <v>45160.262105925904</v>
      </c>
      <c r="CC829" s="1" t="str">
        <f ca="1">IFERROR(__xludf.DUMMYFUNCTION("""COMPUTED_VALUE"""),"इक्कीसवीं सदी नारी प्रधान : H_NJ_14")</f>
        <v>इक्कीसवीं सदी नारी प्रधान : H_NJ_14</v>
      </c>
      <c r="CD829" s="3" t="str">
        <f ca="1">IFERROR(__xludf.DUMMYFUNCTION("""COMPUTED_VALUE"""),"https://vicharkrantibooks.org/productdetail?book_name=HINP0356_IKKISAVI_SADI_NARI_PRADHAN_xxyyyy&amp;product_id=921")</f>
        <v>https://vicharkrantibooks.org/productdetail?book_name=HINP0356_IKKISAVI_SADI_NARI_PRADHAN_xxyyyy&amp;product_id=921</v>
      </c>
      <c r="CE829" s="1" t="str">
        <f ca="1">IFERROR(__xludf.DUMMYFUNCTION("""COMPUTED_VALUE"""),"Audiobook : इक्कीसवीं सदी नारी प्रधान : H_NJ_14 : rbbansalriya@gmail.com : Recorded")</f>
        <v>Audiobook : इक्कीसवीं सदी नारी प्रधान : H_NJ_14 : rbbansalriya@gmail.com : Recorded</v>
      </c>
      <c r="CF829" s="1" t="str">
        <f ca="1">IFERROR(__xludf.DUMMYFUNCTION("""COMPUTED_VALUE"""),"Audiobook : इक्कीसवीं सदी नारी प्रधान : H_NJ_14 : rbbansalriya@gmail.com : Recorded")</f>
        <v>Audiobook : इक्कीसवीं सदी नारी प्रधान : H_NJ_14 : rbbansalriya@gmail.com : Recorded</v>
      </c>
      <c r="CG829" s="1" t="str">
        <f ca="1">IFERROR(__xludf.DUMMYFUNCTION("""COMPUTED_VALUE"""),"Adarniya Riya bansal  ji इक्कीसवीं सदी नारी प्रधान : H_NJ_14 : Allocated on 12-Aug-23 Contact Number  9176361023")</f>
        <v>Adarniya Riya bansal  ji इक्कीसवीं सदी नारी प्रधान : H_NJ_14 : Allocated on 12-Aug-23 Contact Number  9176361023</v>
      </c>
      <c r="CH829" s="1"/>
      <c r="CI829" s="1"/>
    </row>
    <row r="830" spans="1:87" x14ac:dyDescent="0.25">
      <c r="A830" s="5">
        <f ca="1">IFERROR(__xludf.DUMMYFUNCTION("""COMPUTED_VALUE"""),45149.9794853703)</f>
        <v>45149.979485370299</v>
      </c>
      <c r="B830" s="1" t="str">
        <f ca="1">IFERROR(__xludf.DUMMYFUNCTION("""COMPUTED_VALUE"""),"rajnivarma24.vns@gmail.com")</f>
        <v>rajnivarma24.vns@gmail.com</v>
      </c>
      <c r="C830" s="1" t="str">
        <f ca="1">IFERROR(__xludf.DUMMYFUNCTION("""COMPUTED_VALUE"""),"Rajni varma")</f>
        <v>Rajni varma</v>
      </c>
      <c r="D830" s="1">
        <f ca="1">IFERROR(__xludf.DUMMYFUNCTION("""COMPUTED_VALUE"""),9335661433)</f>
        <v>9335661433</v>
      </c>
      <c r="E830" s="1" t="str">
        <f ca="1">IFERROR(__xludf.DUMMYFUNCTION("""COMPUTED_VALUE"""),"No")</f>
        <v>No</v>
      </c>
      <c r="F830" s="1" t="str">
        <f ca="1">IFERROR(__xludf.DUMMYFUNCTION("""COMPUTED_VALUE"""),"हिन्दी")</f>
        <v>हिन्दी</v>
      </c>
      <c r="G830" s="1" t="str">
        <f ca="1">IFERROR(__xludf.DUMMYFUNCTION("""COMPUTED_VALUE"""),"अध्यात्म, धर्म एवं दर्शन")</f>
        <v>अध्यात्म, धर्म एवं दर्शन</v>
      </c>
      <c r="H830" s="1" t="str">
        <f ca="1">IFERROR(__xludf.DUMMYFUNCTION("""COMPUTED_VALUE"""),"आत्मज्ञान एवं आत्मनिर्माण")</f>
        <v>आत्मज्ञान एवं आत्मनिर्माण</v>
      </c>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f ca="1">IFERROR(__xludf.DUMMYFUNCTION("""COMPUTED_VALUE"""),30)</f>
        <v>30</v>
      </c>
      <c r="BX830" s="1">
        <f ca="1">IFERROR(__xludf.DUMMYFUNCTION("""COMPUTED_VALUE"""),25)</f>
        <v>25</v>
      </c>
      <c r="BY830" s="1">
        <f ca="1">IFERROR(__xludf.DUMMYFUNCTION("""COMPUTED_VALUE"""),7)</f>
        <v>7</v>
      </c>
      <c r="BZ830" s="1">
        <f ca="1">IFERROR(__xludf.DUMMYFUNCTION("""COMPUTED_VALUE"""),7)</f>
        <v>7</v>
      </c>
      <c r="CA830" s="1" t="str">
        <f ca="1">IFERROR(__xludf.DUMMYFUNCTION("""COMPUTED_VALUE"""),"Yes")</f>
        <v>Yes</v>
      </c>
      <c r="CB830" s="5">
        <f ca="1">IFERROR(__xludf.DUMMYFUNCTION("""COMPUTED_VALUE"""),45159.9794853703)</f>
        <v>45159.979485370299</v>
      </c>
      <c r="CC830" s="1" t="str">
        <f ca="1">IFERROR(__xludf.DUMMYFUNCTION("""COMPUTED_VALUE"""),"अंतर्जगत का देवासुर संग्राम : Rare Book")</f>
        <v>अंतर्जगत का देवासुर संग्राम : Rare Book</v>
      </c>
      <c r="CD830" s="3" t="str">
        <f ca="1">IFERROR(__xludf.DUMMYFUNCTION("""COMPUTED_VALUE"""),"https://vicharkrantibooks.org/productdetail?book_name=HINP0052_ANTARJAGAT_KA_DEVASUR_SANGRAM_xx1978&amp;product_id=617")</f>
        <v>https://vicharkrantibooks.org/productdetail?book_name=HINP0052_ANTARJAGAT_KA_DEVASUR_SANGRAM_xx1978&amp;product_id=617</v>
      </c>
      <c r="CE830" s="1" t="str">
        <f ca="1">IFERROR(__xludf.DUMMYFUNCTION("""COMPUTED_VALUE"""),"Audiobook : अंतर्जगत का देवासुर संग्राम : Rare Book : rajnivarma24.vns@gmail.com : Recorded")</f>
        <v>Audiobook : अंतर्जगत का देवासुर संग्राम : Rare Book : rajnivarma24.vns@gmail.com : Recorded</v>
      </c>
      <c r="CF830" s="1" t="str">
        <f ca="1">IFERROR(__xludf.DUMMYFUNCTION("""COMPUTED_VALUE"""),"#N/A")</f>
        <v>#N/A</v>
      </c>
      <c r="CG830" s="1" t="str">
        <f ca="1">IFERROR(__xludf.DUMMYFUNCTION("""COMPUTED_VALUE"""),"Adarniya Rajni varma ji अंतर्जगत का देवासुर संग्राम : Rare Book : Allocated on 11-Aug-23 Contact Number  9335661433")</f>
        <v>Adarniya Rajni varma ji अंतर्जगत का देवासुर संग्राम : Rare Book : Allocated on 11-Aug-23 Contact Number  9335661433</v>
      </c>
      <c r="CH830" s="1"/>
      <c r="CI830" s="1"/>
    </row>
    <row r="831" spans="1:87" x14ac:dyDescent="0.25">
      <c r="A831" s="5">
        <f ca="1">IFERROR(__xludf.DUMMYFUNCTION("""COMPUTED_VALUE"""),45149.929231875)</f>
        <v>45149.929231875001</v>
      </c>
      <c r="B831" s="1" t="str">
        <f ca="1">IFERROR(__xludf.DUMMYFUNCTION("""COMPUTED_VALUE"""),"manju.diya2022@gmall.com")</f>
        <v>manju.diya2022@gmall.com</v>
      </c>
      <c r="C831" s="1" t="str">
        <f ca="1">IFERROR(__xludf.DUMMYFUNCTION("""COMPUTED_VALUE"""),"Manju Mitra")</f>
        <v>Manju Mitra</v>
      </c>
      <c r="D831" s="1">
        <f ca="1">IFERROR(__xludf.DUMMYFUNCTION("""COMPUTED_VALUE"""),8319903280)</f>
        <v>8319903280</v>
      </c>
      <c r="E831" s="1" t="str">
        <f ca="1">IFERROR(__xludf.DUMMYFUNCTION("""COMPUTED_VALUE"""),"Yes")</f>
        <v>Yes</v>
      </c>
      <c r="F831" s="1" t="str">
        <f ca="1">IFERROR(__xludf.DUMMYFUNCTION("""COMPUTED_VALUE"""),"हिन्दी")</f>
        <v>हिन्दी</v>
      </c>
      <c r="G831" s="1" t="str">
        <f ca="1">IFERROR(__xludf.DUMMYFUNCTION("""COMPUTED_VALUE"""),"पर्यावरण संरक्षण")</f>
        <v>पर्यावरण संरक्षण</v>
      </c>
      <c r="H831" s="1"/>
      <c r="I831" s="1"/>
      <c r="J831" s="1"/>
      <c r="K831" s="1"/>
      <c r="L831" s="1"/>
      <c r="M831" s="1"/>
      <c r="N831" s="1" t="str">
        <f ca="1">IFERROR(__xludf.DUMMYFUNCTION("""COMPUTED_VALUE"""),"पर्यावरण संरक्षण")</f>
        <v>पर्यावरण संरक्षण</v>
      </c>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f ca="1">IFERROR(__xludf.DUMMYFUNCTION("""COMPUTED_VALUE"""),1)</f>
        <v>1</v>
      </c>
      <c r="BX831" s="1">
        <f ca="1">IFERROR(__xludf.DUMMYFUNCTION("""COMPUTED_VALUE"""),1)</f>
        <v>1</v>
      </c>
      <c r="BY831" s="1">
        <f ca="1">IFERROR(__xludf.DUMMYFUNCTION("""COMPUTED_VALUE"""),1)</f>
        <v>1</v>
      </c>
      <c r="BZ831" s="1">
        <f ca="1">IFERROR(__xludf.DUMMYFUNCTION("""COMPUTED_VALUE"""),0)</f>
        <v>0</v>
      </c>
      <c r="CA831" s="1" t="str">
        <f ca="1">IFERROR(__xludf.DUMMYFUNCTION("""COMPUTED_VALUE"""),"Yes")</f>
        <v>Yes</v>
      </c>
      <c r="CB831" s="5">
        <f ca="1">IFERROR(__xludf.DUMMYFUNCTION("""COMPUTED_VALUE"""),45159.929231875)</f>
        <v>45159.929231875001</v>
      </c>
      <c r="CC831" s="1" t="str">
        <f ca="1">IFERROR(__xludf.DUMMYFUNCTION("""COMPUTED_VALUE"""),"वातावरण प्रदूषण का क्या कोई समाधान है ? : Rare Book")</f>
        <v>वातावरण प्रदूषण का क्या कोई समाधान है ? : Rare Book</v>
      </c>
      <c r="CD831" s="3" t="str">
        <f ca="1">IFERROR(__xludf.DUMMYFUNCTION("""COMPUTED_VALUE"""),"https://vicharkrantibooks.org/productdetail?book_name=HINP0952_VATAVARAN_PRADUSHAN_KA_KYA_KOI_SAMADHAN_HAI_xxyyyy&amp;product_id=1517")</f>
        <v>https://vicharkrantibooks.org/productdetail?book_name=HINP0952_VATAVARAN_PRADUSHAN_KA_KYA_KOI_SAMADHAN_HAI_xxyyyy&amp;product_id=1517</v>
      </c>
      <c r="CE831" s="1" t="str">
        <f ca="1">IFERROR(__xludf.DUMMYFUNCTION("""COMPUTED_VALUE"""),"Audiobook : वातावरण प्रदूषण का क्या कोई समाधान है ? : Rare Book : manju.diya2022@gmall.com : Recorded")</f>
        <v>Audiobook : वातावरण प्रदूषण का क्या कोई समाधान है ? : Rare Book : manju.diya2022@gmall.com : Recorded</v>
      </c>
      <c r="CF831" s="1" t="str">
        <f ca="1">IFERROR(__xludf.DUMMYFUNCTION("""COMPUTED_VALUE"""),"#N/A")</f>
        <v>#N/A</v>
      </c>
      <c r="CG831" s="1" t="str">
        <f ca="1">IFERROR(__xludf.DUMMYFUNCTION("""COMPUTED_VALUE"""),"Adarniya Manju Mitra ji वातावरण प्रदूषण का क्या कोई समाधान है ? : Rare Book : Allocated on 11-Aug-23 Contact Number  8319903280")</f>
        <v>Adarniya Manju Mitra ji वातावरण प्रदूषण का क्या कोई समाधान है ? : Rare Book : Allocated on 11-Aug-23 Contact Number  8319903280</v>
      </c>
      <c r="CH831" s="1"/>
      <c r="CI831" s="1"/>
    </row>
    <row r="832" spans="1:87" x14ac:dyDescent="0.25">
      <c r="A832" s="5">
        <f ca="1">IFERROR(__xludf.DUMMYFUNCTION("""COMPUTED_VALUE"""),45149.625465162)</f>
        <v>45149.625465161997</v>
      </c>
      <c r="B832" s="1" t="str">
        <f ca="1">IFERROR(__xludf.DUMMYFUNCTION("""COMPUTED_VALUE"""),"pragyabairagi1212@gmail.com")</f>
        <v>pragyabairagi1212@gmail.com</v>
      </c>
      <c r="C832" s="1" t="str">
        <f ca="1">IFERROR(__xludf.DUMMYFUNCTION("""COMPUTED_VALUE"""),"Pragya vairagi ")</f>
        <v xml:space="preserve">Pragya vairagi </v>
      </c>
      <c r="D832" s="1">
        <f ca="1">IFERROR(__xludf.DUMMYFUNCTION("""COMPUTED_VALUE"""),9755258600)</f>
        <v>9755258600</v>
      </c>
      <c r="E832" s="1" t="str">
        <f ca="1">IFERROR(__xludf.DUMMYFUNCTION("""COMPUTED_VALUE"""),"No")</f>
        <v>No</v>
      </c>
      <c r="F832" s="1" t="str">
        <f ca="1">IFERROR(__xludf.DUMMYFUNCTION("""COMPUTED_VALUE"""),"हिन्दी")</f>
        <v>हिन्दी</v>
      </c>
      <c r="G832" s="1" t="str">
        <f ca="1">IFERROR(__xludf.DUMMYFUNCTION("""COMPUTED_VALUE"""),"अध्यात्म, धर्म एवं दर्शन")</f>
        <v>अध्यात्म, धर्म एवं दर्शन</v>
      </c>
      <c r="H832" s="1" t="str">
        <f ca="1">IFERROR(__xludf.DUMMYFUNCTION("""COMPUTED_VALUE"""),"आत्मज्ञान एवं आत्मनिर्माण")</f>
        <v>आत्मज्ञान एवं आत्मनिर्माण</v>
      </c>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f ca="1">IFERROR(__xludf.DUMMYFUNCTION("""COMPUTED_VALUE"""),1)</f>
        <v>1</v>
      </c>
      <c r="BX832" s="1">
        <f ca="1">IFERROR(__xludf.DUMMYFUNCTION("""COMPUTED_VALUE"""),0)</f>
        <v>0</v>
      </c>
      <c r="BY832" s="1">
        <f ca="1">IFERROR(__xludf.DUMMYFUNCTION("""COMPUTED_VALUE"""),1)</f>
        <v>1</v>
      </c>
      <c r="BZ832" s="1">
        <f ca="1">IFERROR(__xludf.DUMMYFUNCTION("""COMPUTED_VALUE"""),0)</f>
        <v>0</v>
      </c>
      <c r="CA832" s="1" t="str">
        <f ca="1">IFERROR(__xludf.DUMMYFUNCTION("""COMPUTED_VALUE"""),"Yes")</f>
        <v>Yes</v>
      </c>
      <c r="CB832" s="5">
        <f ca="1">IFERROR(__xludf.DUMMYFUNCTION("""COMPUTED_VALUE"""),45159.625465162)</f>
        <v>45159.625465161997</v>
      </c>
      <c r="CC832" s="1" t="str">
        <f ca="1">IFERROR(__xludf.DUMMYFUNCTION("""COMPUTED_VALUE"""),"अंतर्जगत का देवासुर संग्राम : Rare Book")</f>
        <v>अंतर्जगत का देवासुर संग्राम : Rare Book</v>
      </c>
      <c r="CD832" s="3" t="str">
        <f ca="1">IFERROR(__xludf.DUMMYFUNCTION("""COMPUTED_VALUE"""),"https://vicharkrantibooks.org/productdetail?book_name=HINP0052_ANTARJAGAT_KA_DEVASUR_SANGRAM_xx1978&amp;product_id=617")</f>
        <v>https://vicharkrantibooks.org/productdetail?book_name=HINP0052_ANTARJAGAT_KA_DEVASUR_SANGRAM_xx1978&amp;product_id=617</v>
      </c>
      <c r="CE832" s="1" t="str">
        <f ca="1">IFERROR(__xludf.DUMMYFUNCTION("""COMPUTED_VALUE"""),"Audiobook : अंतर्जगत का देवासुर संग्राम : Rare Book : pragyabairagi1212@gmail.com : Recorded")</f>
        <v>Audiobook : अंतर्जगत का देवासुर संग्राम : Rare Book : pragyabairagi1212@gmail.com : Recorded</v>
      </c>
      <c r="CF832" s="1" t="str">
        <f ca="1">IFERROR(__xludf.DUMMYFUNCTION("""COMPUTED_VALUE"""),"#N/A")</f>
        <v>#N/A</v>
      </c>
      <c r="CG832" s="1" t="str">
        <f ca="1">IFERROR(__xludf.DUMMYFUNCTION("""COMPUTED_VALUE"""),"Adarniya Pragya vairagi  ji अंतर्जगत का देवासुर संग्राम : Rare Book : Allocated on 11-Aug-23 Contact Number  9755258600")</f>
        <v>Adarniya Pragya vairagi  ji अंतर्जगत का देवासुर संग्राम : Rare Book : Allocated on 11-Aug-23 Contact Number  9755258600</v>
      </c>
      <c r="CH832" s="1"/>
      <c r="CI832" s="1"/>
    </row>
    <row r="833" spans="1:87" x14ac:dyDescent="0.25">
      <c r="A833" s="5">
        <f ca="1">IFERROR(__xludf.DUMMYFUNCTION("""COMPUTED_VALUE"""),45148.9355372337)</f>
        <v>45148.935537233701</v>
      </c>
      <c r="B833" s="1" t="str">
        <f ca="1">IFERROR(__xludf.DUMMYFUNCTION("""COMPUTED_VALUE"""),"gulshankrs@gmail.com")</f>
        <v>gulshankrs@gmail.com</v>
      </c>
      <c r="C833" s="1" t="str">
        <f ca="1">IFERROR(__xludf.DUMMYFUNCTION("""COMPUTED_VALUE"""),"Gulshan kumar sharma ")</f>
        <v xml:space="preserve">Gulshan kumar sharma </v>
      </c>
      <c r="D833" s="1">
        <f ca="1">IFERROR(__xludf.DUMMYFUNCTION("""COMPUTED_VALUE"""),9804280688)</f>
        <v>9804280688</v>
      </c>
      <c r="E833" s="1" t="str">
        <f ca="1">IFERROR(__xludf.DUMMYFUNCTION("""COMPUTED_VALUE"""),"Yes")</f>
        <v>Yes</v>
      </c>
      <c r="F833" s="1" t="str">
        <f ca="1">IFERROR(__xludf.DUMMYFUNCTION("""COMPUTED_VALUE"""),"हिन्दी")</f>
        <v>हिन्दी</v>
      </c>
      <c r="G833" s="1" t="str">
        <f ca="1">IFERROR(__xludf.DUMMYFUNCTION("""COMPUTED_VALUE"""),"युग द्रष्टा पं. श्रीराम शर्मा आचार्यजी")</f>
        <v>युग द्रष्टा पं. श्रीराम शर्मा आचार्यजी</v>
      </c>
      <c r="H833" s="1"/>
      <c r="I833" s="1"/>
      <c r="J833" s="1"/>
      <c r="K833" s="1"/>
      <c r="L833" s="1"/>
      <c r="M833" s="1"/>
      <c r="N833" s="1"/>
      <c r="O833" s="1"/>
      <c r="P833" s="1" t="str">
        <f ca="1">IFERROR(__xludf.DUMMYFUNCTION("""COMPUTED_VALUE"""),"युगॠषी की अमृतवाणी")</f>
        <v>युगॠषी की अमृतवाणी</v>
      </c>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f ca="1">IFERROR(__xludf.DUMMYFUNCTION("""COMPUTED_VALUE"""),1)</f>
        <v>1</v>
      </c>
      <c r="BX833" s="1">
        <f ca="1">IFERROR(__xludf.DUMMYFUNCTION("""COMPUTED_VALUE"""),0)</f>
        <v>0</v>
      </c>
      <c r="BY833" s="1">
        <f ca="1">IFERROR(__xludf.DUMMYFUNCTION("""COMPUTED_VALUE"""),1)</f>
        <v>1</v>
      </c>
      <c r="BZ833" s="1">
        <f ca="1">IFERROR(__xludf.DUMMYFUNCTION("""COMPUTED_VALUE"""),0)</f>
        <v>0</v>
      </c>
      <c r="CA833" s="1" t="str">
        <f ca="1">IFERROR(__xludf.DUMMYFUNCTION("""COMPUTED_VALUE"""),"Yes")</f>
        <v>Yes</v>
      </c>
      <c r="CB833" s="5">
        <f ca="1">IFERROR(__xludf.DUMMYFUNCTION("""COMPUTED_VALUE"""),45158.9355372337)</f>
        <v>45158.935537233701</v>
      </c>
      <c r="CC833" s="1" t="str">
        <f ca="1">IFERROR(__xludf.DUMMYFUNCTION("""COMPUTED_VALUE"""),"युग परिवर्तन में समर्थ अग्रदूतों की भूमिका : Rare Book")</f>
        <v>युग परिवर्तन में समर्थ अग्रदूतों की भूमिका : Rare Book</v>
      </c>
      <c r="CD833" s="3" t="str">
        <f ca="1">IFERROR(__xludf.DUMMYFUNCTION("""COMPUTED_VALUE"""),"https://vicharkrantibooks.org/productdetail?book_name=HINP1057_YUG_PARIVARTAN_MEIN_SAMARTH_AGRADUTON_KI_BHUMIKA_xxyyyy&amp;product_id=1622")</f>
        <v>https://vicharkrantibooks.org/productdetail?book_name=HINP1057_YUG_PARIVARTAN_MEIN_SAMARTH_AGRADUTON_KI_BHUMIKA_xxyyyy&amp;product_id=1622</v>
      </c>
      <c r="CE833" s="1" t="str">
        <f ca="1">IFERROR(__xludf.DUMMYFUNCTION("""COMPUTED_VALUE"""),"Audiobook : युग परिवर्तन में समर्थ अग्रदूतों की भूमिका : Rare Book : gulshankrs@gmail.com : Recorded")</f>
        <v>Audiobook : युग परिवर्तन में समर्थ अग्रदूतों की भूमिका : Rare Book : gulshankrs@gmail.com : Recorded</v>
      </c>
      <c r="CF833" s="1" t="str">
        <f ca="1">IFERROR(__xludf.DUMMYFUNCTION("""COMPUTED_VALUE"""),"#N/A")</f>
        <v>#N/A</v>
      </c>
      <c r="CG833" s="1" t="str">
        <f ca="1">IFERROR(__xludf.DUMMYFUNCTION("""COMPUTED_VALUE"""),"Adarniya Gulshan kumar sharma  ji युग परिवर्तन में समर्थ अग्रदूतों की भूमिका : Rare Book : Allocated on 10-Aug-23 Contact Number  9804280688")</f>
        <v>Adarniya Gulshan kumar sharma  ji युग परिवर्तन में समर्थ अग्रदूतों की भूमिका : Rare Book : Allocated on 10-Aug-23 Contact Number  9804280688</v>
      </c>
      <c r="CH833" s="1"/>
      <c r="CI833" s="1"/>
    </row>
    <row r="834" spans="1:87" x14ac:dyDescent="0.25">
      <c r="A834" s="5">
        <f ca="1">IFERROR(__xludf.DUMMYFUNCTION("""COMPUTED_VALUE"""),45148.9246143865)</f>
        <v>45148.924614386502</v>
      </c>
      <c r="B834" s="1" t="str">
        <f ca="1">IFERROR(__xludf.DUMMYFUNCTION("""COMPUTED_VALUE"""),"shobhna.parsai@gmail.com")</f>
        <v>shobhna.parsai@gmail.com</v>
      </c>
      <c r="C834" s="1" t="str">
        <f ca="1">IFERROR(__xludf.DUMMYFUNCTION("""COMPUTED_VALUE"""),"Dr. Shobhna parsai")</f>
        <v>Dr. Shobhna parsai</v>
      </c>
      <c r="D834" s="1">
        <f ca="1">IFERROR(__xludf.DUMMYFUNCTION("""COMPUTED_VALUE"""),7974590016)</f>
        <v>7974590016</v>
      </c>
      <c r="E834" s="1" t="str">
        <f ca="1">IFERROR(__xludf.DUMMYFUNCTION("""COMPUTED_VALUE"""),"Yes")</f>
        <v>Yes</v>
      </c>
      <c r="F834" s="1" t="str">
        <f ca="1">IFERROR(__xludf.DUMMYFUNCTION("""COMPUTED_VALUE"""),"हिन्दी or English")</f>
        <v>हिन्दी or English</v>
      </c>
      <c r="G834" s="1" t="str">
        <f ca="1">IFERROR(__xludf.DUMMYFUNCTION("""COMPUTED_VALUE"""),"व्यक्ति निर्माण, युवा/विद्यार्थी एवं शिक्षक")</f>
        <v>व्यक्ति निर्माण, युवा/विद्यार्थी एवं शिक्षक</v>
      </c>
      <c r="H834" s="1"/>
      <c r="I834" s="1"/>
      <c r="J834" s="1"/>
      <c r="K834" s="1"/>
      <c r="L834" s="1"/>
      <c r="M834" s="1"/>
      <c r="N834" s="1"/>
      <c r="O834" s="1"/>
      <c r="P834" s="1"/>
      <c r="Q834" s="1"/>
      <c r="R834" s="1"/>
      <c r="S834" s="1"/>
      <c r="T834" s="1" t="str">
        <f ca="1">IFERROR(__xludf.DUMMYFUNCTION("""COMPUTED_VALUE"""),"व्यक्तित्व परिष्कार")</f>
        <v>व्यक्तित्व परिष्कार</v>
      </c>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f ca="1">IFERROR(__xludf.DUMMYFUNCTION("""COMPUTED_VALUE"""),1)</f>
        <v>1</v>
      </c>
      <c r="BX834" s="1">
        <f ca="1">IFERROR(__xludf.DUMMYFUNCTION("""COMPUTED_VALUE"""),0)</f>
        <v>0</v>
      </c>
      <c r="BY834" s="1">
        <f ca="1">IFERROR(__xludf.DUMMYFUNCTION("""COMPUTED_VALUE"""),1)</f>
        <v>1</v>
      </c>
      <c r="BZ834" s="1">
        <f ca="1">IFERROR(__xludf.DUMMYFUNCTION("""COMPUTED_VALUE"""),0)</f>
        <v>0</v>
      </c>
      <c r="CA834" s="1" t="str">
        <f ca="1">IFERROR(__xludf.DUMMYFUNCTION("""COMPUTED_VALUE"""),"Yes")</f>
        <v>Yes</v>
      </c>
      <c r="CB834" s="5">
        <f ca="1">IFERROR(__xludf.DUMMYFUNCTION("""COMPUTED_VALUE"""),45158.9246143865)</f>
        <v>45158.924614386502</v>
      </c>
      <c r="CC834" s="1" t="str">
        <f ca="1">IFERROR(__xludf.DUMMYFUNCTION("""COMPUTED_VALUE"""),"अपना आपा कितना महान कितना समर्थ : Rare Book")</f>
        <v>अपना आपा कितना महान कितना समर्थ : Rare Book</v>
      </c>
      <c r="CD834" s="3" t="str">
        <f ca="1">IFERROR(__xludf.DUMMYFUNCTION("""COMPUTED_VALUE"""),"https://vicharkrantibooks.org/productdetail?book_name=HINP0055_APANA_APA_KITANA_MAHAN_KITANA_SAMARTH_xx1982&amp;product_id=620")</f>
        <v>https://vicharkrantibooks.org/productdetail?book_name=HINP0055_APANA_APA_KITANA_MAHAN_KITANA_SAMARTH_xx1982&amp;product_id=620</v>
      </c>
      <c r="CE834" s="1" t="str">
        <f ca="1">IFERROR(__xludf.DUMMYFUNCTION("""COMPUTED_VALUE"""),"Audiobook : अपना आपा कितना महान कितना समर्थ : Rare Book : shobhna.parsai@gmail.com : Recorded")</f>
        <v>Audiobook : अपना आपा कितना महान कितना समर्थ : Rare Book : shobhna.parsai@gmail.com : Recorded</v>
      </c>
      <c r="CF834" s="1" t="str">
        <f ca="1">IFERROR(__xludf.DUMMYFUNCTION("""COMPUTED_VALUE"""),"#N/A")</f>
        <v>#N/A</v>
      </c>
      <c r="CG834" s="1" t="str">
        <f ca="1">IFERROR(__xludf.DUMMYFUNCTION("""COMPUTED_VALUE"""),"Adarniya Dr. Shobhna parsai ji अपना आपा कितना महान कितना समर्थ : Rare Book : Allocated on 10-Aug-23 Contact Number  7974590016")</f>
        <v>Adarniya Dr. Shobhna parsai ji अपना आपा कितना महान कितना समर्थ : Rare Book : Allocated on 10-Aug-23 Contact Number  7974590016</v>
      </c>
      <c r="CH834" s="1"/>
      <c r="CI834" s="1"/>
    </row>
    <row r="835" spans="1:87" x14ac:dyDescent="0.25">
      <c r="A835" s="5">
        <f ca="1">IFERROR(__xludf.DUMMYFUNCTION("""COMPUTED_VALUE"""),45148.8553753472)</f>
        <v>45148.855375347201</v>
      </c>
      <c r="B835" s="1" t="str">
        <f ca="1">IFERROR(__xludf.DUMMYFUNCTION("""COMPUTED_VALUE"""),"rbbansalriya@gmail.com")</f>
        <v>rbbansalriya@gmail.com</v>
      </c>
      <c r="C835" s="1" t="str">
        <f ca="1">IFERROR(__xludf.DUMMYFUNCTION("""COMPUTED_VALUE"""),"Riya bansal ")</f>
        <v xml:space="preserve">Riya bansal </v>
      </c>
      <c r="D835" s="1">
        <f ca="1">IFERROR(__xludf.DUMMYFUNCTION("""COMPUTED_VALUE"""),9176361023)</f>
        <v>9176361023</v>
      </c>
      <c r="E835" s="1" t="str">
        <f ca="1">IFERROR(__xludf.DUMMYFUNCTION("""COMPUTED_VALUE"""),"Yes")</f>
        <v>Yes</v>
      </c>
      <c r="F835" s="1" t="str">
        <f ca="1">IFERROR(__xludf.DUMMYFUNCTION("""COMPUTED_VALUE"""),"हिन्दी")</f>
        <v>हिन्दी</v>
      </c>
      <c r="G835" s="1" t="str">
        <f ca="1">IFERROR(__xludf.DUMMYFUNCTION("""COMPUTED_VALUE"""),"समाज निर्माण")</f>
        <v>समाज निर्माण</v>
      </c>
      <c r="H835" s="1"/>
      <c r="I835" s="1"/>
      <c r="J835" s="1"/>
      <c r="K835" s="1"/>
      <c r="L835" s="1"/>
      <c r="M835" s="1"/>
      <c r="N835" s="1"/>
      <c r="O835" s="1"/>
      <c r="P835" s="1"/>
      <c r="Q835" s="1"/>
      <c r="R835" s="1"/>
      <c r="S835" s="1"/>
      <c r="T835" s="1"/>
      <c r="U835" s="1"/>
      <c r="V835" s="1" t="str">
        <f ca="1">IFERROR(__xludf.DUMMYFUNCTION("""COMPUTED_VALUE"""),"नारी सशक्तिकरण")</f>
        <v>नारी सशक्तिकरण</v>
      </c>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f ca="1">IFERROR(__xludf.DUMMYFUNCTION("""COMPUTED_VALUE"""),54)</f>
        <v>54</v>
      </c>
      <c r="BX835" s="1">
        <f ca="1">IFERROR(__xludf.DUMMYFUNCTION("""COMPUTED_VALUE"""),55)</f>
        <v>55</v>
      </c>
      <c r="BY835" s="1">
        <f ca="1">IFERROR(__xludf.DUMMYFUNCTION("""COMPUTED_VALUE"""),9)</f>
        <v>9</v>
      </c>
      <c r="BZ835" s="1">
        <f ca="1">IFERROR(__xludf.DUMMYFUNCTION("""COMPUTED_VALUE"""),43)</f>
        <v>43</v>
      </c>
      <c r="CA835" s="1" t="str">
        <f ca="1">IFERROR(__xludf.DUMMYFUNCTION("""COMPUTED_VALUE"""),"Yes")</f>
        <v>Yes</v>
      </c>
      <c r="CB835" s="5">
        <f ca="1">IFERROR(__xludf.DUMMYFUNCTION("""COMPUTED_VALUE"""),45158.8553753472)</f>
        <v>45158.855375347201</v>
      </c>
      <c r="CC835" s="1" t="str">
        <f ca="1">IFERROR(__xludf.DUMMYFUNCTION("""COMPUTED_VALUE"""),"सेवा साधना : H_JS_19")</f>
        <v>सेवा साधना : H_JS_19</v>
      </c>
      <c r="CD835" s="3" t="str">
        <f ca="1">IFERROR(__xludf.DUMMYFUNCTION("""COMPUTED_VALUE"""),"https://vicharkrantibooks.org/productdetail?book_name=HINP0828_SEVA_SADHANA_xx2011&amp;product_id=1393")</f>
        <v>https://vicharkrantibooks.org/productdetail?book_name=HINP0828_SEVA_SADHANA_xx2011&amp;product_id=1393</v>
      </c>
      <c r="CE835" s="1" t="str">
        <f ca="1">IFERROR(__xludf.DUMMYFUNCTION("""COMPUTED_VALUE"""),"Audiobook : सेवा साधना : H_JS_19 : rbbansalriya@gmail.com : Recorded")</f>
        <v>Audiobook : सेवा साधना : H_JS_19 : rbbansalriya@gmail.com : Recorded</v>
      </c>
      <c r="CF835" s="1" t="str">
        <f ca="1">IFERROR(__xludf.DUMMYFUNCTION("""COMPUTED_VALUE"""),"Audiobook : सेवा साधना : H_JS_19 : rbbansalriya@gmail.com : Recorded")</f>
        <v>Audiobook : सेवा साधना : H_JS_19 : rbbansalriya@gmail.com : Recorded</v>
      </c>
      <c r="CG835" s="1" t="str">
        <f ca="1">IFERROR(__xludf.DUMMYFUNCTION("""COMPUTED_VALUE"""),"Adarniya Riya bansal  ji सेवा साधना : H_JS_19 : Allocated on 10-Aug-23 Contact Number  9176361023")</f>
        <v>Adarniya Riya bansal  ji सेवा साधना : H_JS_19 : Allocated on 10-Aug-23 Contact Number  9176361023</v>
      </c>
      <c r="CH835" s="1"/>
      <c r="CI835" s="1"/>
    </row>
    <row r="836" spans="1:87" x14ac:dyDescent="0.25">
      <c r="A836" s="5">
        <f ca="1">IFERROR(__xludf.DUMMYFUNCTION("""COMPUTED_VALUE"""),45148.4683316203)</f>
        <v>45148.468331620301</v>
      </c>
      <c r="B836" s="1" t="str">
        <f ca="1">IFERROR(__xludf.DUMMYFUNCTION("""COMPUTED_VALUE"""),"purnima.bharadwaj.24@gmail.com")</f>
        <v>purnima.bharadwaj.24@gmail.com</v>
      </c>
      <c r="C836" s="1" t="str">
        <f ca="1">IFERROR(__xludf.DUMMYFUNCTION("""COMPUTED_VALUE"""),"पूर्णिमा भारद्वाज ")</f>
        <v xml:space="preserve">पूर्णिमा भारद्वाज </v>
      </c>
      <c r="D836" s="1">
        <f ca="1">IFERROR(__xludf.DUMMYFUNCTION("""COMPUTED_VALUE"""),9415389032)</f>
        <v>9415389032</v>
      </c>
      <c r="E836" s="1" t="str">
        <f ca="1">IFERROR(__xludf.DUMMYFUNCTION("""COMPUTED_VALUE"""),"No")</f>
        <v>No</v>
      </c>
      <c r="F836" s="1" t="str">
        <f ca="1">IFERROR(__xludf.DUMMYFUNCTION("""COMPUTED_VALUE"""),"हिन्दी")</f>
        <v>हिन्दी</v>
      </c>
      <c r="G836" s="1" t="str">
        <f ca="1">IFERROR(__xludf.DUMMYFUNCTION("""COMPUTED_VALUE"""),"युग द्रष्टा पं. श्रीराम शर्मा आचार्यजी")</f>
        <v>युग द्रष्टा पं. श्रीराम शर्मा आचार्यजी</v>
      </c>
      <c r="H836" s="1"/>
      <c r="I836" s="1"/>
      <c r="J836" s="1"/>
      <c r="K836" s="1"/>
      <c r="L836" s="1"/>
      <c r="M836" s="1"/>
      <c r="N836" s="1"/>
      <c r="O836" s="1"/>
      <c r="P836" s="1" t="str">
        <f ca="1">IFERROR(__xludf.DUMMYFUNCTION("""COMPUTED_VALUE"""),"युगॠषी का जीवनदर्शन")</f>
        <v>युगॠषी का जीवनदर्शन</v>
      </c>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f ca="1">IFERROR(__xludf.DUMMYFUNCTION("""COMPUTED_VALUE"""),43)</f>
        <v>43</v>
      </c>
      <c r="BX836" s="1">
        <f ca="1">IFERROR(__xludf.DUMMYFUNCTION("""COMPUTED_VALUE"""),36)</f>
        <v>36</v>
      </c>
      <c r="BY836" s="1">
        <f ca="1">IFERROR(__xludf.DUMMYFUNCTION("""COMPUTED_VALUE"""),9)</f>
        <v>9</v>
      </c>
      <c r="BZ836" s="1">
        <f ca="1">IFERROR(__xludf.DUMMYFUNCTION("""COMPUTED_VALUE"""),30)</f>
        <v>30</v>
      </c>
      <c r="CA836" s="1" t="str">
        <f ca="1">IFERROR(__xludf.DUMMYFUNCTION("""COMPUTED_VALUE"""),"Yes")</f>
        <v>Yes</v>
      </c>
      <c r="CB836" s="5">
        <f ca="1">IFERROR(__xludf.DUMMYFUNCTION("""COMPUTED_VALUE"""),45158.4683316203)</f>
        <v>45158.468331620301</v>
      </c>
      <c r="CC836" s="1" t="str">
        <f ca="1">IFERROR(__xludf.DUMMYFUNCTION("""COMPUTED_VALUE"""),"पर्व त्यौहार एक सामाजिक संस्कार : H_SJ_56")</f>
        <v>पर्व त्यौहार एक सामाजिक संस्कार : H_SJ_56</v>
      </c>
      <c r="CD836" s="3" t="str">
        <f ca="1">IFERROR(__xludf.DUMMYFUNCTION("""COMPUTED_VALUE"""),"https://vicharkrantibooks.org/productdetail?book_name=HINP0640_PARV_TYAUHAR_EK_SAMAJIK_SANSKAR_xxyyyy&amp;product_id=1205")</f>
        <v>https://vicharkrantibooks.org/productdetail?book_name=HINP0640_PARV_TYAUHAR_EK_SAMAJIK_SANSKAR_xxyyyy&amp;product_id=1205</v>
      </c>
      <c r="CE836" s="1" t="str">
        <f ca="1">IFERROR(__xludf.DUMMYFUNCTION("""COMPUTED_VALUE"""),"Audiobook : पर्व त्यौहार एक सामाजिक संस्कार : H_SJ_56 : purnima.bharadwaj.24@gmail.com : Recorded")</f>
        <v>Audiobook : पर्व त्यौहार एक सामाजिक संस्कार : H_SJ_56 : purnima.bharadwaj.24@gmail.com : Recorded</v>
      </c>
      <c r="CF836" s="1" t="str">
        <f ca="1">IFERROR(__xludf.DUMMYFUNCTION("""COMPUTED_VALUE"""),"#N/A")</f>
        <v>#N/A</v>
      </c>
      <c r="CG836" s="1" t="str">
        <f ca="1">IFERROR(__xludf.DUMMYFUNCTION("""COMPUTED_VALUE"""),"Adarniya पूर्णिमा भारद्वाज  ji पर्व त्यौहार एक सामाजिक संस्कार : H_SJ_56 : Allocated on 10-Aug-23 Contact Number  9415389032")</f>
        <v>Adarniya पूर्णिमा भारद्वाज  ji पर्व त्यौहार एक सामाजिक संस्कार : H_SJ_56 : Allocated on 10-Aug-23 Contact Number  9415389032</v>
      </c>
      <c r="CH836" s="1"/>
      <c r="CI836" s="1"/>
    </row>
    <row r="837" spans="1:87" x14ac:dyDescent="0.25">
      <c r="A837" s="5">
        <f ca="1">IFERROR(__xludf.DUMMYFUNCTION("""COMPUTED_VALUE"""),45147.9689412152)</f>
        <v>45147.9689412152</v>
      </c>
      <c r="B837" s="1" t="str">
        <f ca="1">IFERROR(__xludf.DUMMYFUNCTION("""COMPUTED_VALUE"""),"druma4107@gmail.com")</f>
        <v>druma4107@gmail.com</v>
      </c>
      <c r="C837" s="1" t="str">
        <f ca="1">IFERROR(__xludf.DUMMYFUNCTION("""COMPUTED_VALUE"""),"dr Uma agrawal")</f>
        <v>dr Uma agrawal</v>
      </c>
      <c r="D837" s="1">
        <f ca="1">IFERROR(__xludf.DUMMYFUNCTION("""COMPUTED_VALUE"""),9410861182)</f>
        <v>9410861182</v>
      </c>
      <c r="E837" s="1" t="str">
        <f ca="1">IFERROR(__xludf.DUMMYFUNCTION("""COMPUTED_VALUE"""),"Yes")</f>
        <v>Yes</v>
      </c>
      <c r="F837" s="1" t="str">
        <f ca="1">IFERROR(__xludf.DUMMYFUNCTION("""COMPUTED_VALUE"""),"हिन्दी")</f>
        <v>हिन्दी</v>
      </c>
      <c r="G837" s="1" t="str">
        <f ca="1">IFERROR(__xludf.DUMMYFUNCTION("""COMPUTED_VALUE"""),"व्यक्ति निर्माण, युवा/विद्यार्थी एवं शिक्षक")</f>
        <v>व्यक्ति निर्माण, युवा/विद्यार्थी एवं शिक्षक</v>
      </c>
      <c r="H837" s="1"/>
      <c r="I837" s="1"/>
      <c r="J837" s="1"/>
      <c r="K837" s="1"/>
      <c r="L837" s="1"/>
      <c r="M837" s="1"/>
      <c r="N837" s="1"/>
      <c r="O837" s="1"/>
      <c r="P837" s="1"/>
      <c r="Q837" s="1"/>
      <c r="R837" s="1"/>
      <c r="S837" s="1"/>
      <c r="T837" s="1" t="str">
        <f ca="1">IFERROR(__xludf.DUMMYFUNCTION("""COMPUTED_VALUE"""),"विद्यार्थी एवं शिक्षक")</f>
        <v>विद्यार्थी एवं शिक्षक</v>
      </c>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f ca="1">IFERROR(__xludf.DUMMYFUNCTION("""COMPUTED_VALUE"""),104)</f>
        <v>104</v>
      </c>
      <c r="BX837" s="1">
        <f ca="1">IFERROR(__xludf.DUMMYFUNCTION("""COMPUTED_VALUE"""),106)</f>
        <v>106</v>
      </c>
      <c r="BY837" s="1">
        <f ca="1">IFERROR(__xludf.DUMMYFUNCTION("""COMPUTED_VALUE"""),9)</f>
        <v>9</v>
      </c>
      <c r="BZ837" s="1">
        <f ca="1">IFERROR(__xludf.DUMMYFUNCTION("""COMPUTED_VALUE"""),43)</f>
        <v>43</v>
      </c>
      <c r="CA837" s="1" t="str">
        <f ca="1">IFERROR(__xludf.DUMMYFUNCTION("""COMPUTED_VALUE"""),"Yes")</f>
        <v>Yes</v>
      </c>
      <c r="CB837" s="5">
        <f ca="1">IFERROR(__xludf.DUMMYFUNCTION("""COMPUTED_VALUE"""),45157.9689412152)</f>
        <v>45157.9689412152</v>
      </c>
      <c r="CC837" s="1" t="str">
        <f ca="1">IFERROR(__xludf.DUMMYFUNCTION("""COMPUTED_VALUE"""),"इंद्रिय संयम अर्थ संयम समय संयम और विचार संयम का सतत्‌ अभ्यास करेंगे : Rare Book")</f>
        <v>इंद्रिय संयम अर्थ संयम समय संयम और विचार संयम का सतत्‌ अभ्यास करेंगे : Rare Book</v>
      </c>
      <c r="CD837" s="3" t="str">
        <f ca="1">IFERROR(__xludf.DUMMYFUNCTION("""COMPUTED_VALUE"""),"https://vicharkrantibooks.org/productdetail?book_name=HINP0360_INDRIY_SANYAM_ARTH_SANYAM_SAMAY_SANYAM_AUR_VICHAR_SANYAM_KA_SATAT%E2%80%8C_ABHYAS_KARENGE_xxyyyy&amp;product_id=925")</f>
        <v>https://vicharkrantibooks.org/productdetail?book_name=HINP0360_INDRIY_SANYAM_ARTH_SANYAM_SAMAY_SANYAM_AUR_VICHAR_SANYAM_KA_SATAT%E2%80%8C_ABHYAS_KARENGE_xxyyyy&amp;product_id=925</v>
      </c>
      <c r="CE837" s="1" t="str">
        <f ca="1">IFERROR(__xludf.DUMMYFUNCTION("""COMPUTED_VALUE"""),"Audiobook : इंद्रिय संयम अर्थ संयम समय संयम और विचार संयम का सतत्‌ अभ्यास करेंगे : Rare Book : druma4107@gmail.com : Recorded")</f>
        <v>Audiobook : इंद्रिय संयम अर्थ संयम समय संयम और विचार संयम का सतत्‌ अभ्यास करेंगे : Rare Book : druma4107@gmail.com : Recorded</v>
      </c>
      <c r="CF837" s="1" t="str">
        <f ca="1">IFERROR(__xludf.DUMMYFUNCTION("""COMPUTED_VALUE"""),"Audiobook : इंद्रिय संयम अर्थ संयम समय संयम और विचार संयम का सतत्‌ अभ्यास करेंगे : Rare Book : druma4107@gmail.com : Recorded")</f>
        <v>Audiobook : इंद्रिय संयम अर्थ संयम समय संयम और विचार संयम का सतत्‌ अभ्यास करेंगे : Rare Book : druma4107@gmail.com : Recorded</v>
      </c>
      <c r="CG837" s="1" t="str">
        <f ca="1">IFERROR(__xludf.DUMMYFUNCTION("""COMPUTED_VALUE"""),"Adarniya dr Uma agrawal ji इंद्रिय संयम अर्थ संयम समय संयम और विचार संयम का सतत्‌ अभ्यास करेंगे : Rare Book : Allocated on 09-Aug-23 Contact Number  9410861182")</f>
        <v>Adarniya dr Uma agrawal ji इंद्रिय संयम अर्थ संयम समय संयम और विचार संयम का सतत्‌ अभ्यास करेंगे : Rare Book : Allocated on 09-Aug-23 Contact Number  9410861182</v>
      </c>
      <c r="CH837" s="1"/>
      <c r="CI837" s="1"/>
    </row>
    <row r="838" spans="1:87" x14ac:dyDescent="0.25">
      <c r="A838" s="5">
        <f ca="1">IFERROR(__xludf.DUMMYFUNCTION("""COMPUTED_VALUE"""),45147.835222118)</f>
        <v>45147.835222118003</v>
      </c>
      <c r="B838" s="1" t="str">
        <f ca="1">IFERROR(__xludf.DUMMYFUNCTION("""COMPUTED_VALUE"""),"guptarakhi@gmail.com")</f>
        <v>guptarakhi@gmail.com</v>
      </c>
      <c r="C838" s="1" t="str">
        <f ca="1">IFERROR(__xludf.DUMMYFUNCTION("""COMPUTED_VALUE"""),"Rakhi Gupta ")</f>
        <v xml:space="preserve">Rakhi Gupta </v>
      </c>
      <c r="D838" s="1">
        <f ca="1">IFERROR(__xludf.DUMMYFUNCTION("""COMPUTED_VALUE"""),8128540757)</f>
        <v>8128540757</v>
      </c>
      <c r="E838" s="1" t="str">
        <f ca="1">IFERROR(__xludf.DUMMYFUNCTION("""COMPUTED_VALUE"""),"Yes")</f>
        <v>Yes</v>
      </c>
      <c r="F838" s="1" t="str">
        <f ca="1">IFERROR(__xludf.DUMMYFUNCTION("""COMPUTED_VALUE"""),"हिन्दी")</f>
        <v>हिन्दी</v>
      </c>
      <c r="G838" s="1" t="str">
        <f ca="1">IFERROR(__xludf.DUMMYFUNCTION("""COMPUTED_VALUE"""),"युग द्रष्टा पं. श्रीराम शर्मा आचार्यजी")</f>
        <v>युग द्रष्टा पं. श्रीराम शर्मा आचार्यजी</v>
      </c>
      <c r="H838" s="1"/>
      <c r="I838" s="1"/>
      <c r="J838" s="1"/>
      <c r="K838" s="1"/>
      <c r="L838" s="1"/>
      <c r="M838" s="1"/>
      <c r="N838" s="1"/>
      <c r="O838" s="1"/>
      <c r="P838" s="1" t="str">
        <f ca="1">IFERROR(__xludf.DUMMYFUNCTION("""COMPUTED_VALUE"""),"युगॠषी का जीवनदर्शन")</f>
        <v>युगॠषी का जीवनदर्शन</v>
      </c>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f ca="1">IFERROR(__xludf.DUMMYFUNCTION("""COMPUTED_VALUE"""),1)</f>
        <v>1</v>
      </c>
      <c r="BX838" s="1">
        <f ca="1">IFERROR(__xludf.DUMMYFUNCTION("""COMPUTED_VALUE"""),1)</f>
        <v>1</v>
      </c>
      <c r="BY838" s="1">
        <f ca="1">IFERROR(__xludf.DUMMYFUNCTION("""COMPUTED_VALUE"""),1)</f>
        <v>1</v>
      </c>
      <c r="BZ838" s="1">
        <f ca="1">IFERROR(__xludf.DUMMYFUNCTION("""COMPUTED_VALUE"""),1)</f>
        <v>1</v>
      </c>
      <c r="CA838" s="1" t="str">
        <f ca="1">IFERROR(__xludf.DUMMYFUNCTION("""COMPUTED_VALUE"""),"Yes")</f>
        <v>Yes</v>
      </c>
      <c r="CB838" s="5">
        <f ca="1">IFERROR(__xludf.DUMMYFUNCTION("""COMPUTED_VALUE"""),45157.835222118)</f>
        <v>45157.835222118003</v>
      </c>
      <c r="CC838" s="1" t="str">
        <f ca="1">IFERROR(__xludf.DUMMYFUNCTION("""COMPUTED_VALUE"""),"युग ऋषि की अमर वाणी भाग २ : Rare Book")</f>
        <v>युग ऋषि की अमर वाणी भाग २ : Rare Book</v>
      </c>
      <c r="CD838" s="3" t="str">
        <f ca="1">IFERROR(__xludf.DUMMYFUNCTION("""COMPUTED_VALUE"""),"https://vicharkrantibooks.org/productdetail?book_name=HINP1060_YUG_RUSHI_KI_AMAR_VANI_BHAG_2_xxyyyy&amp;product_id=1625")</f>
        <v>https://vicharkrantibooks.org/productdetail?book_name=HINP1060_YUG_RUSHI_KI_AMAR_VANI_BHAG_2_xxyyyy&amp;product_id=1625</v>
      </c>
      <c r="CE838" s="1" t="str">
        <f ca="1">IFERROR(__xludf.DUMMYFUNCTION("""COMPUTED_VALUE"""),"Audiobook : युग ऋषि की अमर वाणी भाग २ : Rare Book : guptarakhi@gmail.com : Recorded")</f>
        <v>Audiobook : युग ऋषि की अमर वाणी भाग २ : Rare Book : guptarakhi@gmail.com : Recorded</v>
      </c>
      <c r="CF838" s="1" t="str">
        <f ca="1">IFERROR(__xludf.DUMMYFUNCTION("""COMPUTED_VALUE"""),"#N/A")</f>
        <v>#N/A</v>
      </c>
      <c r="CG838" s="1" t="str">
        <f ca="1">IFERROR(__xludf.DUMMYFUNCTION("""COMPUTED_VALUE"""),"Adarniya Rakhi Gupta  ji युग ऋषि की अमर वाणी भाग २ : Rare Book : Allocated on 09-Aug-23 Contact Number  8128540757")</f>
        <v>Adarniya Rakhi Gupta  ji युग ऋषि की अमर वाणी भाग २ : Rare Book : Allocated on 09-Aug-23 Contact Number  8128540757</v>
      </c>
      <c r="CH838" s="1"/>
      <c r="CI838" s="1"/>
    </row>
    <row r="839" spans="1:87" x14ac:dyDescent="0.25">
      <c r="A839" s="5">
        <f ca="1">IFERROR(__xludf.DUMMYFUNCTION("""COMPUTED_VALUE"""),45147.7228334606)</f>
        <v>45147.722833460597</v>
      </c>
      <c r="B839" s="1" t="str">
        <f ca="1">IFERROR(__xludf.DUMMYFUNCTION("""COMPUTED_VALUE"""),"sunitasinghji8@gmail.com")</f>
        <v>sunitasinghji8@gmail.com</v>
      </c>
      <c r="C839" s="1" t="str">
        <f ca="1">IFERROR(__xludf.DUMMYFUNCTION("""COMPUTED_VALUE"""),"Sunita Singh")</f>
        <v>Sunita Singh</v>
      </c>
      <c r="D839" s="1">
        <f ca="1">IFERROR(__xludf.DUMMYFUNCTION("""COMPUTED_VALUE"""),8847252965)</f>
        <v>8847252965</v>
      </c>
      <c r="E839" s="1" t="str">
        <f ca="1">IFERROR(__xludf.DUMMYFUNCTION("""COMPUTED_VALUE"""),"Not Relevant")</f>
        <v>Not Relevant</v>
      </c>
      <c r="F839" s="1" t="str">
        <f ca="1">IFERROR(__xludf.DUMMYFUNCTION("""COMPUTED_VALUE"""),"हिन्दी")</f>
        <v>हिन्दी</v>
      </c>
      <c r="G839" s="1" t="str">
        <f ca="1">IFERROR(__xludf.DUMMYFUNCTION("""COMPUTED_VALUE"""),"गायत्री परिवार")</f>
        <v>गायत्री परिवार</v>
      </c>
      <c r="H839" s="1"/>
      <c r="I839" s="1"/>
      <c r="J839" s="1" t="str">
        <f ca="1">IFERROR(__xludf.DUMMYFUNCTION("""COMPUTED_VALUE"""),"प्रमुख संस्थान, प्रकाशन एवं आंदोलन")</f>
        <v>प्रमुख संस्थान, प्रकाशन एवं आंदोलन</v>
      </c>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f ca="1">IFERROR(__xludf.DUMMYFUNCTION("""COMPUTED_VALUE"""),2)</f>
        <v>2</v>
      </c>
      <c r="BX839" s="1">
        <f ca="1">IFERROR(__xludf.DUMMYFUNCTION("""COMPUTED_VALUE"""),0)</f>
        <v>0</v>
      </c>
      <c r="BY839" s="1">
        <f ca="1">IFERROR(__xludf.DUMMYFUNCTION("""COMPUTED_VALUE"""),1)</f>
        <v>1</v>
      </c>
      <c r="BZ839" s="1">
        <f ca="1">IFERROR(__xludf.DUMMYFUNCTION("""COMPUTED_VALUE"""),0)</f>
        <v>0</v>
      </c>
      <c r="CA839" s="1" t="str">
        <f ca="1">IFERROR(__xludf.DUMMYFUNCTION("""COMPUTED_VALUE"""),"Yes")</f>
        <v>Yes</v>
      </c>
      <c r="CB839" s="5">
        <f ca="1">IFERROR(__xludf.DUMMYFUNCTION("""COMPUTED_VALUE"""),45157.7228334606)</f>
        <v>45157.722833460597</v>
      </c>
      <c r="CC839" s="1" t="str">
        <f ca="1">IFERROR(__xludf.DUMMYFUNCTION("""COMPUTED_VALUE"""),"अपने अंग अवयवों से : H_KD_47")</f>
        <v>अपने अंग अवयवों से : H_KD_47</v>
      </c>
      <c r="CD839" s="3" t="str">
        <f ca="1">IFERROR(__xludf.DUMMYFUNCTION("""COMPUTED_VALUE"""),"https://vicharkrantibooks.org/productdetail?book_name=HINP0059_APANE_ANG_AVAYAVON_SE_Re2015&amp;product_id=624")</f>
        <v>https://vicharkrantibooks.org/productdetail?book_name=HINP0059_APANE_ANG_AVAYAVON_SE_Re2015&amp;product_id=624</v>
      </c>
      <c r="CE839" s="1" t="str">
        <f ca="1">IFERROR(__xludf.DUMMYFUNCTION("""COMPUTED_VALUE"""),"Audiobook : अपने अंग अवयवों से : H_KD_47 : sunitasinghji8@gmail.com : Recorded")</f>
        <v>Audiobook : अपने अंग अवयवों से : H_KD_47 : sunitasinghji8@gmail.com : Recorded</v>
      </c>
      <c r="CF839" s="1" t="str">
        <f ca="1">IFERROR(__xludf.DUMMYFUNCTION("""COMPUTED_VALUE"""),"#N/A")</f>
        <v>#N/A</v>
      </c>
      <c r="CG839" s="1" t="str">
        <f ca="1">IFERROR(__xludf.DUMMYFUNCTION("""COMPUTED_VALUE"""),"Adarniya Sunita Singh ji अपने अंग अवयवों से : H_KD_47 : Allocated on 09-Aug-23 Contact Number  8847252965")</f>
        <v>Adarniya Sunita Singh ji अपने अंग अवयवों से : H_KD_47 : Allocated on 09-Aug-23 Contact Number  8847252965</v>
      </c>
      <c r="CH839" s="1"/>
      <c r="CI839" s="1"/>
    </row>
    <row r="840" spans="1:87" x14ac:dyDescent="0.25">
      <c r="A840" s="5">
        <f ca="1">IFERROR(__xludf.DUMMYFUNCTION("""COMPUTED_VALUE"""),45147.6948209027)</f>
        <v>45147.694820902703</v>
      </c>
      <c r="B840" s="1" t="str">
        <f ca="1">IFERROR(__xludf.DUMMYFUNCTION("""COMPUTED_VALUE"""),"badal391@hotmail.com")</f>
        <v>badal391@hotmail.com</v>
      </c>
      <c r="C840" s="1" t="str">
        <f ca="1">IFERROR(__xludf.DUMMYFUNCTION("""COMPUTED_VALUE"""),"Badal Kumar")</f>
        <v>Badal Kumar</v>
      </c>
      <c r="D840" s="1">
        <f ca="1">IFERROR(__xludf.DUMMYFUNCTION("""COMPUTED_VALUE"""),9716967015)</f>
        <v>9716967015</v>
      </c>
      <c r="E840" s="1" t="str">
        <f ca="1">IFERROR(__xludf.DUMMYFUNCTION("""COMPUTED_VALUE"""),"Yes")</f>
        <v>Yes</v>
      </c>
      <c r="F840" s="1" t="str">
        <f ca="1">IFERROR(__xludf.DUMMYFUNCTION("""COMPUTED_VALUE"""),"हिन्दी")</f>
        <v>हिन्दी</v>
      </c>
      <c r="G840" s="1" t="str">
        <f ca="1">IFERROR(__xludf.DUMMYFUNCTION("""COMPUTED_VALUE"""),"परिवार निर्माण")</f>
        <v>परिवार निर्माण</v>
      </c>
      <c r="H840" s="1"/>
      <c r="I840" s="1"/>
      <c r="J840" s="1"/>
      <c r="K840" s="1"/>
      <c r="L840" s="1"/>
      <c r="M840" s="1" t="str">
        <f ca="1">IFERROR(__xludf.DUMMYFUNCTION("""COMPUTED_VALUE"""),"परिवार")</f>
        <v>परिवार</v>
      </c>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f ca="1">IFERROR(__xludf.DUMMYFUNCTION("""COMPUTED_VALUE"""),1)</f>
        <v>1</v>
      </c>
      <c r="BX840" s="1">
        <f ca="1">IFERROR(__xludf.DUMMYFUNCTION("""COMPUTED_VALUE"""),0)</f>
        <v>0</v>
      </c>
      <c r="BY840" s="1">
        <f ca="1">IFERROR(__xludf.DUMMYFUNCTION("""COMPUTED_VALUE"""),1)</f>
        <v>1</v>
      </c>
      <c r="BZ840" s="1">
        <f ca="1">IFERROR(__xludf.DUMMYFUNCTION("""COMPUTED_VALUE"""),0)</f>
        <v>0</v>
      </c>
      <c r="CA840" s="1" t="str">
        <f ca="1">IFERROR(__xludf.DUMMYFUNCTION("""COMPUTED_VALUE"""),"Yes")</f>
        <v>Yes</v>
      </c>
      <c r="CB840" s="5">
        <f ca="1">IFERROR(__xludf.DUMMYFUNCTION("""COMPUTED_VALUE"""),45157.6948209027)</f>
        <v>45157.694820902703</v>
      </c>
      <c r="CC840" s="1" t="str">
        <f ca="1">IFERROR(__xludf.DUMMYFUNCTION("""COMPUTED_VALUE"""),"उतार चढ़ाव ही जीवन है : Rare Book")</f>
        <v>उतार चढ़ाव ही जीवन है : Rare Book</v>
      </c>
      <c r="CD840" s="3" t="str">
        <f ca="1">IFERROR(__xludf.DUMMYFUNCTION("""COMPUTED_VALUE"""),"https://vicharkrantibooks.org/productdetail?book_name=HINP0933_UTAR_CHADHAV_HI_JIVAN_HAI_xx1981&amp;product_id=1498")</f>
        <v>https://vicharkrantibooks.org/productdetail?book_name=HINP0933_UTAR_CHADHAV_HI_JIVAN_HAI_xx1981&amp;product_id=1498</v>
      </c>
      <c r="CE840" s="1" t="str">
        <f ca="1">IFERROR(__xludf.DUMMYFUNCTION("""COMPUTED_VALUE"""),"Audiobook : उतार चढ़ाव ही जीवन है : Rare Book : badal391@hotmail.com : Recorded")</f>
        <v>Audiobook : उतार चढ़ाव ही जीवन है : Rare Book : badal391@hotmail.com : Recorded</v>
      </c>
      <c r="CF840" s="1" t="str">
        <f ca="1">IFERROR(__xludf.DUMMYFUNCTION("""COMPUTED_VALUE"""),"#N/A")</f>
        <v>#N/A</v>
      </c>
      <c r="CG840" s="1" t="str">
        <f ca="1">IFERROR(__xludf.DUMMYFUNCTION("""COMPUTED_VALUE"""),"Adarniya Badal Kumar ji उतार चढ़ाव ही जीवन है : Rare Book : Allocated on 09-Aug-23 Contact Number  9716967015")</f>
        <v>Adarniya Badal Kumar ji उतार चढ़ाव ही जीवन है : Rare Book : Allocated on 09-Aug-23 Contact Number  9716967015</v>
      </c>
      <c r="CH840" s="1"/>
      <c r="CI840" s="1"/>
    </row>
    <row r="841" spans="1:87" x14ac:dyDescent="0.25">
      <c r="A841" s="5">
        <f ca="1">IFERROR(__xludf.DUMMYFUNCTION("""COMPUTED_VALUE"""),45147.6785624652)</f>
        <v>45147.678562465197</v>
      </c>
      <c r="B841" s="1" t="str">
        <f ca="1">IFERROR(__xludf.DUMMYFUNCTION("""COMPUTED_VALUE"""),"vaib.gautam89@gmail.com")</f>
        <v>vaib.gautam89@gmail.com</v>
      </c>
      <c r="C841" s="1" t="str">
        <f ca="1">IFERROR(__xludf.DUMMYFUNCTION("""COMPUTED_VALUE"""),"Vaibhav Gautam ")</f>
        <v xml:space="preserve">Vaibhav Gautam </v>
      </c>
      <c r="D841" s="1">
        <f ca="1">IFERROR(__xludf.DUMMYFUNCTION("""COMPUTED_VALUE"""),9462734323)</f>
        <v>9462734323</v>
      </c>
      <c r="E841" s="1" t="str">
        <f ca="1">IFERROR(__xludf.DUMMYFUNCTION("""COMPUTED_VALUE"""),"Yes")</f>
        <v>Yes</v>
      </c>
      <c r="F841" s="1" t="str">
        <f ca="1">IFERROR(__xludf.DUMMYFUNCTION("""COMPUTED_VALUE"""),"हिन्दी")</f>
        <v>हिन्दी</v>
      </c>
      <c r="G841" s="1" t="str">
        <f ca="1">IFERROR(__xludf.DUMMYFUNCTION("""COMPUTED_VALUE"""),"व्यक्ति निर्माण, युवा/विद्यार्थी एवं शिक्षक")</f>
        <v>व्यक्ति निर्माण, युवा/विद्यार्थी एवं शिक्षक</v>
      </c>
      <c r="H841" s="1"/>
      <c r="I841" s="1"/>
      <c r="J841" s="1"/>
      <c r="K841" s="1"/>
      <c r="L841" s="1"/>
      <c r="M841" s="1"/>
      <c r="N841" s="1"/>
      <c r="O841" s="1"/>
      <c r="P841" s="1"/>
      <c r="Q841" s="1"/>
      <c r="R841" s="1"/>
      <c r="S841" s="1"/>
      <c r="T841" s="1" t="str">
        <f ca="1">IFERROR(__xludf.DUMMYFUNCTION("""COMPUTED_VALUE"""),"व्यक्तित्व परिष्कार")</f>
        <v>व्यक्तित्व परिष्कार</v>
      </c>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f ca="1">IFERROR(__xludf.DUMMYFUNCTION("""COMPUTED_VALUE"""),2)</f>
        <v>2</v>
      </c>
      <c r="BX841" s="1">
        <f ca="1">IFERROR(__xludf.DUMMYFUNCTION("""COMPUTED_VALUE"""),0)</f>
        <v>0</v>
      </c>
      <c r="BY841" s="1">
        <f ca="1">IFERROR(__xludf.DUMMYFUNCTION("""COMPUTED_VALUE"""),2)</f>
        <v>2</v>
      </c>
      <c r="BZ841" s="1">
        <f ca="1">IFERROR(__xludf.DUMMYFUNCTION("""COMPUTED_VALUE"""),0)</f>
        <v>0</v>
      </c>
      <c r="CA841" s="1" t="str">
        <f ca="1">IFERROR(__xludf.DUMMYFUNCTION("""COMPUTED_VALUE"""),"Yes")</f>
        <v>Yes</v>
      </c>
      <c r="CB841" s="5">
        <f ca="1">IFERROR(__xludf.DUMMYFUNCTION("""COMPUTED_VALUE"""),45157.6785624652)</f>
        <v>45157.678562465197</v>
      </c>
      <c r="CC841" s="1" t="str">
        <f ca="1">IFERROR(__xludf.DUMMYFUNCTION("""COMPUTED_VALUE"""),"अनुशासित छात्र ही प्रगतिशील समाज के कर्णधार : Rare Book")</f>
        <v>अनुशासित छात्र ही प्रगतिशील समाज के कर्णधार : Rare Book</v>
      </c>
      <c r="CD841" s="3" t="str">
        <f ca="1">IFERROR(__xludf.DUMMYFUNCTION("""COMPUTED_VALUE"""),"https://vicharkrantibooks.org/productdetail?book_name=HINP0054_ANUSHASIT_CHHATR_HI_PRAGATISHIL_SAMAJ_KE_KARNDHAR_xx1981&amp;product_id=619")</f>
        <v>https://vicharkrantibooks.org/productdetail?book_name=HINP0054_ANUSHASIT_CHHATR_HI_PRAGATISHIL_SAMAJ_KE_KARNDHAR_xx1981&amp;product_id=619</v>
      </c>
      <c r="CE841" s="1" t="str">
        <f ca="1">IFERROR(__xludf.DUMMYFUNCTION("""COMPUTED_VALUE"""),"Audiobook : अनुशासित छात्र ही प्रगतिशील समाज के कर्णधार : Rare Book : vaib.gautam89@gmail.com : Recorded")</f>
        <v>Audiobook : अनुशासित छात्र ही प्रगतिशील समाज के कर्णधार : Rare Book : vaib.gautam89@gmail.com : Recorded</v>
      </c>
      <c r="CF841" s="1" t="str">
        <f ca="1">IFERROR(__xludf.DUMMYFUNCTION("""COMPUTED_VALUE"""),"#N/A")</f>
        <v>#N/A</v>
      </c>
      <c r="CG841" s="1" t="str">
        <f ca="1">IFERROR(__xludf.DUMMYFUNCTION("""COMPUTED_VALUE"""),"Adarniya Vaibhav Gautam  ji अनुशासित छात्र ही प्रगतिशील समाज के कर्णधार : Rare Book : Allocated on 09-Aug-23 Contact Number  9462734323")</f>
        <v>Adarniya Vaibhav Gautam  ji अनुशासित छात्र ही प्रगतिशील समाज के कर्णधार : Rare Book : Allocated on 09-Aug-23 Contact Number  9462734323</v>
      </c>
      <c r="CH841" s="1"/>
      <c r="CI841" s="1"/>
    </row>
    <row r="842" spans="1:87" x14ac:dyDescent="0.25">
      <c r="A842" s="5">
        <f ca="1">IFERROR(__xludf.DUMMYFUNCTION("""COMPUTED_VALUE"""),45147.5864632986)</f>
        <v>45147.586463298598</v>
      </c>
      <c r="B842" s="1" t="str">
        <f ca="1">IFERROR(__xludf.DUMMYFUNCTION("""COMPUTED_VALUE"""),"bhavidshukla@gmail.com")</f>
        <v>bhavidshukla@gmail.com</v>
      </c>
      <c r="C842" s="1" t="str">
        <f ca="1">IFERROR(__xludf.DUMMYFUNCTION("""COMPUTED_VALUE"""),"Bhavana Shukla ")</f>
        <v xml:space="preserve">Bhavana Shukla </v>
      </c>
      <c r="D842" s="1">
        <f ca="1">IFERROR(__xludf.DUMMYFUNCTION("""COMPUTED_VALUE"""),8975117081)</f>
        <v>8975117081</v>
      </c>
      <c r="E842" s="1" t="str">
        <f ca="1">IFERROR(__xludf.DUMMYFUNCTION("""COMPUTED_VALUE"""),"No")</f>
        <v>No</v>
      </c>
      <c r="F842" s="1" t="str">
        <f ca="1">IFERROR(__xludf.DUMMYFUNCTION("""COMPUTED_VALUE"""),"English")</f>
        <v>English</v>
      </c>
      <c r="G842" s="1" t="str">
        <f ca="1">IFERROR(__xludf.DUMMYFUNCTION("""COMPUTED_VALUE"""),"English")</f>
        <v>English</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f ca="1">IFERROR(__xludf.DUMMYFUNCTION("""COMPUTED_VALUE"""),1)</f>
        <v>1</v>
      </c>
      <c r="BX842" s="1">
        <f ca="1">IFERROR(__xludf.DUMMYFUNCTION("""COMPUTED_VALUE"""),1)</f>
        <v>1</v>
      </c>
      <c r="BY842" s="1">
        <f ca="1">IFERROR(__xludf.DUMMYFUNCTION("""COMPUTED_VALUE"""),0)</f>
        <v>0</v>
      </c>
      <c r="BZ842" s="1">
        <f ca="1">IFERROR(__xludf.DUMMYFUNCTION("""COMPUTED_VALUE"""),1)</f>
        <v>1</v>
      </c>
      <c r="CA842" s="1" t="str">
        <f ca="1">IFERROR(__xludf.DUMMYFUNCTION("""COMPUTED_VALUE"""),"Yes")</f>
        <v>Yes</v>
      </c>
      <c r="CB842" s="5">
        <f ca="1">IFERROR(__xludf.DUMMYFUNCTION("""COMPUTED_VALUE"""),45157.5864632986)</f>
        <v>45157.586463298598</v>
      </c>
      <c r="CC842" s="1" t="str">
        <f ca="1">IFERROR(__xludf.DUMMYFUNCTION("""COMPUTED_VALUE"""),"The Glory Of Human Life : EP_32")</f>
        <v>The Glory Of Human Life : EP_32</v>
      </c>
      <c r="CD842" s="3" t="str">
        <f ca="1">IFERROR(__xludf.DUMMYFUNCTION("""COMPUTED_VALUE"""),"http://literature.awgp.org/book/the_glory_of_human_life/v1")</f>
        <v>http://literature.awgp.org/book/the_glory_of_human_life/v1</v>
      </c>
      <c r="CE842" s="1" t="str">
        <f ca="1">IFERROR(__xludf.DUMMYFUNCTION("""COMPUTED_VALUE"""),"Audiobook : The Glory Of Human Life : EP_32 : bhavidshukla@gmail.com : Recorded")</f>
        <v>Audiobook : The Glory Of Human Life : EP_32 : bhavidshukla@gmail.com : Recorded</v>
      </c>
      <c r="CF842" s="1" t="str">
        <f ca="1">IFERROR(__xludf.DUMMYFUNCTION("""COMPUTED_VALUE"""),"Audiobook : The Glory Of Human Life : EP_32 : bhavidshukla@gmail.com : Recorded")</f>
        <v>Audiobook : The Glory Of Human Life : EP_32 : bhavidshukla@gmail.com : Recorded</v>
      </c>
      <c r="CG842" s="1" t="str">
        <f ca="1">IFERROR(__xludf.DUMMYFUNCTION("""COMPUTED_VALUE"""),"Adarniya Bhavana Shukla  ji The Glory Of Human Life : EP_32 : Allocated on 09-Aug-23 Contact Number  8975117081")</f>
        <v>Adarniya Bhavana Shukla  ji The Glory Of Human Life : EP_32 : Allocated on 09-Aug-23 Contact Number  8975117081</v>
      </c>
      <c r="CH842" s="1"/>
      <c r="CI842" s="1"/>
    </row>
    <row r="843" spans="1:87" x14ac:dyDescent="0.25">
      <c r="A843" s="5">
        <f ca="1">IFERROR(__xludf.DUMMYFUNCTION("""COMPUTED_VALUE"""),45147.559713368)</f>
        <v>45147.559713367998</v>
      </c>
      <c r="B843" s="1" t="str">
        <f ca="1">IFERROR(__xludf.DUMMYFUNCTION("""COMPUTED_VALUE"""),"mbpurohitbk@gmail.com")</f>
        <v>mbpurohitbk@gmail.com</v>
      </c>
      <c r="C843" s="1" t="str">
        <f ca="1">IFERROR(__xludf.DUMMYFUNCTION("""COMPUTED_VALUE"""),"Mangilal Purohit ")</f>
        <v xml:space="preserve">Mangilal Purohit </v>
      </c>
      <c r="D843" s="1">
        <f ca="1">IFERROR(__xludf.DUMMYFUNCTION("""COMPUTED_VALUE"""),8805004074)</f>
        <v>8805004074</v>
      </c>
      <c r="E843" s="1" t="str">
        <f ca="1">IFERROR(__xludf.DUMMYFUNCTION("""COMPUTED_VALUE"""),"No")</f>
        <v>No</v>
      </c>
      <c r="F843" s="1" t="str">
        <f ca="1">IFERROR(__xludf.DUMMYFUNCTION("""COMPUTED_VALUE"""),"हिन्दी")</f>
        <v>हिन्दी</v>
      </c>
      <c r="G843" s="1" t="str">
        <f ca="1">IFERROR(__xludf.DUMMYFUNCTION("""COMPUTED_VALUE"""),"व्यक्ति निर्माण, युवा/विद्यार्थी एवं शिक्षक")</f>
        <v>व्यक्ति निर्माण, युवा/विद्यार्थी एवं शिक्षक</v>
      </c>
      <c r="H843" s="1"/>
      <c r="I843" s="1"/>
      <c r="J843" s="1"/>
      <c r="K843" s="1"/>
      <c r="L843" s="1"/>
      <c r="M843" s="1"/>
      <c r="N843" s="1"/>
      <c r="O843" s="1"/>
      <c r="P843" s="1"/>
      <c r="Q843" s="1"/>
      <c r="R843" s="1"/>
      <c r="S843" s="1"/>
      <c r="T843" s="1" t="str">
        <f ca="1">IFERROR(__xludf.DUMMYFUNCTION("""COMPUTED_VALUE"""),"व्यक्तित्व परिष्कार")</f>
        <v>व्यक्तित्व परिष्कार</v>
      </c>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f ca="1">IFERROR(__xludf.DUMMYFUNCTION("""COMPUTED_VALUE"""),1)</f>
        <v>1</v>
      </c>
      <c r="BX843" s="1">
        <f ca="1">IFERROR(__xludf.DUMMYFUNCTION("""COMPUTED_VALUE"""),0)</f>
        <v>0</v>
      </c>
      <c r="BY843" s="1">
        <f ca="1">IFERROR(__xludf.DUMMYFUNCTION("""COMPUTED_VALUE"""),1)</f>
        <v>1</v>
      </c>
      <c r="BZ843" s="1">
        <f ca="1">IFERROR(__xludf.DUMMYFUNCTION("""COMPUTED_VALUE"""),0)</f>
        <v>0</v>
      </c>
      <c r="CA843" s="1" t="str">
        <f ca="1">IFERROR(__xludf.DUMMYFUNCTION("""COMPUTED_VALUE"""),"Yes")</f>
        <v>Yes</v>
      </c>
      <c r="CB843" s="5">
        <f ca="1">IFERROR(__xludf.DUMMYFUNCTION("""COMPUTED_VALUE"""),45157.559713368)</f>
        <v>45157.559713367998</v>
      </c>
      <c r="CC843" s="1" t="str">
        <f ca="1">IFERROR(__xludf.DUMMYFUNCTION("""COMPUTED_VALUE"""),"अपने को पहचानें : H_PP_25")</f>
        <v>अपने को पहचानें : H_PP_25</v>
      </c>
      <c r="CD843" s="3" t="str">
        <f ca="1">IFERROR(__xludf.DUMMYFUNCTION("""COMPUTED_VALUE"""),"https://vicharkrantibooks.org/productdetail?book_name=HINP0066_APANE_KO_PAHACHANE_xxyyyy&amp;product_id=631#nav-details")</f>
        <v>https://vicharkrantibooks.org/productdetail?book_name=HINP0066_APANE_KO_PAHACHANE_xxyyyy&amp;product_id=631#nav-details</v>
      </c>
      <c r="CE843" s="1" t="str">
        <f ca="1">IFERROR(__xludf.DUMMYFUNCTION("""COMPUTED_VALUE"""),"Audiobook : अपने को पहचानें : H_PP_25 : mbpurohitbk@gmail.com : Recorded")</f>
        <v>Audiobook : अपने को पहचानें : H_PP_25 : mbpurohitbk@gmail.com : Recorded</v>
      </c>
      <c r="CF843" s="1" t="str">
        <f ca="1">IFERROR(__xludf.DUMMYFUNCTION("""COMPUTED_VALUE"""),"#N/A")</f>
        <v>#N/A</v>
      </c>
      <c r="CG843" s="1" t="str">
        <f ca="1">IFERROR(__xludf.DUMMYFUNCTION("""COMPUTED_VALUE"""),"Adarniya Mangilal Purohit  ji अपने को पहचानें : H_PP_25 : Allocated on 09-Aug-23 Contact Number  8805004074")</f>
        <v>Adarniya Mangilal Purohit  ji अपने को पहचानें : H_PP_25 : Allocated on 09-Aug-23 Contact Number  8805004074</v>
      </c>
      <c r="CH843" s="1"/>
      <c r="CI843" s="1"/>
    </row>
    <row r="844" spans="1:87" x14ac:dyDescent="0.25">
      <c r="A844" s="5">
        <f ca="1">IFERROR(__xludf.DUMMYFUNCTION("""COMPUTED_VALUE"""),45147.5575127777)</f>
        <v>45147.557512777697</v>
      </c>
      <c r="B844" s="1" t="str">
        <f ca="1">IFERROR(__xludf.DUMMYFUNCTION("""COMPUTED_VALUE"""),"jauhria@hotmail.com")</f>
        <v>jauhria@hotmail.com</v>
      </c>
      <c r="C844" s="1" t="str">
        <f ca="1">IFERROR(__xludf.DUMMYFUNCTION("""COMPUTED_VALUE"""),"Ajra Jauhri ")</f>
        <v xml:space="preserve">Ajra Jauhri </v>
      </c>
      <c r="D844" s="1">
        <f ca="1">IFERROR(__xludf.DUMMYFUNCTION("""COMPUTED_VALUE"""),9818664510)</f>
        <v>9818664510</v>
      </c>
      <c r="E844" s="1" t="str">
        <f ca="1">IFERROR(__xludf.DUMMYFUNCTION("""COMPUTED_VALUE"""),"No")</f>
        <v>No</v>
      </c>
      <c r="F844" s="1" t="str">
        <f ca="1">IFERROR(__xludf.DUMMYFUNCTION("""COMPUTED_VALUE"""),"हिन्दी")</f>
        <v>हिन्दी</v>
      </c>
      <c r="G844" s="1" t="str">
        <f ca="1">IFERROR(__xludf.DUMMYFUNCTION("""COMPUTED_VALUE"""),"राष्ट्र निर्माण")</f>
        <v>राष्ट्र निर्माण</v>
      </c>
      <c r="H844" s="1"/>
      <c r="I844" s="1"/>
      <c r="J844" s="1"/>
      <c r="K844" s="1"/>
      <c r="L844" s="1"/>
      <c r="M844" s="1"/>
      <c r="N844" s="1"/>
      <c r="O844" s="1"/>
      <c r="P844" s="1"/>
      <c r="Q844" s="1"/>
      <c r="R844" s="1" t="str">
        <f ca="1">IFERROR(__xludf.DUMMYFUNCTION("""COMPUTED_VALUE"""),"राष्ट्र निर्माण")</f>
        <v>राष्ट्र निर्माण</v>
      </c>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f ca="1">IFERROR(__xludf.DUMMYFUNCTION("""COMPUTED_VALUE"""),1)</f>
        <v>1</v>
      </c>
      <c r="BX844" s="1">
        <f ca="1">IFERROR(__xludf.DUMMYFUNCTION("""COMPUTED_VALUE"""),0)</f>
        <v>0</v>
      </c>
      <c r="BY844" s="1">
        <f ca="1">IFERROR(__xludf.DUMMYFUNCTION("""COMPUTED_VALUE"""),1)</f>
        <v>1</v>
      </c>
      <c r="BZ844" s="1">
        <f ca="1">IFERROR(__xludf.DUMMYFUNCTION("""COMPUTED_VALUE"""),0)</f>
        <v>0</v>
      </c>
      <c r="CA844" s="1" t="str">
        <f ca="1">IFERROR(__xludf.DUMMYFUNCTION("""COMPUTED_VALUE"""),"Yes")</f>
        <v>Yes</v>
      </c>
      <c r="CB844" s="5">
        <f ca="1">IFERROR(__xludf.DUMMYFUNCTION("""COMPUTED_VALUE"""),45157.5575127777)</f>
        <v>45157.557512777697</v>
      </c>
      <c r="CC844" s="1" t="str">
        <f ca="1">IFERROR(__xludf.DUMMYFUNCTION("""COMPUTED_VALUE"""),"गोबर में लक्ष्मी का निवास : Rare Book")</f>
        <v>गोबर में लक्ष्मी का निवास : Rare Book</v>
      </c>
      <c r="CD844" s="3" t="str">
        <f ca="1">IFERROR(__xludf.DUMMYFUNCTION("""COMPUTED_VALUE"""),"https://vicharkrantibooks.org/productdetail?book_name=HINP0306_GOBAR_MEIN_LAKSHMI_KA_NIVAS_xxyyyy&amp;product_id=871")</f>
        <v>https://vicharkrantibooks.org/productdetail?book_name=HINP0306_GOBAR_MEIN_LAKSHMI_KA_NIVAS_xxyyyy&amp;product_id=871</v>
      </c>
      <c r="CE844" s="1" t="str">
        <f ca="1">IFERROR(__xludf.DUMMYFUNCTION("""COMPUTED_VALUE"""),"Audiobook : गोबर में लक्ष्मी का निवास : Rare Book : jauhria@hotmail.com : Recorded")</f>
        <v>Audiobook : गोबर में लक्ष्मी का निवास : Rare Book : jauhria@hotmail.com : Recorded</v>
      </c>
      <c r="CF844" s="1" t="str">
        <f ca="1">IFERROR(__xludf.DUMMYFUNCTION("""COMPUTED_VALUE"""),"#N/A")</f>
        <v>#N/A</v>
      </c>
      <c r="CG844" s="1" t="str">
        <f ca="1">IFERROR(__xludf.DUMMYFUNCTION("""COMPUTED_VALUE"""),"Adarniya Ajra Jauhri  ji गोबर में लक्ष्मी का निवास : Rare Book : Allocated on 09-Aug-23 Contact Number  9818664510")</f>
        <v>Adarniya Ajra Jauhri  ji गोबर में लक्ष्मी का निवास : Rare Book : Allocated on 09-Aug-23 Contact Number  9818664510</v>
      </c>
      <c r="CH844" s="1"/>
      <c r="CI844" s="1"/>
    </row>
    <row r="845" spans="1:87" x14ac:dyDescent="0.25">
      <c r="A845" s="5">
        <f ca="1">IFERROR(__xludf.DUMMYFUNCTION("""COMPUTED_VALUE"""),45147.4990648148)</f>
        <v>45147.499064814801</v>
      </c>
      <c r="B845" s="1" t="str">
        <f ca="1">IFERROR(__xludf.DUMMYFUNCTION("""COMPUTED_VALUE"""),"manjusrivastava349@gmail.com")</f>
        <v>manjusrivastava349@gmail.com</v>
      </c>
      <c r="C845" s="1" t="str">
        <f ca="1">IFERROR(__xludf.DUMMYFUNCTION("""COMPUTED_VALUE"""),"Manju Srivastava")</f>
        <v>Manju Srivastava</v>
      </c>
      <c r="D845" s="1">
        <f ca="1">IFERROR(__xludf.DUMMYFUNCTION("""COMPUTED_VALUE"""),9450345667)</f>
        <v>9450345667</v>
      </c>
      <c r="E845" s="1" t="str">
        <f ca="1">IFERROR(__xludf.DUMMYFUNCTION("""COMPUTED_VALUE"""),"Yes")</f>
        <v>Yes</v>
      </c>
      <c r="F845" s="1" t="str">
        <f ca="1">IFERROR(__xludf.DUMMYFUNCTION("""COMPUTED_VALUE"""),"हिन्दी")</f>
        <v>हिन्दी</v>
      </c>
      <c r="G845" s="1" t="str">
        <f ca="1">IFERROR(__xludf.DUMMYFUNCTION("""COMPUTED_VALUE"""),"युग द्रष्टा पं. श्रीराम शर्मा आचार्यजी")</f>
        <v>युग द्रष्टा पं. श्रीराम शर्मा आचार्यजी</v>
      </c>
      <c r="H845" s="1"/>
      <c r="I845" s="1"/>
      <c r="J845" s="1"/>
      <c r="K845" s="1"/>
      <c r="L845" s="1"/>
      <c r="M845" s="1"/>
      <c r="N845" s="1"/>
      <c r="O845" s="1"/>
      <c r="P845" s="1" t="str">
        <f ca="1">IFERROR(__xludf.DUMMYFUNCTION("""COMPUTED_VALUE"""),"युगॠषी की अमृतवाणी")</f>
        <v>युगॠषी की अमृतवाणी</v>
      </c>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f ca="1">IFERROR(__xludf.DUMMYFUNCTION("""COMPUTED_VALUE"""),10)</f>
        <v>10</v>
      </c>
      <c r="BX845" s="1">
        <f ca="1">IFERROR(__xludf.DUMMYFUNCTION("""COMPUTED_VALUE"""),12)</f>
        <v>12</v>
      </c>
      <c r="BY845" s="1">
        <f ca="1">IFERROR(__xludf.DUMMYFUNCTION("""COMPUTED_VALUE"""),0)</f>
        <v>0</v>
      </c>
      <c r="BZ845" s="1">
        <f ca="1">IFERROR(__xludf.DUMMYFUNCTION("""COMPUTED_VALUE"""),2)</f>
        <v>2</v>
      </c>
      <c r="CA845" s="1" t="str">
        <f ca="1">IFERROR(__xludf.DUMMYFUNCTION("""COMPUTED_VALUE"""),"Yes")</f>
        <v>Yes</v>
      </c>
      <c r="CB845" s="5">
        <f ca="1">IFERROR(__xludf.DUMMYFUNCTION("""COMPUTED_VALUE"""),45157.4990648148)</f>
        <v>45157.499064814801</v>
      </c>
      <c r="CC845" s="1" t="str">
        <f ca="1">IFERROR(__xludf.DUMMYFUNCTION("""COMPUTED_VALUE"""),"युग ऋषि एवं उनकी योजना : H_SJ_71")</f>
        <v>युग ऋषि एवं उनकी योजना : H_SJ_71</v>
      </c>
      <c r="CD845" s="3" t="str">
        <f ca="1">IFERROR(__xludf.DUMMYFUNCTION("""COMPUTED_VALUE"""),"https://vicharkrantibooks.org/productdetail?book_name=HINP1067_YUGRUSHI_EVAM_UNAKI_YOJANA_xxyyyy&amp;product_id=1632")</f>
        <v>https://vicharkrantibooks.org/productdetail?book_name=HINP1067_YUGRUSHI_EVAM_UNAKI_YOJANA_xxyyyy&amp;product_id=1632</v>
      </c>
      <c r="CE845" s="1" t="str">
        <f ca="1">IFERROR(__xludf.DUMMYFUNCTION("""COMPUTED_VALUE"""),"Audiobook : युग ऋषि एवं उनकी योजना : H_SJ_71 : manjusrivastava349@gmail.com : Recorded")</f>
        <v>Audiobook : युग ऋषि एवं उनकी योजना : H_SJ_71 : manjusrivastava349@gmail.com : Recorded</v>
      </c>
      <c r="CF845" s="1" t="str">
        <f ca="1">IFERROR(__xludf.DUMMYFUNCTION("""COMPUTED_VALUE"""),"Audiobook : युग ऋषि एवं उनकी योजना : H_SJ_71 : manjusrivastava349@gmail.com : Recorded")</f>
        <v>Audiobook : युग ऋषि एवं उनकी योजना : H_SJ_71 : manjusrivastava349@gmail.com : Recorded</v>
      </c>
      <c r="CG845" s="1" t="str">
        <f ca="1">IFERROR(__xludf.DUMMYFUNCTION("""COMPUTED_VALUE"""),"Adarniya Manju Srivastava ji युग ऋषि एवं उनकी योजना : H_SJ_71 : Allocated on 09-Aug-23 Contact Number  9450345667")</f>
        <v>Adarniya Manju Srivastava ji युग ऋषि एवं उनकी योजना : H_SJ_71 : Allocated on 09-Aug-23 Contact Number  9450345667</v>
      </c>
      <c r="CH845" s="1"/>
      <c r="CI845" s="1"/>
    </row>
    <row r="846" spans="1:87" x14ac:dyDescent="0.25">
      <c r="A846" s="5">
        <f ca="1">IFERROR(__xludf.DUMMYFUNCTION("""COMPUTED_VALUE"""),45147.4921627314)</f>
        <v>45147.492162731403</v>
      </c>
      <c r="B846" s="1" t="str">
        <f ca="1">IFERROR(__xludf.DUMMYFUNCTION("""COMPUTED_VALUE"""),"rashmi0363@gmail.com")</f>
        <v>rashmi0363@gmail.com</v>
      </c>
      <c r="C846" s="1" t="str">
        <f ca="1">IFERROR(__xludf.DUMMYFUNCTION("""COMPUTED_VALUE"""),"Rashmi Sinha ")</f>
        <v xml:space="preserve">Rashmi Sinha </v>
      </c>
      <c r="D846" s="1">
        <f ca="1">IFERROR(__xludf.DUMMYFUNCTION("""COMPUTED_VALUE"""),9212688575)</f>
        <v>9212688575</v>
      </c>
      <c r="E846" s="1" t="str">
        <f ca="1">IFERROR(__xludf.DUMMYFUNCTION("""COMPUTED_VALUE"""),"No")</f>
        <v>No</v>
      </c>
      <c r="F846" s="1" t="str">
        <f ca="1">IFERROR(__xludf.DUMMYFUNCTION("""COMPUTED_VALUE"""),"हिन्दी")</f>
        <v>हिन्दी</v>
      </c>
      <c r="G846" s="1" t="str">
        <f ca="1">IFERROR(__xludf.DUMMYFUNCTION("""COMPUTED_VALUE"""),"भारतीय संस्कृति")</f>
        <v>भारतीय संस्कृति</v>
      </c>
      <c r="H846" s="1"/>
      <c r="I846" s="1"/>
      <c r="J846" s="1"/>
      <c r="K846" s="1"/>
      <c r="L846" s="1"/>
      <c r="M846" s="1"/>
      <c r="N846" s="1"/>
      <c r="O846" s="1" t="str">
        <f ca="1">IFERROR(__xludf.DUMMYFUNCTION("""COMPUTED_VALUE"""),"योग एवं ध्यान")</f>
        <v>योग एवं ध्यान</v>
      </c>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f ca="1">IFERROR(__xludf.DUMMYFUNCTION("""COMPUTED_VALUE"""),8)</f>
        <v>8</v>
      </c>
      <c r="BX846" s="1">
        <f ca="1">IFERROR(__xludf.DUMMYFUNCTION("""COMPUTED_VALUE"""),11)</f>
        <v>11</v>
      </c>
      <c r="BY846" s="1">
        <f ca="1">IFERROR(__xludf.DUMMYFUNCTION("""COMPUTED_VALUE"""),1)</f>
        <v>1</v>
      </c>
      <c r="BZ846" s="1">
        <f ca="1">IFERROR(__xludf.DUMMYFUNCTION("""COMPUTED_VALUE"""),5)</f>
        <v>5</v>
      </c>
      <c r="CA846" s="1" t="str">
        <f ca="1">IFERROR(__xludf.DUMMYFUNCTION("""COMPUTED_VALUE"""),"Yes")</f>
        <v>Yes</v>
      </c>
      <c r="CB846" s="5">
        <f ca="1">IFERROR(__xludf.DUMMYFUNCTION("""COMPUTED_VALUE"""),45157.4921627314)</f>
        <v>45157.492162731403</v>
      </c>
      <c r="CC846" s="1" t="str">
        <f ca="1">IFERROR(__xludf.DUMMYFUNCTION("""COMPUTED_VALUE"""),"साकार और निराकार ध्यान : H_JS_87")</f>
        <v>साकार और निराकार ध्यान : H_JS_87</v>
      </c>
      <c r="CD846" s="3" t="str">
        <f ca="1">IFERROR(__xludf.DUMMYFUNCTION("""COMPUTED_VALUE"""),"https://vicharkrantibooks.org/productdetail?book_name=HINP0753_SAKAR_AUR_NIRAKAR_DHYAN_xx2011&amp;product_id=1318")</f>
        <v>https://vicharkrantibooks.org/productdetail?book_name=HINP0753_SAKAR_AUR_NIRAKAR_DHYAN_xx2011&amp;product_id=1318</v>
      </c>
      <c r="CE846" s="1" t="str">
        <f ca="1">IFERROR(__xludf.DUMMYFUNCTION("""COMPUTED_VALUE"""),"Audiobook : साकार और निराकार ध्यान : H_JS_87 : rashmi0363@gmail.com : Recorded")</f>
        <v>Audiobook : साकार और निराकार ध्यान : H_JS_87 : rashmi0363@gmail.com : Recorded</v>
      </c>
      <c r="CF846" s="1" t="str">
        <f ca="1">IFERROR(__xludf.DUMMYFUNCTION("""COMPUTED_VALUE"""),"Audiobook : साकार और निराकार ध्यान : H_JS_87 : rashmi0363@gmail.com : Recorded")</f>
        <v>Audiobook : साकार और निराकार ध्यान : H_JS_87 : rashmi0363@gmail.com : Recorded</v>
      </c>
      <c r="CG846" s="1" t="str">
        <f ca="1">IFERROR(__xludf.DUMMYFUNCTION("""COMPUTED_VALUE"""),"Adarniya Rashmi Sinha  ji साकार और निराकार ध्यान : H_JS_87 : Allocated on 09-Aug-23 Contact Number  9212688575")</f>
        <v>Adarniya Rashmi Sinha  ji साकार और निराकार ध्यान : H_JS_87 : Allocated on 09-Aug-23 Contact Number  9212688575</v>
      </c>
      <c r="CH846" s="1"/>
      <c r="CI846" s="1"/>
    </row>
    <row r="847" spans="1:87" x14ac:dyDescent="0.25">
      <c r="A847" s="5">
        <f ca="1">IFERROR(__xludf.DUMMYFUNCTION("""COMPUTED_VALUE"""),45147.3170377314)</f>
        <v>45147.317037731402</v>
      </c>
      <c r="B847" s="1" t="str">
        <f ca="1">IFERROR(__xludf.DUMMYFUNCTION("""COMPUTED_VALUE"""),"nibha.jolly@gmail.com")</f>
        <v>nibha.jolly@gmail.com</v>
      </c>
      <c r="C847" s="1" t="str">
        <f ca="1">IFERROR(__xludf.DUMMYFUNCTION("""COMPUTED_VALUE"""),"Nibha Jolly")</f>
        <v>Nibha Jolly</v>
      </c>
      <c r="D847" s="1">
        <f ca="1">IFERROR(__xludf.DUMMYFUNCTION("""COMPUTED_VALUE"""),7816065258)</f>
        <v>7816065258</v>
      </c>
      <c r="E847" s="1" t="str">
        <f ca="1">IFERROR(__xludf.DUMMYFUNCTION("""COMPUTED_VALUE"""),"No")</f>
        <v>No</v>
      </c>
      <c r="F847" s="1" t="str">
        <f ca="1">IFERROR(__xludf.DUMMYFUNCTION("""COMPUTED_VALUE"""),"हिन्दी or English")</f>
        <v>हिन्दी or English</v>
      </c>
      <c r="G847" s="1" t="str">
        <f ca="1">IFERROR(__xludf.DUMMYFUNCTION("""COMPUTED_VALUE"""),"समग्र स्वास्थ्य")</f>
        <v>समग्र स्वास्थ्य</v>
      </c>
      <c r="H847" s="1"/>
      <c r="I847" s="1"/>
      <c r="J847" s="1"/>
      <c r="K847" s="1"/>
      <c r="L847" s="1"/>
      <c r="M847" s="1"/>
      <c r="N847" s="1"/>
      <c r="O847" s="1"/>
      <c r="P847" s="1"/>
      <c r="Q847" s="1"/>
      <c r="R847" s="1"/>
      <c r="S847" s="1"/>
      <c r="T847" s="1"/>
      <c r="U847" s="1" t="str">
        <f ca="1">IFERROR(__xludf.DUMMYFUNCTION("""COMPUTED_VALUE"""),"मानसिक स्वास्थ्य")</f>
        <v>मानसिक स्वास्थ्य</v>
      </c>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f ca="1">IFERROR(__xludf.DUMMYFUNCTION("""COMPUTED_VALUE"""),2)</f>
        <v>2</v>
      </c>
      <c r="BX847" s="1">
        <f ca="1">IFERROR(__xludf.DUMMYFUNCTION("""COMPUTED_VALUE"""),0)</f>
        <v>0</v>
      </c>
      <c r="BY847" s="1">
        <f ca="1">IFERROR(__xludf.DUMMYFUNCTION("""COMPUTED_VALUE"""),2)</f>
        <v>2</v>
      </c>
      <c r="BZ847" s="1">
        <f ca="1">IFERROR(__xludf.DUMMYFUNCTION("""COMPUTED_VALUE"""),0)</f>
        <v>0</v>
      </c>
      <c r="CA847" s="1" t="str">
        <f ca="1">IFERROR(__xludf.DUMMYFUNCTION("""COMPUTED_VALUE"""),"Yes")</f>
        <v>Yes</v>
      </c>
      <c r="CB847" s="5">
        <f ca="1">IFERROR(__xludf.DUMMYFUNCTION("""COMPUTED_VALUE"""),45157.3170377314)</f>
        <v>45157.317037731402</v>
      </c>
      <c r="CC847" s="1" t="str">
        <f ca="1">IFERROR(__xludf.DUMMYFUNCTION("""COMPUTED_VALUE"""),"Youth&amp;The Present Day Challenges : EP_151")</f>
        <v>Youth&amp;The Present Day Challenges : EP_151</v>
      </c>
      <c r="CD847" s="3" t="str">
        <f ca="1">IFERROR(__xludf.DUMMYFUNCTION("""COMPUTED_VALUE"""),"http://literature.awgp.org/book/Vartaman_Chunautiyan_Au_rYuvavarga/v3")</f>
        <v>http://literature.awgp.org/book/Vartaman_Chunautiyan_Au_rYuvavarga/v3</v>
      </c>
      <c r="CE847" s="1" t="str">
        <f ca="1">IFERROR(__xludf.DUMMYFUNCTION("""COMPUTED_VALUE"""),"Audiobook : Youth&amp;The Present Day Challenges : EP_151 : nibha.jolly@gmail.com : Recorded")</f>
        <v>Audiobook : Youth&amp;The Present Day Challenges : EP_151 : nibha.jolly@gmail.com : Recorded</v>
      </c>
      <c r="CF847" s="1" t="str">
        <f ca="1">IFERROR(__xludf.DUMMYFUNCTION("""COMPUTED_VALUE"""),"#N/A")</f>
        <v>#N/A</v>
      </c>
      <c r="CG847" s="1" t="str">
        <f ca="1">IFERROR(__xludf.DUMMYFUNCTION("""COMPUTED_VALUE"""),"Adarniya Nibha Jolly ji Youth&amp;The Present Day Challenges : EP_151 : Allocated on 09-Aug-23 Contact Number  7816065258")</f>
        <v>Adarniya Nibha Jolly ji Youth&amp;The Present Day Challenges : EP_151 : Allocated on 09-Aug-23 Contact Number  7816065258</v>
      </c>
      <c r="CH847" s="1"/>
      <c r="CI847" s="1"/>
    </row>
    <row r="848" spans="1:87" x14ac:dyDescent="0.25">
      <c r="A848" s="5">
        <f ca="1">IFERROR(__xludf.DUMMYFUNCTION("""COMPUTED_VALUE"""),45147.0944637615)</f>
        <v>45147.094463761503</v>
      </c>
      <c r="B848" s="1" t="str">
        <f ca="1">IFERROR(__xludf.DUMMYFUNCTION("""COMPUTED_VALUE"""),"richasharma310575@gmail.com")</f>
        <v>richasharma310575@gmail.com</v>
      </c>
      <c r="C848" s="1" t="str">
        <f ca="1">IFERROR(__xludf.DUMMYFUNCTION("""COMPUTED_VALUE"""),"Richa Sharma")</f>
        <v>Richa Sharma</v>
      </c>
      <c r="D848" s="1">
        <f ca="1">IFERROR(__xludf.DUMMYFUNCTION("""COMPUTED_VALUE"""),9479664049)</f>
        <v>9479664049</v>
      </c>
      <c r="E848" s="1" t="str">
        <f ca="1">IFERROR(__xludf.DUMMYFUNCTION("""COMPUTED_VALUE"""),"Yes")</f>
        <v>Yes</v>
      </c>
      <c r="F848" s="1" t="str">
        <f ca="1">IFERROR(__xludf.DUMMYFUNCTION("""COMPUTED_VALUE"""),"हिन्दी")</f>
        <v>हिन्दी</v>
      </c>
      <c r="G848" s="1" t="str">
        <f ca="1">IFERROR(__xludf.DUMMYFUNCTION("""COMPUTED_VALUE"""),"संस्कार, कर्मकाण्ड, पाठ, पूजा, गीत-संगीत")</f>
        <v>संस्कार, कर्मकाण्ड, पाठ, पूजा, गीत-संगीत</v>
      </c>
      <c r="H848" s="1"/>
      <c r="I848" s="1"/>
      <c r="J848" s="1"/>
      <c r="K848" s="1"/>
      <c r="L848" s="1"/>
      <c r="M848" s="1"/>
      <c r="N848" s="1"/>
      <c r="O848" s="1"/>
      <c r="P848" s="1"/>
      <c r="Q848" s="1"/>
      <c r="R848" s="1"/>
      <c r="S848" s="1"/>
      <c r="T848" s="1"/>
      <c r="U848" s="1"/>
      <c r="V848" s="1"/>
      <c r="W848" s="1" t="str">
        <f ca="1">IFERROR(__xludf.DUMMYFUNCTION("""COMPUTED_VALUE"""),"संस्कार")</f>
        <v>संस्कार</v>
      </c>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t="str">
        <f ca="1">IFERROR(__xludf.DUMMYFUNCTION("""COMPUTED_VALUE"""),"अंत्येष्ठि संस्कार विवेचन")</f>
        <v>अंत्येष्ठि संस्कार विवेचन</v>
      </c>
      <c r="BJ848" s="1"/>
      <c r="BK848" s="1"/>
      <c r="BL848" s="1"/>
      <c r="BM848" s="1"/>
      <c r="BN848" s="1"/>
      <c r="BO848" s="1"/>
      <c r="BP848" s="1"/>
      <c r="BQ848" s="1"/>
      <c r="BR848" s="1"/>
      <c r="BS848" s="1"/>
      <c r="BT848" s="1"/>
      <c r="BU848" s="1"/>
      <c r="BV848" s="1"/>
      <c r="BW848" s="1">
        <f ca="1">IFERROR(__xludf.DUMMYFUNCTION("""COMPUTED_VALUE"""),23)</f>
        <v>23</v>
      </c>
      <c r="BX848" s="1">
        <f ca="1">IFERROR(__xludf.DUMMYFUNCTION("""COMPUTED_VALUE"""),28)</f>
        <v>28</v>
      </c>
      <c r="BY848" s="1">
        <f ca="1">IFERROR(__xludf.DUMMYFUNCTION("""COMPUTED_VALUE"""),2)</f>
        <v>2</v>
      </c>
      <c r="BZ848" s="1">
        <f ca="1">IFERROR(__xludf.DUMMYFUNCTION("""COMPUTED_VALUE"""),24)</f>
        <v>24</v>
      </c>
      <c r="CA848" s="1" t="str">
        <f ca="1">IFERROR(__xludf.DUMMYFUNCTION("""COMPUTED_VALUE"""),"Yes")</f>
        <v>Yes</v>
      </c>
      <c r="CB848" s="5">
        <f ca="1">IFERROR(__xludf.DUMMYFUNCTION("""COMPUTED_VALUE"""),45157.0944637615)</f>
        <v>45157.094463761503</v>
      </c>
      <c r="CC848" s="1" t="str">
        <f ca="1">IFERROR(__xludf.DUMMYFUNCTION("""COMPUTED_VALUE"""),"अध्यात्म एक प्रकार का समर : H_JS_91")</f>
        <v>अध्यात्म एक प्रकार का समर : H_JS_91</v>
      </c>
      <c r="CD848" s="3" t="str">
        <f ca="1">IFERROR(__xludf.DUMMYFUNCTION("""COMPUTED_VALUE"""),"https://vicharkrantibooks.org/productdetail?book_name=HINP0012_ADHYATM_EK_PRAKAR_KA_SAMAR_xx2011&amp;product_id=577")</f>
        <v>https://vicharkrantibooks.org/productdetail?book_name=HINP0012_ADHYATM_EK_PRAKAR_KA_SAMAR_xx2011&amp;product_id=577</v>
      </c>
      <c r="CE848" s="1" t="str">
        <f ca="1">IFERROR(__xludf.DUMMYFUNCTION("""COMPUTED_VALUE"""),"Audiobook : अध्यात्म एक प्रकार का समर : H_JS_91 : richasharma310575@gmail.com : Recorded")</f>
        <v>Audiobook : अध्यात्म एक प्रकार का समर : H_JS_91 : richasharma310575@gmail.com : Recorded</v>
      </c>
      <c r="CF848" s="1" t="str">
        <f ca="1">IFERROR(__xludf.DUMMYFUNCTION("""COMPUTED_VALUE"""),"Audiobook : अध्यात्म एक प्रकार का समर : H_JS_91 : richasharma310575@gmail.com : Recorded")</f>
        <v>Audiobook : अध्यात्म एक प्रकार का समर : H_JS_91 : richasharma310575@gmail.com : Recorded</v>
      </c>
      <c r="CG848" s="1" t="str">
        <f ca="1">IFERROR(__xludf.DUMMYFUNCTION("""COMPUTED_VALUE"""),"Adarniya Richa Sharma ji अध्यात्म एक प्रकार का समर : H_JS_91 : Allocated on 09-Aug-23 Contact Number  9479664049")</f>
        <v>Adarniya Richa Sharma ji अध्यात्म एक प्रकार का समर : H_JS_91 : Allocated on 09-Aug-23 Contact Number  9479664049</v>
      </c>
      <c r="CH848" s="1"/>
      <c r="CI848" s="1"/>
    </row>
    <row r="849" spans="1:87" x14ac:dyDescent="0.25">
      <c r="A849" s="5">
        <f ca="1">IFERROR(__xludf.DUMMYFUNCTION("""COMPUTED_VALUE"""),45146.9262352777)</f>
        <v>45146.9262352777</v>
      </c>
      <c r="B849" s="1" t="str">
        <f ca="1">IFERROR(__xludf.DUMMYFUNCTION("""COMPUTED_VALUE"""),"amrita_dube@yahoo.com")</f>
        <v>amrita_dube@yahoo.com</v>
      </c>
      <c r="C849" s="1" t="str">
        <f ca="1">IFERROR(__xludf.DUMMYFUNCTION("""COMPUTED_VALUE"""),"Amrita")</f>
        <v>Amrita</v>
      </c>
      <c r="D849" s="1"/>
      <c r="E849" s="1" t="str">
        <f ca="1">IFERROR(__xludf.DUMMYFUNCTION("""COMPUTED_VALUE"""),"No")</f>
        <v>No</v>
      </c>
      <c r="F849" s="1" t="str">
        <f ca="1">IFERROR(__xludf.DUMMYFUNCTION("""COMPUTED_VALUE"""),"English")</f>
        <v>English</v>
      </c>
      <c r="G849" s="1" t="str">
        <f ca="1">IFERROR(__xludf.DUMMYFUNCTION("""COMPUTED_VALUE"""),"English")</f>
        <v>English</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f ca="1">IFERROR(__xludf.DUMMYFUNCTION("""COMPUTED_VALUE"""),17)</f>
        <v>17</v>
      </c>
      <c r="BX849" s="1">
        <f ca="1">IFERROR(__xludf.DUMMYFUNCTION("""COMPUTED_VALUE"""),14)</f>
        <v>14</v>
      </c>
      <c r="BY849" s="1">
        <f ca="1">IFERROR(__xludf.DUMMYFUNCTION("""COMPUTED_VALUE"""),6)</f>
        <v>6</v>
      </c>
      <c r="BZ849" s="1">
        <f ca="1">IFERROR(__xludf.DUMMYFUNCTION("""COMPUTED_VALUE"""),5)</f>
        <v>5</v>
      </c>
      <c r="CA849" s="1" t="str">
        <f ca="1">IFERROR(__xludf.DUMMYFUNCTION("""COMPUTED_VALUE"""),"Yes")</f>
        <v>Yes</v>
      </c>
      <c r="CB849" s="5">
        <f ca="1">IFERROR(__xludf.DUMMYFUNCTION("""COMPUTED_VALUE"""),45156.9262352777)</f>
        <v>45156.9262352777</v>
      </c>
      <c r="CC849" s="1" t="str">
        <f ca="1">IFERROR(__xludf.DUMMYFUNCTION("""COMPUTED_VALUE"""),"Form And Spirit Of Vedic Ritual Worship : Procedure Of Yagya : EP_49")</f>
        <v>Form And Spirit Of Vedic Ritual Worship : Procedure Of Yagya : EP_49</v>
      </c>
      <c r="CD849" s="3" t="str">
        <f ca="1">IFERROR(__xludf.DUMMYFUNCTION("""COMPUTED_VALUE"""),"https://vicharkrantibooks.org/productdetails?book_name=ENGR1216_FORM_AND_SPIRIT_OF_VEDIC_RITUAL_WORSHIP_PROCEDURE_OF_YAGYA_xx2009&amp;product_id=3442")</f>
        <v>https://vicharkrantibooks.org/productdetails?book_name=ENGR1216_FORM_AND_SPIRIT_OF_VEDIC_RITUAL_WORSHIP_PROCEDURE_OF_YAGYA_xx2009&amp;product_id=3442</v>
      </c>
      <c r="CE849" s="1" t="str">
        <f ca="1">IFERROR(__xludf.DUMMYFUNCTION("""COMPUTED_VALUE"""),"Audiobook : Form And Spirit Of Vedic Ritual Worship : Procedure Of Yagya : EP_49 : amrita_dube@yahoo.com : Recorded")</f>
        <v>Audiobook : Form And Spirit Of Vedic Ritual Worship : Procedure Of Yagya : EP_49 : amrita_dube@yahoo.com : Recorded</v>
      </c>
      <c r="CF849" s="1" t="str">
        <f ca="1">IFERROR(__xludf.DUMMYFUNCTION("""COMPUTED_VALUE"""),"#N/A")</f>
        <v>#N/A</v>
      </c>
      <c r="CG849" s="1" t="str">
        <f ca="1">IFERROR(__xludf.DUMMYFUNCTION("""COMPUTED_VALUE"""),"Adarniya Amrita ji Form And Spirit Of Vedic Ritual Worship : Procedure Of Yagya : EP_49 : Allocated on 08-Aug-23 Contact Number  ")</f>
        <v xml:space="preserve">Adarniya Amrita ji Form And Spirit Of Vedic Ritual Worship : Procedure Of Yagya : EP_49 : Allocated on 08-Aug-23 Contact Number  </v>
      </c>
      <c r="CH849" s="1"/>
      <c r="CI849" s="1"/>
    </row>
    <row r="850" spans="1:87" x14ac:dyDescent="0.25">
      <c r="A850" s="5">
        <f ca="1">IFERROR(__xludf.DUMMYFUNCTION("""COMPUTED_VALUE"""),45146.3767505671)</f>
        <v>45146.376750567098</v>
      </c>
      <c r="B850" s="1" t="str">
        <f ca="1">IFERROR(__xludf.DUMMYFUNCTION("""COMPUTED_VALUE"""),"advricha.28@gmail.com")</f>
        <v>advricha.28@gmail.com</v>
      </c>
      <c r="C850" s="1" t="str">
        <f ca="1">IFERROR(__xludf.DUMMYFUNCTION("""COMPUTED_VALUE"""),"Richa Singh")</f>
        <v>Richa Singh</v>
      </c>
      <c r="D850" s="1">
        <f ca="1">IFERROR(__xludf.DUMMYFUNCTION("""COMPUTED_VALUE"""),8856035447)</f>
        <v>8856035447</v>
      </c>
      <c r="E850" s="1" t="str">
        <f ca="1">IFERROR(__xludf.DUMMYFUNCTION("""COMPUTED_VALUE"""),"Yes")</f>
        <v>Yes</v>
      </c>
      <c r="F850" s="1" t="str">
        <f ca="1">IFERROR(__xludf.DUMMYFUNCTION("""COMPUTED_VALUE"""),"हिन्दी or English")</f>
        <v>हिन्दी or English</v>
      </c>
      <c r="G850" s="1" t="str">
        <f ca="1">IFERROR(__xludf.DUMMYFUNCTION("""COMPUTED_VALUE"""),"English")</f>
        <v>English</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f ca="1">IFERROR(__xludf.DUMMYFUNCTION("""COMPUTED_VALUE"""),1)</f>
        <v>1</v>
      </c>
      <c r="BX850" s="1">
        <f ca="1">IFERROR(__xludf.DUMMYFUNCTION("""COMPUTED_VALUE"""),0)</f>
        <v>0</v>
      </c>
      <c r="BY850" s="1">
        <f ca="1">IFERROR(__xludf.DUMMYFUNCTION("""COMPUTED_VALUE"""),1)</f>
        <v>1</v>
      </c>
      <c r="BZ850" s="1">
        <f ca="1">IFERROR(__xludf.DUMMYFUNCTION("""COMPUTED_VALUE"""),0)</f>
        <v>0</v>
      </c>
      <c r="CA850" s="1" t="str">
        <f ca="1">IFERROR(__xludf.DUMMYFUNCTION("""COMPUTED_VALUE"""),"Yes")</f>
        <v>Yes</v>
      </c>
      <c r="CB850" s="5">
        <f ca="1">IFERROR(__xludf.DUMMYFUNCTION("""COMPUTED_VALUE"""),45156.3767505671)</f>
        <v>45156.376750567098</v>
      </c>
      <c r="CC850" s="1" t="str">
        <f ca="1">IFERROR(__xludf.DUMMYFUNCTION("""COMPUTED_VALUE"""),"Married Life A Perfect Yoga : EP_86")</f>
        <v>Married Life A Perfect Yoga : EP_86</v>
      </c>
      <c r="CD850" s="3" t="str">
        <f ca="1">IFERROR(__xludf.DUMMYFUNCTION("""COMPUTED_VALUE"""),"http://literature.awgp.org/book/Married_Life_A_Perfect_Yoga/v1")</f>
        <v>http://literature.awgp.org/book/Married_Life_A_Perfect_Yoga/v1</v>
      </c>
      <c r="CE850" s="1" t="str">
        <f ca="1">IFERROR(__xludf.DUMMYFUNCTION("""COMPUTED_VALUE"""),"Audiobook : Married Life A Perfect Yoga : EP_86 : advricha.28@gmail.com : Recorded")</f>
        <v>Audiobook : Married Life A Perfect Yoga : EP_86 : advricha.28@gmail.com : Recorded</v>
      </c>
      <c r="CF850" s="1" t="str">
        <f ca="1">IFERROR(__xludf.DUMMYFUNCTION("""COMPUTED_VALUE"""),"#N/A")</f>
        <v>#N/A</v>
      </c>
      <c r="CG850" s="1" t="str">
        <f ca="1">IFERROR(__xludf.DUMMYFUNCTION("""COMPUTED_VALUE"""),"Adarniya Richa Singh ji Married Life A Perfect Yoga : EP_86 : Allocated on 08-Aug-23 Contact Number  8856035447")</f>
        <v>Adarniya Richa Singh ji Married Life A Perfect Yoga : EP_86 : Allocated on 08-Aug-23 Contact Number  8856035447</v>
      </c>
      <c r="CH850" s="1"/>
      <c r="CI850" s="1"/>
    </row>
    <row r="851" spans="1:87" x14ac:dyDescent="0.25">
      <c r="A851" s="5">
        <f ca="1">IFERROR(__xludf.DUMMYFUNCTION("""COMPUTED_VALUE"""),45146.3671363426)</f>
        <v>45146.367136342596</v>
      </c>
      <c r="B851" s="1" t="str">
        <f ca="1">IFERROR(__xludf.DUMMYFUNCTION("""COMPUTED_VALUE"""),"anupriya_deshmukh9@yahoo.co.in")</f>
        <v>anupriya_deshmukh9@yahoo.co.in</v>
      </c>
      <c r="C851" s="1" t="str">
        <f ca="1">IFERROR(__xludf.DUMMYFUNCTION("""COMPUTED_VALUE"""),"Anupriya Deshmukh ")</f>
        <v xml:space="preserve">Anupriya Deshmukh </v>
      </c>
      <c r="D851" s="1">
        <f ca="1">IFERROR(__xludf.DUMMYFUNCTION("""COMPUTED_VALUE"""),7506739089)</f>
        <v>7506739089</v>
      </c>
      <c r="E851" s="1" t="str">
        <f ca="1">IFERROR(__xludf.DUMMYFUNCTION("""COMPUTED_VALUE"""),"Yes")</f>
        <v>Yes</v>
      </c>
      <c r="F851" s="1" t="str">
        <f ca="1">IFERROR(__xludf.DUMMYFUNCTION("""COMPUTED_VALUE"""),"हिन्दी")</f>
        <v>हिन्दी</v>
      </c>
      <c r="G851" s="1" t="str">
        <f ca="1">IFERROR(__xludf.DUMMYFUNCTION("""COMPUTED_VALUE"""),"वैज्ञानिक अध्यात्मवाद का प्रतिपादन")</f>
        <v>वैज्ञानिक अध्यात्मवाद का प्रतिपादन</v>
      </c>
      <c r="H851" s="1"/>
      <c r="I851" s="1"/>
      <c r="J851" s="1"/>
      <c r="K851" s="1"/>
      <c r="L851" s="1"/>
      <c r="M851" s="1"/>
      <c r="N851" s="1"/>
      <c r="O851" s="1"/>
      <c r="P851" s="1"/>
      <c r="Q851" s="1"/>
      <c r="R851" s="1"/>
      <c r="S851" s="1" t="str">
        <f ca="1">IFERROR(__xludf.DUMMYFUNCTION("""COMPUTED_VALUE"""),"वैज्ञानिक अध्यात्मवाद का प्रतिपादन")</f>
        <v>वैज्ञानिक अध्यात्मवाद का प्रतिपादन</v>
      </c>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f ca="1">IFERROR(__xludf.DUMMYFUNCTION("""COMPUTED_VALUE"""),15)</f>
        <v>15</v>
      </c>
      <c r="BX851" s="1">
        <f ca="1">IFERROR(__xludf.DUMMYFUNCTION("""COMPUTED_VALUE"""),10)</f>
        <v>10</v>
      </c>
      <c r="BY851" s="1">
        <f ca="1">IFERROR(__xludf.DUMMYFUNCTION("""COMPUTED_VALUE"""),4)</f>
        <v>4</v>
      </c>
      <c r="BZ851" s="1">
        <f ca="1">IFERROR(__xludf.DUMMYFUNCTION("""COMPUTED_VALUE"""),6)</f>
        <v>6</v>
      </c>
      <c r="CA851" s="1" t="str">
        <f ca="1">IFERROR(__xludf.DUMMYFUNCTION("""COMPUTED_VALUE"""),"Yes")</f>
        <v>Yes</v>
      </c>
      <c r="CB851" s="5">
        <f ca="1">IFERROR(__xludf.DUMMYFUNCTION("""COMPUTED_VALUE"""),45156.3671363426)</f>
        <v>45156.367136342596</v>
      </c>
      <c r="CC851" s="1" t="str">
        <f ca="1">IFERROR(__xludf.DUMMYFUNCTION("""COMPUTED_VALUE"""),"भूत पलीत और देवी देवताओं का भ्रम जंजाल : Rare Book")</f>
        <v>भूत पलीत और देवी देवताओं का भ्रम जंजाल : Rare Book</v>
      </c>
      <c r="CD851" s="3" t="str">
        <f ca="1">IFERROR(__xludf.DUMMYFUNCTION("""COMPUTED_VALUE"""),"https://vicharkrantibooks.org/productdetail?book_name=HINP0170_BHUT_PALIT_AUR_DEVI_DEVATAON_KA_BHRAM_JANJAL_xxyyyy&amp;product_id=735")</f>
        <v>https://vicharkrantibooks.org/productdetail?book_name=HINP0170_BHUT_PALIT_AUR_DEVI_DEVATAON_KA_BHRAM_JANJAL_xxyyyy&amp;product_id=735</v>
      </c>
      <c r="CE851" s="1" t="str">
        <f ca="1">IFERROR(__xludf.DUMMYFUNCTION("""COMPUTED_VALUE"""),"Audiobook : भूत पलीत और देवी देवताओं का भ्रम जंजाल : Rare Book : anupriya_deshmukh9@yahoo.co.in : Recorded")</f>
        <v>Audiobook : भूत पलीत और देवी देवताओं का भ्रम जंजाल : Rare Book : anupriya_deshmukh9@yahoo.co.in : Recorded</v>
      </c>
      <c r="CF851" s="1" t="str">
        <f ca="1">IFERROR(__xludf.DUMMYFUNCTION("""COMPUTED_VALUE"""),"#N/A")</f>
        <v>#N/A</v>
      </c>
      <c r="CG851" s="1" t="str">
        <f ca="1">IFERROR(__xludf.DUMMYFUNCTION("""COMPUTED_VALUE"""),"Adarniya Anupriya Deshmukh  ji भूत पलीत और देवी देवताओं का भ्रम जंजाल : Rare Book : Allocated on 08-Aug-23 Contact Number  7506739089")</f>
        <v>Adarniya Anupriya Deshmukh  ji भूत पलीत और देवी देवताओं का भ्रम जंजाल : Rare Book : Allocated on 08-Aug-23 Contact Number  7506739089</v>
      </c>
      <c r="CH851" s="1"/>
      <c r="CI851" s="1"/>
    </row>
    <row r="852" spans="1:87" x14ac:dyDescent="0.25">
      <c r="A852" s="5">
        <f ca="1">IFERROR(__xludf.DUMMYFUNCTION("""COMPUTED_VALUE"""),45146.341377662)</f>
        <v>45146.341377662</v>
      </c>
      <c r="B852" s="1" t="str">
        <f ca="1">IFERROR(__xludf.DUMMYFUNCTION("""COMPUTED_VALUE"""),"meena.sharma111966@gmail.com")</f>
        <v>meena.sharma111966@gmail.com</v>
      </c>
      <c r="C852" s="1" t="str">
        <f ca="1">IFERROR(__xludf.DUMMYFUNCTION("""COMPUTED_VALUE"""),"MeenaSharma")</f>
        <v>MeenaSharma</v>
      </c>
      <c r="D852" s="1">
        <f ca="1">IFERROR(__xludf.DUMMYFUNCTION("""COMPUTED_VALUE"""),9450961004)</f>
        <v>9450961004</v>
      </c>
      <c r="E852" s="1" t="str">
        <f ca="1">IFERROR(__xludf.DUMMYFUNCTION("""COMPUTED_VALUE"""),"No")</f>
        <v>No</v>
      </c>
      <c r="F852" s="1" t="str">
        <f ca="1">IFERROR(__xludf.DUMMYFUNCTION("""COMPUTED_VALUE"""),"हिन्दी or English")</f>
        <v>हिन्दी or English</v>
      </c>
      <c r="G852" s="1" t="str">
        <f ca="1">IFERROR(__xludf.DUMMYFUNCTION("""COMPUTED_VALUE"""),"अध्यात्म, धर्म एवं दर्शन")</f>
        <v>अध्यात्म, धर्म एवं दर्शन</v>
      </c>
      <c r="H852" s="1" t="str">
        <f ca="1">IFERROR(__xludf.DUMMYFUNCTION("""COMPUTED_VALUE"""),"अध्यात्म, धर्म एवं आस्तिकता")</f>
        <v>अध्यात्म, धर्म एवं आस्तिकता</v>
      </c>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f ca="1">IFERROR(__xludf.DUMMYFUNCTION("""COMPUTED_VALUE"""),1)</f>
        <v>1</v>
      </c>
      <c r="BX852" s="1">
        <f ca="1">IFERROR(__xludf.DUMMYFUNCTION("""COMPUTED_VALUE"""),0)</f>
        <v>0</v>
      </c>
      <c r="BY852" s="1">
        <f ca="1">IFERROR(__xludf.DUMMYFUNCTION("""COMPUTED_VALUE"""),1)</f>
        <v>1</v>
      </c>
      <c r="BZ852" s="1">
        <f ca="1">IFERROR(__xludf.DUMMYFUNCTION("""COMPUTED_VALUE"""),0)</f>
        <v>0</v>
      </c>
      <c r="CA852" s="1" t="str">
        <f ca="1">IFERROR(__xludf.DUMMYFUNCTION("""COMPUTED_VALUE"""),"Yes")</f>
        <v>Yes</v>
      </c>
      <c r="CB852" s="5">
        <f ca="1">IFERROR(__xludf.DUMMYFUNCTION("""COMPUTED_VALUE"""),45156.341377662)</f>
        <v>45156.341377662</v>
      </c>
      <c r="CC852" s="1" t="str">
        <f ca="1">IFERROR(__xludf.DUMMYFUNCTION("""COMPUTED_VALUE"""),"अध्यात्म उर्जा के प्रकटीकरण की साधना : Rare Book")</f>
        <v>अध्यात्म उर्जा के प्रकटीकरण की साधना : Rare Book</v>
      </c>
      <c r="CD852" s="3" t="str">
        <f ca="1">IFERROR(__xludf.DUMMYFUNCTION("""COMPUTED_VALUE"""),"https://vicharkrantibooks.org/productdetail?book_name=HINP0020_ADHYATM_URJA_KE_PRAKATIKARAN_KI_SADHANA_xx1981&amp;product_id=585")</f>
        <v>https://vicharkrantibooks.org/productdetail?book_name=HINP0020_ADHYATM_URJA_KE_PRAKATIKARAN_KI_SADHANA_xx1981&amp;product_id=585</v>
      </c>
      <c r="CE852" s="1" t="str">
        <f ca="1">IFERROR(__xludf.DUMMYFUNCTION("""COMPUTED_VALUE"""),"Audiobook : अध्यात्म उर्जा के प्रकटीकरण की साधना : Rare Book : meena.sharma111966@gmail.com : Recorded")</f>
        <v>Audiobook : अध्यात्म उर्जा के प्रकटीकरण की साधना : Rare Book : meena.sharma111966@gmail.com : Recorded</v>
      </c>
      <c r="CF852" s="1" t="str">
        <f ca="1">IFERROR(__xludf.DUMMYFUNCTION("""COMPUTED_VALUE"""),"#N/A")</f>
        <v>#N/A</v>
      </c>
      <c r="CG852" s="1" t="str">
        <f ca="1">IFERROR(__xludf.DUMMYFUNCTION("""COMPUTED_VALUE"""),"Adarniya MeenaSharma ji अध्यात्म उर्जा के प्रकटीकरण की साधना : Rare Book : Allocated on 08-Aug-23 Contact Number  9450961004")</f>
        <v>Adarniya MeenaSharma ji अध्यात्म उर्जा के प्रकटीकरण की साधना : Rare Book : Allocated on 08-Aug-23 Contact Number  9450961004</v>
      </c>
      <c r="CH852" s="1"/>
      <c r="CI852" s="1"/>
    </row>
    <row r="853" spans="1:87" x14ac:dyDescent="0.25">
      <c r="A853" s="5">
        <f ca="1">IFERROR(__xludf.DUMMYFUNCTION("""COMPUTED_VALUE"""),45146.324328912)</f>
        <v>45146.324328912</v>
      </c>
      <c r="B853" s="1" t="str">
        <f ca="1">IFERROR(__xludf.DUMMYFUNCTION("""COMPUTED_VALUE"""),"shweta.r.gupta79@gmail.com")</f>
        <v>shweta.r.gupta79@gmail.com</v>
      </c>
      <c r="C853" s="1" t="str">
        <f ca="1">IFERROR(__xludf.DUMMYFUNCTION("""COMPUTED_VALUE"""),"Shweta Gupta ")</f>
        <v xml:space="preserve">Shweta Gupta </v>
      </c>
      <c r="D853" s="1">
        <f ca="1">IFERROR(__xludf.DUMMYFUNCTION("""COMPUTED_VALUE"""),8369516724)</f>
        <v>8369516724</v>
      </c>
      <c r="E853" s="1" t="str">
        <f ca="1">IFERROR(__xludf.DUMMYFUNCTION("""COMPUTED_VALUE"""),"Yes")</f>
        <v>Yes</v>
      </c>
      <c r="F853" s="1" t="str">
        <f ca="1">IFERROR(__xludf.DUMMYFUNCTION("""COMPUTED_VALUE"""),"हिन्दी")</f>
        <v>हिन्दी</v>
      </c>
      <c r="G853" s="1" t="str">
        <f ca="1">IFERROR(__xludf.DUMMYFUNCTION("""COMPUTED_VALUE"""),"परिवार निर्माण")</f>
        <v>परिवार निर्माण</v>
      </c>
      <c r="H853" s="1"/>
      <c r="I853" s="1"/>
      <c r="J853" s="1"/>
      <c r="K853" s="1"/>
      <c r="L853" s="1"/>
      <c r="M853" s="1" t="str">
        <f ca="1">IFERROR(__xludf.DUMMYFUNCTION("""COMPUTED_VALUE"""),"बाल मनोविज्ञान")</f>
        <v>बाल मनोविज्ञान</v>
      </c>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f ca="1">IFERROR(__xludf.DUMMYFUNCTION("""COMPUTED_VALUE"""),31)</f>
        <v>31</v>
      </c>
      <c r="BX853" s="1">
        <f ca="1">IFERROR(__xludf.DUMMYFUNCTION("""COMPUTED_VALUE"""),45)</f>
        <v>45</v>
      </c>
      <c r="BY853" s="1">
        <f ca="1">IFERROR(__xludf.DUMMYFUNCTION("""COMPUTED_VALUE"""),3)</f>
        <v>3</v>
      </c>
      <c r="BZ853" s="1">
        <f ca="1">IFERROR(__xludf.DUMMYFUNCTION("""COMPUTED_VALUE"""),40)</f>
        <v>40</v>
      </c>
      <c r="CA853" s="1" t="str">
        <f ca="1">IFERROR(__xludf.DUMMYFUNCTION("""COMPUTED_VALUE"""),"Yes")</f>
        <v>Yes</v>
      </c>
      <c r="CB853" s="5">
        <f ca="1">IFERROR(__xludf.DUMMYFUNCTION("""COMPUTED_VALUE"""),45156.324328912)</f>
        <v>45156.324328912</v>
      </c>
      <c r="CC853" s="1" t="str">
        <f ca="1">IFERROR(__xludf.DUMMYFUNCTION("""COMPUTED_VALUE"""),"भावी महाभारत ईस तरह लडा जाएगा : H_JS_63")</f>
        <v>भावी महाभारत ईस तरह लडा जाएगा : H_JS_63</v>
      </c>
      <c r="CD853" s="3" t="str">
        <f ca="1">IFERROR(__xludf.DUMMYFUNCTION("""COMPUTED_VALUE"""),"https://vicharkrantibooks.org/productdetail?book_name=HINP0161_BHAVI_MAHABHARAT_IS_TARAH_LADA_JAYEGA_xx2011&amp;product_id=726")</f>
        <v>https://vicharkrantibooks.org/productdetail?book_name=HINP0161_BHAVI_MAHABHARAT_IS_TARAH_LADA_JAYEGA_xx2011&amp;product_id=726</v>
      </c>
      <c r="CE853" s="1" t="str">
        <f ca="1">IFERROR(__xludf.DUMMYFUNCTION("""COMPUTED_VALUE"""),"Audiobook : भावी महाभारत ईस तरह लडा जाएगा : H_JS_63 : shweta.r.gupta79@gmail.com : Recorded")</f>
        <v>Audiobook : भावी महाभारत ईस तरह लडा जाएगा : H_JS_63 : shweta.r.gupta79@gmail.com : Recorded</v>
      </c>
      <c r="CF853" s="1" t="str">
        <f ca="1">IFERROR(__xludf.DUMMYFUNCTION("""COMPUTED_VALUE"""),"Audiobook : भावी महाभारत ईस तरह लडा जाएगा : H_JS_63 : shweta.r.gupta79@gmail.com : Recorded")</f>
        <v>Audiobook : भावी महाभारत ईस तरह लडा जाएगा : H_JS_63 : shweta.r.gupta79@gmail.com : Recorded</v>
      </c>
      <c r="CG853" s="1" t="str">
        <f ca="1">IFERROR(__xludf.DUMMYFUNCTION("""COMPUTED_VALUE"""),"Adarniya Shweta Gupta  ji भावी महाभारत ईस तरह लडा जाएगा : H_JS_63 : Allocated on 08-Aug-23 Contact Number  8369516724")</f>
        <v>Adarniya Shweta Gupta  ji भावी महाभारत ईस तरह लडा जाएगा : H_JS_63 : Allocated on 08-Aug-23 Contact Number  8369516724</v>
      </c>
      <c r="CH853" s="1"/>
      <c r="CI853" s="1"/>
    </row>
    <row r="854" spans="1:87" x14ac:dyDescent="0.25">
      <c r="A854" s="5">
        <f ca="1">IFERROR(__xludf.DUMMYFUNCTION("""COMPUTED_VALUE"""),45145.986663125)</f>
        <v>45145.986663124997</v>
      </c>
      <c r="B854" s="1" t="str">
        <f ca="1">IFERROR(__xludf.DUMMYFUNCTION("""COMPUTED_VALUE"""),"pravinathakkar15@gmail.com")</f>
        <v>pravinathakkar15@gmail.com</v>
      </c>
      <c r="C854" s="1" t="str">
        <f ca="1">IFERROR(__xludf.DUMMYFUNCTION("""COMPUTED_VALUE"""),"Pravina B Thakkar ")</f>
        <v xml:space="preserve">Pravina B Thakkar </v>
      </c>
      <c r="D854" s="1"/>
      <c r="E854" s="1" t="str">
        <f ca="1">IFERROR(__xludf.DUMMYFUNCTION("""COMPUTED_VALUE"""),"No")</f>
        <v>No</v>
      </c>
      <c r="F854" s="1" t="str">
        <f ca="1">IFERROR(__xludf.DUMMYFUNCTION("""COMPUTED_VALUE"""),"हिन्दी")</f>
        <v>हिन्दी</v>
      </c>
      <c r="G854" s="1" t="str">
        <f ca="1">IFERROR(__xludf.DUMMYFUNCTION("""COMPUTED_VALUE"""),"भारतीय संस्कृति")</f>
        <v>भारतीय संस्कृति</v>
      </c>
      <c r="H854" s="1"/>
      <c r="I854" s="1"/>
      <c r="J854" s="1"/>
      <c r="K854" s="1"/>
      <c r="L854" s="1"/>
      <c r="M854" s="1"/>
      <c r="N854" s="1"/>
      <c r="O854" s="1" t="str">
        <f ca="1">IFERROR(__xludf.DUMMYFUNCTION("""COMPUTED_VALUE"""),"योग एवं ध्यान")</f>
        <v>योग एवं ध्यान</v>
      </c>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f ca="1">IFERROR(__xludf.DUMMYFUNCTION("""COMPUTED_VALUE"""),6)</f>
        <v>6</v>
      </c>
      <c r="BX854" s="1">
        <f ca="1">IFERROR(__xludf.DUMMYFUNCTION("""COMPUTED_VALUE"""),2)</f>
        <v>2</v>
      </c>
      <c r="BY854" s="1">
        <f ca="1">IFERROR(__xludf.DUMMYFUNCTION("""COMPUTED_VALUE"""),3)</f>
        <v>3</v>
      </c>
      <c r="BZ854" s="1">
        <f ca="1">IFERROR(__xludf.DUMMYFUNCTION("""COMPUTED_VALUE"""),0)</f>
        <v>0</v>
      </c>
      <c r="CA854" s="1" t="str">
        <f ca="1">IFERROR(__xludf.DUMMYFUNCTION("""COMPUTED_VALUE"""),"Yes")</f>
        <v>Yes</v>
      </c>
      <c r="CB854" s="5">
        <f ca="1">IFERROR(__xludf.DUMMYFUNCTION("""COMPUTED_VALUE"""),45155.986663125)</f>
        <v>45155.986663124997</v>
      </c>
      <c r="CC854" s="1" t="str">
        <f ca="1">IFERROR(__xludf.DUMMYFUNCTION("""COMPUTED_VALUE"""),"गायत्री उपासना के चमत्कारी सत्परिणाम : Rare Book")</f>
        <v>गायत्री उपासना के चमत्कारी सत्परिणाम : Rare Book</v>
      </c>
      <c r="CD854" s="3" t="str">
        <f ca="1">IFERROR(__xludf.DUMMYFUNCTION("""COMPUTED_VALUE"""),"https://vicharkrantibooks.org/productdetail?book_name=HINP0295_GAYATRI_UPASANA_KE_CHAMATKARI_SATPARINAM_xx1979&amp;product_id=860")</f>
        <v>https://vicharkrantibooks.org/productdetail?book_name=HINP0295_GAYATRI_UPASANA_KE_CHAMATKARI_SATPARINAM_xx1979&amp;product_id=860</v>
      </c>
      <c r="CE854" s="1" t="str">
        <f ca="1">IFERROR(__xludf.DUMMYFUNCTION("""COMPUTED_VALUE"""),"Audiobook : गायत्री उपासना के चमत्कारी सत्परिणाम : Rare Book : pravinathakkar15@gmail.com : Recorded")</f>
        <v>Audiobook : गायत्री उपासना के चमत्कारी सत्परिणाम : Rare Book : pravinathakkar15@gmail.com : Recorded</v>
      </c>
      <c r="CF854" s="1" t="str">
        <f ca="1">IFERROR(__xludf.DUMMYFUNCTION("""COMPUTED_VALUE"""),"#N/A")</f>
        <v>#N/A</v>
      </c>
      <c r="CG854" s="1" t="str">
        <f ca="1">IFERROR(__xludf.DUMMYFUNCTION("""COMPUTED_VALUE"""),"Adarniya Pravina B Thakkar  ji गायत्री उपासना के चमत्कारी सत्परिणाम : Rare Book : Allocated on 07-Aug-23 Contact Number  ")</f>
        <v xml:space="preserve">Adarniya Pravina B Thakkar  ji गायत्री उपासना के चमत्कारी सत्परिणाम : Rare Book : Allocated on 07-Aug-23 Contact Number  </v>
      </c>
      <c r="CH854" s="1"/>
      <c r="CI854" s="1"/>
    </row>
    <row r="855" spans="1:87" x14ac:dyDescent="0.25">
      <c r="A855" s="5">
        <f ca="1">IFERROR(__xludf.DUMMYFUNCTION("""COMPUTED_VALUE"""),45145.3675963541)</f>
        <v>45145.367596354103</v>
      </c>
      <c r="B855" s="1" t="str">
        <f ca="1">IFERROR(__xludf.DUMMYFUNCTION("""COMPUTED_VALUE"""),"nidhikeshari1543@gmail.com")</f>
        <v>nidhikeshari1543@gmail.com</v>
      </c>
      <c r="C855" s="1" t="str">
        <f ca="1">IFERROR(__xludf.DUMMYFUNCTION("""COMPUTED_VALUE"""),"Nidhi keshari ")</f>
        <v xml:space="preserve">Nidhi keshari </v>
      </c>
      <c r="D855" s="1">
        <f ca="1">IFERROR(__xludf.DUMMYFUNCTION("""COMPUTED_VALUE"""),8871612209)</f>
        <v>8871612209</v>
      </c>
      <c r="E855" s="1" t="str">
        <f ca="1">IFERROR(__xludf.DUMMYFUNCTION("""COMPUTED_VALUE"""),"No")</f>
        <v>No</v>
      </c>
      <c r="F855" s="1" t="str">
        <f ca="1">IFERROR(__xludf.DUMMYFUNCTION("""COMPUTED_VALUE"""),"हिन्दी")</f>
        <v>हिन्दी</v>
      </c>
      <c r="G855" s="1" t="str">
        <f ca="1">IFERROR(__xludf.DUMMYFUNCTION("""COMPUTED_VALUE"""),"परिवार निर्माण")</f>
        <v>परिवार निर्माण</v>
      </c>
      <c r="H855" s="1"/>
      <c r="I855" s="1"/>
      <c r="J855" s="1"/>
      <c r="K855" s="1"/>
      <c r="L855" s="1"/>
      <c r="M855" s="1" t="str">
        <f ca="1">IFERROR(__xludf.DUMMYFUNCTION("""COMPUTED_VALUE"""),"परिवार")</f>
        <v>परिवार</v>
      </c>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f ca="1">IFERROR(__xludf.DUMMYFUNCTION("""COMPUTED_VALUE"""),1)</f>
        <v>1</v>
      </c>
      <c r="BX855" s="1">
        <f ca="1">IFERROR(__xludf.DUMMYFUNCTION("""COMPUTED_VALUE"""),0)</f>
        <v>0</v>
      </c>
      <c r="BY855" s="1">
        <f ca="1">IFERROR(__xludf.DUMMYFUNCTION("""COMPUTED_VALUE"""),1)</f>
        <v>1</v>
      </c>
      <c r="BZ855" s="1">
        <f ca="1">IFERROR(__xludf.DUMMYFUNCTION("""COMPUTED_VALUE"""),0)</f>
        <v>0</v>
      </c>
      <c r="CA855" s="1" t="str">
        <f ca="1">IFERROR(__xludf.DUMMYFUNCTION("""COMPUTED_VALUE"""),"Yes")</f>
        <v>Yes</v>
      </c>
      <c r="CB855" s="5">
        <f ca="1">IFERROR(__xludf.DUMMYFUNCTION("""COMPUTED_VALUE"""),45155.3675963541)</f>
        <v>45155.367596354103</v>
      </c>
      <c r="CC855" s="1" t="str">
        <f ca="1">IFERROR(__xludf.DUMMYFUNCTION("""COMPUTED_VALUE"""),"उज्जवल भविष्य की सुखद संभावनाएँ : Rare Book")</f>
        <v>उज्जवल भविष्य की सुखद संभावनाएँ : Rare Book</v>
      </c>
      <c r="CD855" s="3" t="str">
        <f ca="1">IFERROR(__xludf.DUMMYFUNCTION("""COMPUTED_VALUE"""),"https://vicharkrantibooks.org/productdetail?book_name=HINP0918_UJJVAL_BHAVISHY_KI_SUKHAD_SAMBHAVANAEN_xx1981&amp;product_id=1483")</f>
        <v>https://vicharkrantibooks.org/productdetail?book_name=HINP0918_UJJVAL_BHAVISHY_KI_SUKHAD_SAMBHAVANAEN_xx1981&amp;product_id=1483</v>
      </c>
      <c r="CE855" s="1" t="str">
        <f ca="1">IFERROR(__xludf.DUMMYFUNCTION("""COMPUTED_VALUE"""),"Audiobook : उज्जवल भविष्य की सुखद संभावनाएँ : Rare Book : nidhikeshari1543@gmail.com : Recorded")</f>
        <v>Audiobook : उज्जवल भविष्य की सुखद संभावनाएँ : Rare Book : nidhikeshari1543@gmail.com : Recorded</v>
      </c>
      <c r="CF855" s="1" t="str">
        <f ca="1">IFERROR(__xludf.DUMMYFUNCTION("""COMPUTED_VALUE"""),"#N/A")</f>
        <v>#N/A</v>
      </c>
      <c r="CG855" s="1" t="str">
        <f ca="1">IFERROR(__xludf.DUMMYFUNCTION("""COMPUTED_VALUE"""),"Adarniya Nidhi keshari  ji उज्जवल भविष्य की सुखद संभावनाएँ : Rare Book : Allocated on 07-Aug-23 Contact Number  8871612209")</f>
        <v>Adarniya Nidhi keshari  ji उज्जवल भविष्य की सुखद संभावनाएँ : Rare Book : Allocated on 07-Aug-23 Contact Number  8871612209</v>
      </c>
      <c r="CH855" s="1"/>
      <c r="CI855" s="1"/>
    </row>
    <row r="856" spans="1:87" x14ac:dyDescent="0.25">
      <c r="A856" s="5">
        <f ca="1">IFERROR(__xludf.DUMMYFUNCTION("""COMPUTED_VALUE"""),45144.9494855902)</f>
        <v>45144.949485590201</v>
      </c>
      <c r="B856" s="1" t="str">
        <f ca="1">IFERROR(__xludf.DUMMYFUNCTION("""COMPUTED_VALUE"""),"druma4107@gmail.com")</f>
        <v>druma4107@gmail.com</v>
      </c>
      <c r="C856" s="1" t="str">
        <f ca="1">IFERROR(__xludf.DUMMYFUNCTION("""COMPUTED_VALUE"""),"Dr Uma Agrawal")</f>
        <v>Dr Uma Agrawal</v>
      </c>
      <c r="D856" s="1">
        <f ca="1">IFERROR(__xludf.DUMMYFUNCTION("""COMPUTED_VALUE"""),9410861182)</f>
        <v>9410861182</v>
      </c>
      <c r="E856" s="1" t="str">
        <f ca="1">IFERROR(__xludf.DUMMYFUNCTION("""COMPUTED_VALUE"""),"Yes")</f>
        <v>Yes</v>
      </c>
      <c r="F856" s="1" t="str">
        <f ca="1">IFERROR(__xludf.DUMMYFUNCTION("""COMPUTED_VALUE"""),"हिन्दी")</f>
        <v>हिन्दी</v>
      </c>
      <c r="G856" s="1" t="str">
        <f ca="1">IFERROR(__xludf.DUMMYFUNCTION("""COMPUTED_VALUE"""),"व्यक्ति निर्माण, युवा/विद्यार्थी एवं शिक्षक")</f>
        <v>व्यक्ति निर्माण, युवा/विद्यार्थी एवं शिक्षक</v>
      </c>
      <c r="H856" s="1"/>
      <c r="I856" s="1"/>
      <c r="J856" s="1"/>
      <c r="K856" s="1"/>
      <c r="L856" s="1"/>
      <c r="M856" s="1"/>
      <c r="N856" s="1"/>
      <c r="O856" s="1"/>
      <c r="P856" s="1"/>
      <c r="Q856" s="1"/>
      <c r="R856" s="1"/>
      <c r="S856" s="1"/>
      <c r="T856" s="1" t="str">
        <f ca="1">IFERROR(__xludf.DUMMYFUNCTION("""COMPUTED_VALUE"""),"विद्यार्थी एवं शिक्षक")</f>
        <v>विद्यार्थी एवं शिक्षक</v>
      </c>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f ca="1">IFERROR(__xludf.DUMMYFUNCTION("""COMPUTED_VALUE"""),104)</f>
        <v>104</v>
      </c>
      <c r="BX856" s="1">
        <f ca="1">IFERROR(__xludf.DUMMYFUNCTION("""COMPUTED_VALUE"""),106)</f>
        <v>106</v>
      </c>
      <c r="BY856" s="1">
        <f ca="1">IFERROR(__xludf.DUMMYFUNCTION("""COMPUTED_VALUE"""),9)</f>
        <v>9</v>
      </c>
      <c r="BZ856" s="1">
        <f ca="1">IFERROR(__xludf.DUMMYFUNCTION("""COMPUTED_VALUE"""),43)</f>
        <v>43</v>
      </c>
      <c r="CA856" s="1" t="str">
        <f ca="1">IFERROR(__xludf.DUMMYFUNCTION("""COMPUTED_VALUE"""),"Yes")</f>
        <v>Yes</v>
      </c>
      <c r="CB856" s="5">
        <f ca="1">IFERROR(__xludf.DUMMYFUNCTION("""COMPUTED_VALUE"""),45154.9494855902)</f>
        <v>45154.949485590201</v>
      </c>
      <c r="CC856" s="1" t="str">
        <f ca="1">IFERROR(__xludf.DUMMYFUNCTION("""COMPUTED_VALUE"""),"अनुशासित छात्र ही प्रगतिशील समाज के कर्णधार : Rare Book")</f>
        <v>अनुशासित छात्र ही प्रगतिशील समाज के कर्णधार : Rare Book</v>
      </c>
      <c r="CD856" s="3" t="str">
        <f ca="1">IFERROR(__xludf.DUMMYFUNCTION("""COMPUTED_VALUE"""),"https://vicharkrantibooks.org/productdetail?book_name=HINP0054_ANUSHASIT_CHHATR_HI_PRAGATISHIL_SAMAJ_KE_KARNDHAR_xx1981&amp;product_id=619")</f>
        <v>https://vicharkrantibooks.org/productdetail?book_name=HINP0054_ANUSHASIT_CHHATR_HI_PRAGATISHIL_SAMAJ_KE_KARNDHAR_xx1981&amp;product_id=619</v>
      </c>
      <c r="CE856" s="1" t="str">
        <f ca="1">IFERROR(__xludf.DUMMYFUNCTION("""COMPUTED_VALUE"""),"Audiobook : अनुशासित छात्र ही प्रगतिशील समाज के कर्णधार : Rare Book : druma4107@gmail.com : Recorded")</f>
        <v>Audiobook : अनुशासित छात्र ही प्रगतिशील समाज के कर्णधार : Rare Book : druma4107@gmail.com : Recorded</v>
      </c>
      <c r="CF856" s="1" t="str">
        <f ca="1">IFERROR(__xludf.DUMMYFUNCTION("""COMPUTED_VALUE"""),"Audiobook : अनुशासित छात्र ही प्रगतिशील समाज के कर्णधार : Rare Book : druma4107@gmail.com : Recorded")</f>
        <v>Audiobook : अनुशासित छात्र ही प्रगतिशील समाज के कर्णधार : Rare Book : druma4107@gmail.com : Recorded</v>
      </c>
      <c r="CG856" s="1" t="str">
        <f ca="1">IFERROR(__xludf.DUMMYFUNCTION("""COMPUTED_VALUE"""),"Adarniya Dr Uma Agrawal ji अनुशासित छात्र ही प्रगतिशील समाज के कर्णधार : Rare Book : Allocated on 06-Aug-23 Contact Number  9410861182")</f>
        <v>Adarniya Dr Uma Agrawal ji अनुशासित छात्र ही प्रगतिशील समाज के कर्णधार : Rare Book : Allocated on 06-Aug-23 Contact Number  9410861182</v>
      </c>
      <c r="CH856" s="1"/>
      <c r="CI856" s="1"/>
    </row>
    <row r="857" spans="1:87" x14ac:dyDescent="0.25">
      <c r="A857" s="5">
        <f ca="1">IFERROR(__xludf.DUMMYFUNCTION("""COMPUTED_VALUE"""),45144.9135879861)</f>
        <v>45144.913587986099</v>
      </c>
      <c r="B857" s="1" t="str">
        <f ca="1">IFERROR(__xludf.DUMMYFUNCTION("""COMPUTED_VALUE"""),"spmittalmumbai@gmail.com")</f>
        <v>spmittalmumbai@gmail.com</v>
      </c>
      <c r="C857" s="1" t="str">
        <f ca="1">IFERROR(__xludf.DUMMYFUNCTION("""COMPUTED_VALUE"""),"S.P.Mittal986")</f>
        <v>S.P.Mittal986</v>
      </c>
      <c r="D857" s="1">
        <f ca="1">IFERROR(__xludf.DUMMYFUNCTION("""COMPUTED_VALUE"""),9860003407)</f>
        <v>9860003407</v>
      </c>
      <c r="E857" s="1" t="str">
        <f ca="1">IFERROR(__xludf.DUMMYFUNCTION("""COMPUTED_VALUE"""),"Yes")</f>
        <v>Yes</v>
      </c>
      <c r="F857" s="1" t="str">
        <f ca="1">IFERROR(__xludf.DUMMYFUNCTION("""COMPUTED_VALUE"""),"हिन्दी")</f>
        <v>हिन्दी</v>
      </c>
      <c r="G857" s="1" t="str">
        <f ca="1">IFERROR(__xludf.DUMMYFUNCTION("""COMPUTED_VALUE"""),"समाज निर्माण")</f>
        <v>समाज निर्माण</v>
      </c>
      <c r="H857" s="1"/>
      <c r="I857" s="1"/>
      <c r="J857" s="1"/>
      <c r="K857" s="1"/>
      <c r="L857" s="1"/>
      <c r="M857" s="1"/>
      <c r="N857" s="1"/>
      <c r="O857" s="1"/>
      <c r="P857" s="1"/>
      <c r="Q857" s="1"/>
      <c r="R857" s="1"/>
      <c r="S857" s="1"/>
      <c r="T857" s="1"/>
      <c r="U857" s="1"/>
      <c r="V857" s="1" t="str">
        <f ca="1">IFERROR(__xludf.DUMMYFUNCTION("""COMPUTED_VALUE"""),"समाज निर्माण")</f>
        <v>समाज निर्माण</v>
      </c>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f ca="1">IFERROR(__xludf.DUMMYFUNCTION("""COMPUTED_VALUE"""),39)</f>
        <v>39</v>
      </c>
      <c r="BX857" s="1">
        <f ca="1">IFERROR(__xludf.DUMMYFUNCTION("""COMPUTED_VALUE"""),32)</f>
        <v>32</v>
      </c>
      <c r="BY857" s="1">
        <f ca="1">IFERROR(__xludf.DUMMYFUNCTION("""COMPUTED_VALUE"""),11)</f>
        <v>11</v>
      </c>
      <c r="BZ857" s="1">
        <f ca="1">IFERROR(__xludf.DUMMYFUNCTION("""COMPUTED_VALUE"""),23)</f>
        <v>23</v>
      </c>
      <c r="CA857" s="1" t="str">
        <f ca="1">IFERROR(__xludf.DUMMYFUNCTION("""COMPUTED_VALUE"""),"Yes")</f>
        <v>Yes</v>
      </c>
      <c r="CB857" s="5">
        <f ca="1">IFERROR(__xludf.DUMMYFUNCTION("""COMPUTED_VALUE"""),45154.9135879861)</f>
        <v>45154.913587986099</v>
      </c>
      <c r="CC857" s="1" t="str">
        <f ca="1">IFERROR(__xludf.DUMMYFUNCTION("""COMPUTED_VALUE"""),"आधुनिकता की दौड में नारी आदर्शो से न गिरे : H_PP_48")</f>
        <v>आधुनिकता की दौड में नारी आदर्शो से न गिरे : H_PP_48</v>
      </c>
      <c r="CD857" s="3" t="str">
        <f ca="1">IFERROR(__xludf.DUMMYFUNCTION("""COMPUTED_VALUE"""),"https://vicharkrantibooks.org/productdetail?book_name=HINP0009_ADHUNIKATA_KI_DAUD_MEIN_NARI_ADARSHON_SE_NA_GIRE_xxyyyy&amp;product_id=574")</f>
        <v>https://vicharkrantibooks.org/productdetail?book_name=HINP0009_ADHUNIKATA_KI_DAUD_MEIN_NARI_ADARSHON_SE_NA_GIRE_xxyyyy&amp;product_id=574</v>
      </c>
      <c r="CE857" s="1" t="str">
        <f ca="1">IFERROR(__xludf.DUMMYFUNCTION("""COMPUTED_VALUE"""),"Audiobook : आधुनिकता की दौड में नारी आदर्शो से न गिरे : H_PP_48 : spmittalmumbai@gmail.com : Recorded")</f>
        <v>Audiobook : आधुनिकता की दौड में नारी आदर्शो से न गिरे : H_PP_48 : spmittalmumbai@gmail.com : Recorded</v>
      </c>
      <c r="CF857" s="1" t="str">
        <f ca="1">IFERROR(__xludf.DUMMYFUNCTION("""COMPUTED_VALUE"""),"Audiobook : आधुनिकता की दौड में नारी आदर्शो से न गिरे : H_PP_48 : spmittalmumbai@gmail.com : Recorded")</f>
        <v>Audiobook : आधुनिकता की दौड में नारी आदर्शो से न गिरे : H_PP_48 : spmittalmumbai@gmail.com : Recorded</v>
      </c>
      <c r="CG857" s="1" t="str">
        <f ca="1">IFERROR(__xludf.DUMMYFUNCTION("""COMPUTED_VALUE"""),"Adarniya S.P.Mittal986 ji आधुनिकता की दौड में नारी आदर्शो से न गिरे : H_PP_48 : Allocated on 06-Aug-23 Contact Number  9860003407")</f>
        <v>Adarniya S.P.Mittal986 ji आधुनिकता की दौड में नारी आदर्शो से न गिरे : H_PP_48 : Allocated on 06-Aug-23 Contact Number  9860003407</v>
      </c>
      <c r="CH857" s="1"/>
      <c r="CI857" s="1"/>
    </row>
    <row r="858" spans="1:87" x14ac:dyDescent="0.25">
      <c r="A858" s="5">
        <f ca="1">IFERROR(__xludf.DUMMYFUNCTION("""COMPUTED_VALUE"""),45141.7459567476)</f>
        <v>45141.745956747603</v>
      </c>
      <c r="B858" s="1" t="str">
        <f ca="1">IFERROR(__xludf.DUMMYFUNCTION("""COMPUTED_VALUE"""),"anita7sinha@gmail.com")</f>
        <v>anita7sinha@gmail.com</v>
      </c>
      <c r="C858" s="1" t="str">
        <f ca="1">IFERROR(__xludf.DUMMYFUNCTION("""COMPUTED_VALUE"""),"अनीता सिन्हा")</f>
        <v>अनीता सिन्हा</v>
      </c>
      <c r="D858" s="1">
        <f ca="1">IFERROR(__xludf.DUMMYFUNCTION("""COMPUTED_VALUE"""),9871341370)</f>
        <v>9871341370</v>
      </c>
      <c r="E858" s="1" t="str">
        <f ca="1">IFERROR(__xludf.DUMMYFUNCTION("""COMPUTED_VALUE"""),"No")</f>
        <v>No</v>
      </c>
      <c r="F858" s="1" t="str">
        <f ca="1">IFERROR(__xludf.DUMMYFUNCTION("""COMPUTED_VALUE"""),"English")</f>
        <v>English</v>
      </c>
      <c r="G858" s="1" t="str">
        <f ca="1">IFERROR(__xludf.DUMMYFUNCTION("""COMPUTED_VALUE"""),"English")</f>
        <v>English</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f ca="1">IFERROR(__xludf.DUMMYFUNCTION("""COMPUTED_VALUE"""),3)</f>
        <v>3</v>
      </c>
      <c r="BX858" s="1">
        <f ca="1">IFERROR(__xludf.DUMMYFUNCTION("""COMPUTED_VALUE"""),2)</f>
        <v>2</v>
      </c>
      <c r="BY858" s="1">
        <f ca="1">IFERROR(__xludf.DUMMYFUNCTION("""COMPUTED_VALUE"""),1)</f>
        <v>1</v>
      </c>
      <c r="BZ858" s="1">
        <f ca="1">IFERROR(__xludf.DUMMYFUNCTION("""COMPUTED_VALUE"""),0)</f>
        <v>0</v>
      </c>
      <c r="CA858" s="1" t="str">
        <f ca="1">IFERROR(__xludf.DUMMYFUNCTION("""COMPUTED_VALUE"""),"Yes")</f>
        <v>Yes</v>
      </c>
      <c r="CB858" s="5">
        <f ca="1">IFERROR(__xludf.DUMMYFUNCTION("""COMPUTED_VALUE"""),45151.7459567476)</f>
        <v>45151.745956747603</v>
      </c>
      <c r="CC858" s="1" t="str">
        <f ca="1">IFERROR(__xludf.DUMMYFUNCTION("""COMPUTED_VALUE"""),"Gayatri Sadhana Why And How : EP_29")</f>
        <v>Gayatri Sadhana Why And How : EP_29</v>
      </c>
      <c r="CD858" s="3" t="str">
        <f ca="1">IFERROR(__xludf.DUMMYFUNCTION("""COMPUTED_VALUE"""),"http://literature.awgp.org/book/Gayatri_Sadhana_Why_How/v2")</f>
        <v>http://literature.awgp.org/book/Gayatri_Sadhana_Why_How/v2</v>
      </c>
      <c r="CE858" s="1" t="str">
        <f ca="1">IFERROR(__xludf.DUMMYFUNCTION("""COMPUTED_VALUE"""),"Audiobook : Gayatri Sadhana Why And How : EP_29 : anita7sinha@gmail.com : Recorded")</f>
        <v>Audiobook : Gayatri Sadhana Why And How : EP_29 : anita7sinha@gmail.com : Recorded</v>
      </c>
      <c r="CF858" s="1" t="str">
        <f ca="1">IFERROR(__xludf.DUMMYFUNCTION("""COMPUTED_VALUE"""),"Audiobook : Gayatri Sadhana Why And How : EP_29 : anita7sinha@gmail.com : Recorded")</f>
        <v>Audiobook : Gayatri Sadhana Why And How : EP_29 : anita7sinha@gmail.com : Recorded</v>
      </c>
      <c r="CG858" s="1" t="str">
        <f ca="1">IFERROR(__xludf.DUMMYFUNCTION("""COMPUTED_VALUE"""),"Adarniya अनीता सिन्हा ji Gayatri Sadhana Why And How : EP_29 : Allocated on 03-Aug-23 Contact Number  9871341370")</f>
        <v>Adarniya अनीता सिन्हा ji Gayatri Sadhana Why And How : EP_29 : Allocated on 03-Aug-23 Contact Number  9871341370</v>
      </c>
      <c r="CH858" s="1"/>
      <c r="CI858" s="1"/>
    </row>
    <row r="859" spans="1:87" x14ac:dyDescent="0.25">
      <c r="A859" s="5">
        <f ca="1">IFERROR(__xludf.DUMMYFUNCTION("""COMPUTED_VALUE"""),45141.6423139236)</f>
        <v>45141.642313923599</v>
      </c>
      <c r="B859" s="1" t="str">
        <f ca="1">IFERROR(__xludf.DUMMYFUNCTION("""COMPUTED_VALUE"""),"rashmi0363@gmail.com")</f>
        <v>rashmi0363@gmail.com</v>
      </c>
      <c r="C859" s="1" t="str">
        <f ca="1">IFERROR(__xludf.DUMMYFUNCTION("""COMPUTED_VALUE"""),"Rashmi Sinha ")</f>
        <v xml:space="preserve">Rashmi Sinha </v>
      </c>
      <c r="D859" s="1">
        <f ca="1">IFERROR(__xludf.DUMMYFUNCTION("""COMPUTED_VALUE"""),9212688575)</f>
        <v>9212688575</v>
      </c>
      <c r="E859" s="1" t="str">
        <f ca="1">IFERROR(__xludf.DUMMYFUNCTION("""COMPUTED_VALUE"""),"No")</f>
        <v>No</v>
      </c>
      <c r="F859" s="1" t="str">
        <f ca="1">IFERROR(__xludf.DUMMYFUNCTION("""COMPUTED_VALUE"""),"हिन्दी")</f>
        <v>हिन्दी</v>
      </c>
      <c r="G859" s="1" t="str">
        <f ca="1">IFERROR(__xludf.DUMMYFUNCTION("""COMPUTED_VALUE"""),"भारतीय संस्कृति")</f>
        <v>भारतीय संस्कृति</v>
      </c>
      <c r="H859" s="1"/>
      <c r="I859" s="1"/>
      <c r="J859" s="1"/>
      <c r="K859" s="1"/>
      <c r="L859" s="1"/>
      <c r="M859" s="1"/>
      <c r="N859" s="1"/>
      <c r="O859" s="1" t="str">
        <f ca="1">IFERROR(__xludf.DUMMYFUNCTION("""COMPUTED_VALUE"""),"यज्ञ")</f>
        <v>यज्ञ</v>
      </c>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f ca="1">IFERROR(__xludf.DUMMYFUNCTION("""COMPUTED_VALUE"""),8)</f>
        <v>8</v>
      </c>
      <c r="BX859" s="1">
        <f ca="1">IFERROR(__xludf.DUMMYFUNCTION("""COMPUTED_VALUE"""),11)</f>
        <v>11</v>
      </c>
      <c r="BY859" s="1">
        <f ca="1">IFERROR(__xludf.DUMMYFUNCTION("""COMPUTED_VALUE"""),1)</f>
        <v>1</v>
      </c>
      <c r="BZ859" s="1">
        <f ca="1">IFERROR(__xludf.DUMMYFUNCTION("""COMPUTED_VALUE"""),5)</f>
        <v>5</v>
      </c>
      <c r="CA859" s="1" t="str">
        <f ca="1">IFERROR(__xludf.DUMMYFUNCTION("""COMPUTED_VALUE"""),"Yes")</f>
        <v>Yes</v>
      </c>
      <c r="CB859" s="5">
        <f ca="1">IFERROR(__xludf.DUMMYFUNCTION("""COMPUTED_VALUE"""),45151.6423139236)</f>
        <v>45151.642313923599</v>
      </c>
      <c r="CC859" s="1" t="str">
        <f ca="1">IFERROR(__xludf.DUMMYFUNCTION("""COMPUTED_VALUE"""),"दैवीय सभ्यता का विस्तार करें : H_JS_75")</f>
        <v>दैवीय सभ्यता का विस्तार करें : H_JS_75</v>
      </c>
      <c r="CD859" s="3" t="str">
        <f ca="1">IFERROR(__xludf.DUMMYFUNCTION("""COMPUTED_VALUE"""),"https://vicharkrantibooks.org/productdetail?book_name=HINP0201_DAIVIY_SABHYATA_KA_VISTAR_KAREN_xx2011&amp;product_id=766")</f>
        <v>https://vicharkrantibooks.org/productdetail?book_name=HINP0201_DAIVIY_SABHYATA_KA_VISTAR_KAREN_xx2011&amp;product_id=766</v>
      </c>
      <c r="CE859" s="1" t="str">
        <f ca="1">IFERROR(__xludf.DUMMYFUNCTION("""COMPUTED_VALUE"""),"Audiobook : दैवीय सभ्यता का विस्तार करें : H_JS_75 : rashmi0363@gmail.com : Recorded")</f>
        <v>Audiobook : दैवीय सभ्यता का विस्तार करें : H_JS_75 : rashmi0363@gmail.com : Recorded</v>
      </c>
      <c r="CF859" s="1" t="str">
        <f ca="1">IFERROR(__xludf.DUMMYFUNCTION("""COMPUTED_VALUE"""),"Audiobook : दैवीय सभ्यता का विस्तार करें : H_JS_75 : rashmi0363@gmail.com : Recorded")</f>
        <v>Audiobook : दैवीय सभ्यता का विस्तार करें : H_JS_75 : rashmi0363@gmail.com : Recorded</v>
      </c>
      <c r="CG859" s="1" t="str">
        <f ca="1">IFERROR(__xludf.DUMMYFUNCTION("""COMPUTED_VALUE"""),"Adarniya Rashmi Sinha  ji दैवीय सभ्यता का विस्तार करें : H_JS_75 : Allocated on 03-Aug-23 Contact Number  9212688575")</f>
        <v>Adarniya Rashmi Sinha  ji दैवीय सभ्यता का विस्तार करें : H_JS_75 : Allocated on 03-Aug-23 Contact Number  9212688575</v>
      </c>
      <c r="CH859" s="1"/>
      <c r="CI859" s="1"/>
    </row>
    <row r="860" spans="1:87" x14ac:dyDescent="0.25">
      <c r="A860" s="5">
        <f ca="1">IFERROR(__xludf.DUMMYFUNCTION("""COMPUTED_VALUE"""),45141.5825265046)</f>
        <v>45141.582526504601</v>
      </c>
      <c r="B860" s="1" t="str">
        <f ca="1">IFERROR(__xludf.DUMMYFUNCTION("""COMPUTED_VALUE"""),"rajnivarma24.vns@gmail.com")</f>
        <v>rajnivarma24.vns@gmail.com</v>
      </c>
      <c r="C860" s="1" t="str">
        <f ca="1">IFERROR(__xludf.DUMMYFUNCTION("""COMPUTED_VALUE"""),"Rajni varma")</f>
        <v>Rajni varma</v>
      </c>
      <c r="D860" s="1">
        <f ca="1">IFERROR(__xludf.DUMMYFUNCTION("""COMPUTED_VALUE"""),9335661433)</f>
        <v>9335661433</v>
      </c>
      <c r="E860" s="1" t="str">
        <f ca="1">IFERROR(__xludf.DUMMYFUNCTION("""COMPUTED_VALUE"""),"No")</f>
        <v>No</v>
      </c>
      <c r="F860" s="1" t="str">
        <f ca="1">IFERROR(__xludf.DUMMYFUNCTION("""COMPUTED_VALUE"""),"हिन्दी")</f>
        <v>हिन्दी</v>
      </c>
      <c r="G860" s="1" t="str">
        <f ca="1">IFERROR(__xludf.DUMMYFUNCTION("""COMPUTED_VALUE"""),"अध्यात्म, धर्म एवं दर्शन")</f>
        <v>अध्यात्म, धर्म एवं दर्शन</v>
      </c>
      <c r="H860" s="1" t="str">
        <f ca="1">IFERROR(__xludf.DUMMYFUNCTION("""COMPUTED_VALUE"""),"अध्यात्म, धर्म एवं आस्तिकता")</f>
        <v>अध्यात्म, धर्म एवं आस्तिकता</v>
      </c>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f ca="1">IFERROR(__xludf.DUMMYFUNCTION("""COMPUTED_VALUE"""),30)</f>
        <v>30</v>
      </c>
      <c r="BX860" s="1">
        <f ca="1">IFERROR(__xludf.DUMMYFUNCTION("""COMPUTED_VALUE"""),25)</f>
        <v>25</v>
      </c>
      <c r="BY860" s="1">
        <f ca="1">IFERROR(__xludf.DUMMYFUNCTION("""COMPUTED_VALUE"""),7)</f>
        <v>7</v>
      </c>
      <c r="BZ860" s="1">
        <f ca="1">IFERROR(__xludf.DUMMYFUNCTION("""COMPUTED_VALUE"""),7)</f>
        <v>7</v>
      </c>
      <c r="CA860" s="1" t="str">
        <f ca="1">IFERROR(__xludf.DUMMYFUNCTION("""COMPUTED_VALUE"""),"Yes")</f>
        <v>Yes</v>
      </c>
      <c r="CB860" s="5">
        <f ca="1">IFERROR(__xludf.DUMMYFUNCTION("""COMPUTED_VALUE"""),45151.5825265046)</f>
        <v>45151.582526504601</v>
      </c>
      <c r="CC860" s="1" t="str">
        <f ca="1">IFERROR(__xludf.DUMMYFUNCTION("""COMPUTED_VALUE"""),"धर्मतंत्र द्वरा लोकशिक्षण : H_JS_30")</f>
        <v>धर्मतंत्र द्वरा लोकशिक्षण : H_JS_30</v>
      </c>
      <c r="CD860" s="3" t="str">
        <f ca="1">IFERROR(__xludf.DUMMYFUNCTION("""COMPUTED_VALUE"""),"https://vicharkrantibooks.org/productdetail?book_name=HINP0242_DHARMATANTR_DVARA_LOKASHIKSHAN_xx2011&amp;product_id=807")</f>
        <v>https://vicharkrantibooks.org/productdetail?book_name=HINP0242_DHARMATANTR_DVARA_LOKASHIKSHAN_xx2011&amp;product_id=807</v>
      </c>
      <c r="CE860" s="1" t="str">
        <f ca="1">IFERROR(__xludf.DUMMYFUNCTION("""COMPUTED_VALUE"""),"Audiobook : धर्मतंत्र द्वरा लोकशिक्षण : H_JS_30 : rajnivarma24.vns@gmail.com : Recorded")</f>
        <v>Audiobook : धर्मतंत्र द्वरा लोकशिक्षण : H_JS_30 : rajnivarma24.vns@gmail.com : Recorded</v>
      </c>
      <c r="CF860" s="1" t="str">
        <f ca="1">IFERROR(__xludf.DUMMYFUNCTION("""COMPUTED_VALUE"""),"Audiobook : धर्मतंत्र द्वरा लोकशिक्षण : H_JS_30 : rajnivarma24.vns@gmail.com : Recorded")</f>
        <v>Audiobook : धर्मतंत्र द्वरा लोकशिक्षण : H_JS_30 : rajnivarma24.vns@gmail.com : Recorded</v>
      </c>
      <c r="CG860" s="1" t="str">
        <f ca="1">IFERROR(__xludf.DUMMYFUNCTION("""COMPUTED_VALUE"""),"Adarniya Rajni varma ji धर्मतंत्र द्वरा लोकशिक्षण : H_JS_30 : Allocated on 03-Aug-23 Contact Number  9335661433")</f>
        <v>Adarniya Rajni varma ji धर्मतंत्र द्वरा लोकशिक्षण : H_JS_30 : Allocated on 03-Aug-23 Contact Number  9335661433</v>
      </c>
      <c r="CH860" s="1"/>
      <c r="CI860" s="1"/>
    </row>
    <row r="861" spans="1:87" x14ac:dyDescent="0.25">
      <c r="A861" s="5">
        <f ca="1">IFERROR(__xludf.DUMMYFUNCTION("""COMPUTED_VALUE"""),45141.3370542361)</f>
        <v>45141.337054236101</v>
      </c>
      <c r="B861" s="1" t="str">
        <f ca="1">IFERROR(__xludf.DUMMYFUNCTION("""COMPUTED_VALUE"""),"vandanarastogi@gmail.com")</f>
        <v>vandanarastogi@gmail.com</v>
      </c>
      <c r="C861" s="1" t="str">
        <f ca="1">IFERROR(__xludf.DUMMYFUNCTION("""COMPUTED_VALUE"""),"Vandana Rastogi ")</f>
        <v xml:space="preserve">Vandana Rastogi </v>
      </c>
      <c r="D861" s="1">
        <f ca="1">IFERROR(__xludf.DUMMYFUNCTION("""COMPUTED_VALUE"""),9359528684)</f>
        <v>9359528684</v>
      </c>
      <c r="E861" s="1" t="str">
        <f ca="1">IFERROR(__xludf.DUMMYFUNCTION("""COMPUTED_VALUE"""),"Yes")</f>
        <v>Yes</v>
      </c>
      <c r="F861" s="1" t="str">
        <f ca="1">IFERROR(__xludf.DUMMYFUNCTION("""COMPUTED_VALUE"""),"हिन्दी")</f>
        <v>हिन्दी</v>
      </c>
      <c r="G861" s="1" t="str">
        <f ca="1">IFERROR(__xludf.DUMMYFUNCTION("""COMPUTED_VALUE"""),"समग्र स्वास्थ्य")</f>
        <v>समग्र स्वास्थ्य</v>
      </c>
      <c r="H861" s="1"/>
      <c r="I861" s="1"/>
      <c r="J861" s="1"/>
      <c r="K861" s="1"/>
      <c r="L861" s="1"/>
      <c r="M861" s="1"/>
      <c r="N861" s="1"/>
      <c r="O861" s="1"/>
      <c r="P861" s="1"/>
      <c r="Q861" s="1"/>
      <c r="R861" s="1"/>
      <c r="S861" s="1"/>
      <c r="T861" s="1"/>
      <c r="U861" s="1" t="str">
        <f ca="1">IFERROR(__xludf.DUMMYFUNCTION("""COMPUTED_VALUE"""),"स्वास्थ्य संवर्धन")</f>
        <v>स्वास्थ्य संवर्धन</v>
      </c>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f ca="1">IFERROR(__xludf.DUMMYFUNCTION("""COMPUTED_VALUE"""),3)</f>
        <v>3</v>
      </c>
      <c r="BX861" s="1">
        <f ca="1">IFERROR(__xludf.DUMMYFUNCTION("""COMPUTED_VALUE"""),0)</f>
        <v>0</v>
      </c>
      <c r="BY861" s="1">
        <f ca="1">IFERROR(__xludf.DUMMYFUNCTION("""COMPUTED_VALUE"""),3)</f>
        <v>3</v>
      </c>
      <c r="BZ861" s="1">
        <f ca="1">IFERROR(__xludf.DUMMYFUNCTION("""COMPUTED_VALUE"""),0)</f>
        <v>0</v>
      </c>
      <c r="CA861" s="1" t="str">
        <f ca="1">IFERROR(__xludf.DUMMYFUNCTION("""COMPUTED_VALUE"""),"Yes")</f>
        <v>Yes</v>
      </c>
      <c r="CB861" s="5">
        <f ca="1">IFERROR(__xludf.DUMMYFUNCTION("""COMPUTED_VALUE"""),45151.3370542361)</f>
        <v>45151.337054236101</v>
      </c>
      <c r="CC861" s="1" t="str">
        <f ca="1">IFERROR(__xludf.DUMMYFUNCTION("""COMPUTED_VALUE"""),"काया की आंतरिक संरचना : Rare Book")</f>
        <v>काया की आंतरिक संरचना : Rare Book</v>
      </c>
      <c r="CD861" s="3" t="str">
        <f ca="1">IFERROR(__xludf.DUMMYFUNCTION("""COMPUTED_VALUE"""),"https://vicharkrantibooks.org/productdetail?book_name=HINP0432_KAYA_KI_ANTARIK_SANRACHANA_xxyyyy&amp;product_id=997")</f>
        <v>https://vicharkrantibooks.org/productdetail?book_name=HINP0432_KAYA_KI_ANTARIK_SANRACHANA_xxyyyy&amp;product_id=997</v>
      </c>
      <c r="CE861" s="1" t="str">
        <f ca="1">IFERROR(__xludf.DUMMYFUNCTION("""COMPUTED_VALUE"""),"Audiobook : काया की आंतरिक संरचना : Rare Book : vandanarastogi@gmail.com : Recorded")</f>
        <v>Audiobook : काया की आंतरिक संरचना : Rare Book : vandanarastogi@gmail.com : Recorded</v>
      </c>
      <c r="CF861" s="1" t="str">
        <f ca="1">IFERROR(__xludf.DUMMYFUNCTION("""COMPUTED_VALUE"""),"#N/A")</f>
        <v>#N/A</v>
      </c>
      <c r="CG861" s="1" t="str">
        <f ca="1">IFERROR(__xludf.DUMMYFUNCTION("""COMPUTED_VALUE"""),"Adarniya Vandana Rastogi  ji काया की आंतरिक संरचना : Rare Book : Allocated on 03-Aug-23 Contact Number  9359528684")</f>
        <v>Adarniya Vandana Rastogi  ji काया की आंतरिक संरचना : Rare Book : Allocated on 03-Aug-23 Contact Number  9359528684</v>
      </c>
      <c r="CH861" s="1"/>
      <c r="CI861" s="1"/>
    </row>
    <row r="862" spans="1:87" x14ac:dyDescent="0.25">
      <c r="A862" s="5">
        <f ca="1">IFERROR(__xludf.DUMMYFUNCTION("""COMPUTED_VALUE"""),45140.8088439351)</f>
        <v>45140.808843935098</v>
      </c>
      <c r="B862" s="1" t="str">
        <f ca="1">IFERROR(__xludf.DUMMYFUNCTION("""COMPUTED_VALUE"""),"savita.dubey@gmail.com")</f>
        <v>savita.dubey@gmail.com</v>
      </c>
      <c r="C862" s="1" t="str">
        <f ca="1">IFERROR(__xludf.DUMMYFUNCTION("""COMPUTED_VALUE"""),"Savita")</f>
        <v>Savita</v>
      </c>
      <c r="D862" s="1">
        <f ca="1">IFERROR(__xludf.DUMMYFUNCTION("""COMPUTED_VALUE"""),4692640779)</f>
        <v>4692640779</v>
      </c>
      <c r="E862" s="1" t="str">
        <f ca="1">IFERROR(__xludf.DUMMYFUNCTION("""COMPUTED_VALUE"""),"Yes")</f>
        <v>Yes</v>
      </c>
      <c r="F862" s="1" t="str">
        <f ca="1">IFERROR(__xludf.DUMMYFUNCTION("""COMPUTED_VALUE"""),"हिन्दी or English")</f>
        <v>हिन्दी or English</v>
      </c>
      <c r="G862" s="1" t="str">
        <f ca="1">IFERROR(__xludf.DUMMYFUNCTION("""COMPUTED_VALUE"""),"भारतीय संस्कृति")</f>
        <v>भारतीय संस्कृति</v>
      </c>
      <c r="H862" s="1"/>
      <c r="I862" s="1"/>
      <c r="J862" s="1"/>
      <c r="K862" s="1"/>
      <c r="L862" s="1"/>
      <c r="M862" s="1"/>
      <c r="N862" s="1"/>
      <c r="O862" s="1" t="str">
        <f ca="1">IFERROR(__xludf.DUMMYFUNCTION("""COMPUTED_VALUE"""),"योग एवं ध्यान")</f>
        <v>योग एवं ध्यान</v>
      </c>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f ca="1">IFERROR(__xludf.DUMMYFUNCTION("""COMPUTED_VALUE"""),9)</f>
        <v>9</v>
      </c>
      <c r="BX862" s="1">
        <f ca="1">IFERROR(__xludf.DUMMYFUNCTION("""COMPUTED_VALUE"""),10)</f>
        <v>10</v>
      </c>
      <c r="BY862" s="1">
        <f ca="1">IFERROR(__xludf.DUMMYFUNCTION("""COMPUTED_VALUE"""),3)</f>
        <v>3</v>
      </c>
      <c r="BZ862" s="1">
        <f ca="1">IFERROR(__xludf.DUMMYFUNCTION("""COMPUTED_VALUE"""),9)</f>
        <v>9</v>
      </c>
      <c r="CA862" s="1" t="str">
        <f ca="1">IFERROR(__xludf.DUMMYFUNCTION("""COMPUTED_VALUE"""),"Yes")</f>
        <v>Yes</v>
      </c>
      <c r="CB862" s="5">
        <f ca="1">IFERROR(__xludf.DUMMYFUNCTION("""COMPUTED_VALUE"""),45150.8088439351)</f>
        <v>45150.808843935098</v>
      </c>
      <c r="CC862" s="1" t="str">
        <f ca="1">IFERROR(__xludf.DUMMYFUNCTION("""COMPUTED_VALUE"""),"Prepare Your Self To Excel : EP_72")</f>
        <v>Prepare Your Self To Excel : EP_72</v>
      </c>
      <c r="CD862" s="3" t="str">
        <f ca="1">IFERROR(__xludf.DUMMYFUNCTION("""COMPUTED_VALUE"""),"http://literature.awgp.org/book/Prepare_Yourself_to_Excel/v1")</f>
        <v>http://literature.awgp.org/book/Prepare_Yourself_to_Excel/v1</v>
      </c>
      <c r="CE862" s="1" t="str">
        <f ca="1">IFERROR(__xludf.DUMMYFUNCTION("""COMPUTED_VALUE"""),"Audiobook : Prepare Your Self To Excel : EP_72 : savita.dubey@gmail.com : Recorded")</f>
        <v>Audiobook : Prepare Your Self To Excel : EP_72 : savita.dubey@gmail.com : Recorded</v>
      </c>
      <c r="CF862" s="1" t="str">
        <f ca="1">IFERROR(__xludf.DUMMYFUNCTION("""COMPUTED_VALUE"""),"Audiobook : Prepare Your Self To Excel : EP_72 : savita.dubey@gmail.com : Recorded")</f>
        <v>Audiobook : Prepare Your Self To Excel : EP_72 : savita.dubey@gmail.com : Recorded</v>
      </c>
      <c r="CG862" s="1" t="str">
        <f ca="1">IFERROR(__xludf.DUMMYFUNCTION("""COMPUTED_VALUE"""),"Adarniya Savita ji Prepare Your Self To Excel : EP_72 : Allocated on 02-Aug-23 Contact Number  4692640779")</f>
        <v>Adarniya Savita ji Prepare Your Self To Excel : EP_72 : Allocated on 02-Aug-23 Contact Number  4692640779</v>
      </c>
      <c r="CH862" s="1"/>
      <c r="CI862" s="1"/>
    </row>
    <row r="863" spans="1:87" x14ac:dyDescent="0.25">
      <c r="A863" s="5">
        <f ca="1">IFERROR(__xludf.DUMMYFUNCTION("""COMPUTED_VALUE"""),45140.621520162)</f>
        <v>45140.621520162</v>
      </c>
      <c r="B863" s="1" t="str">
        <f ca="1">IFERROR(__xludf.DUMMYFUNCTION("""COMPUTED_VALUE"""),"rbbansalriya@gmail.com")</f>
        <v>rbbansalriya@gmail.com</v>
      </c>
      <c r="C863" s="1" t="str">
        <f ca="1">IFERROR(__xludf.DUMMYFUNCTION("""COMPUTED_VALUE"""),"Riya bansal ")</f>
        <v xml:space="preserve">Riya bansal </v>
      </c>
      <c r="D863" s="1">
        <f ca="1">IFERROR(__xludf.DUMMYFUNCTION("""COMPUTED_VALUE"""),9176361023)</f>
        <v>9176361023</v>
      </c>
      <c r="E863" s="1" t="str">
        <f ca="1">IFERROR(__xludf.DUMMYFUNCTION("""COMPUTED_VALUE"""),"Yes")</f>
        <v>Yes</v>
      </c>
      <c r="F863" s="1" t="str">
        <f ca="1">IFERROR(__xludf.DUMMYFUNCTION("""COMPUTED_VALUE"""),"हिन्दी")</f>
        <v>हिन्दी</v>
      </c>
      <c r="G863" s="1" t="str">
        <f ca="1">IFERROR(__xludf.DUMMYFUNCTION("""COMPUTED_VALUE"""),"राष्ट्र निर्माण")</f>
        <v>राष्ट्र निर्माण</v>
      </c>
      <c r="H863" s="1"/>
      <c r="I863" s="1"/>
      <c r="J863" s="1"/>
      <c r="K863" s="1"/>
      <c r="L863" s="1"/>
      <c r="M863" s="1"/>
      <c r="N863" s="1"/>
      <c r="O863" s="1"/>
      <c r="P863" s="1"/>
      <c r="Q863" s="1"/>
      <c r="R863" s="1" t="str">
        <f ca="1">IFERROR(__xludf.DUMMYFUNCTION("""COMPUTED_VALUE"""),"राष्ट्र निर्माण")</f>
        <v>राष्ट्र निर्माण</v>
      </c>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f ca="1">IFERROR(__xludf.DUMMYFUNCTION("""COMPUTED_VALUE"""),54)</f>
        <v>54</v>
      </c>
      <c r="BX863" s="1">
        <f ca="1">IFERROR(__xludf.DUMMYFUNCTION("""COMPUTED_VALUE"""),55)</f>
        <v>55</v>
      </c>
      <c r="BY863" s="1">
        <f ca="1">IFERROR(__xludf.DUMMYFUNCTION("""COMPUTED_VALUE"""),9)</f>
        <v>9</v>
      </c>
      <c r="BZ863" s="1">
        <f ca="1">IFERROR(__xludf.DUMMYFUNCTION("""COMPUTED_VALUE"""),43)</f>
        <v>43</v>
      </c>
      <c r="CA863" s="1" t="str">
        <f ca="1">IFERROR(__xludf.DUMMYFUNCTION("""COMPUTED_VALUE"""),"Yes")</f>
        <v>Yes</v>
      </c>
      <c r="CB863" s="5">
        <f ca="1">IFERROR(__xludf.DUMMYFUNCTION("""COMPUTED_VALUE"""),45150.621520162)</f>
        <v>45150.621520162</v>
      </c>
      <c r="CC863" s="1" t="str">
        <f ca="1">IFERROR(__xludf.DUMMYFUNCTION("""COMPUTED_VALUE"""),"धन को पीडित मानवता ने पुकारा है : H_PP_02")</f>
        <v>धन को पीडित मानवता ने पुकारा है : H_PP_02</v>
      </c>
      <c r="CD863" s="3" t="str">
        <f ca="1">IFERROR(__xludf.DUMMYFUNCTION("""COMPUTED_VALUE"""),"https://vicharkrantibooks.org/productdetail?book_name=HINP0224_DHAN_KO_PIDIT_MANAVATA_NE_PUKARA_HAI_xxyyyy&amp;product_id=789")</f>
        <v>https://vicharkrantibooks.org/productdetail?book_name=HINP0224_DHAN_KO_PIDIT_MANAVATA_NE_PUKARA_HAI_xxyyyy&amp;product_id=789</v>
      </c>
      <c r="CE863" s="1" t="str">
        <f ca="1">IFERROR(__xludf.DUMMYFUNCTION("""COMPUTED_VALUE"""),"Audiobook : धन को पीडित मानवता ने पुकारा है : H_PP_02 : rbbansalriya@gmail.com : Recorded")</f>
        <v>Audiobook : धन को पीडित मानवता ने पुकारा है : H_PP_02 : rbbansalriya@gmail.com : Recorded</v>
      </c>
      <c r="CF863" s="1" t="str">
        <f ca="1">IFERROR(__xludf.DUMMYFUNCTION("""COMPUTED_VALUE"""),"Audiobook : धन को पीडित मानवता ने पुकारा है : H_PP_02 : rbbansalriya@gmail.com : Recorded")</f>
        <v>Audiobook : धन को पीडित मानवता ने पुकारा है : H_PP_02 : rbbansalriya@gmail.com : Recorded</v>
      </c>
      <c r="CG863" s="1" t="str">
        <f ca="1">IFERROR(__xludf.DUMMYFUNCTION("""COMPUTED_VALUE"""),"Adarniya Riya bansal  ji धन को पीडित मानवता ने पुकारा है : H_PP_02 : Allocated on 02-Aug-23 Contact Number  9176361023")</f>
        <v>Adarniya Riya bansal  ji धन को पीडित मानवता ने पुकारा है : H_PP_02 : Allocated on 02-Aug-23 Contact Number  9176361023</v>
      </c>
      <c r="CH863" s="1"/>
      <c r="CI863" s="1"/>
    </row>
    <row r="864" spans="1:87" x14ac:dyDescent="0.25">
      <c r="A864" s="5">
        <f ca="1">IFERROR(__xludf.DUMMYFUNCTION("""COMPUTED_VALUE"""),45140.3410370833)</f>
        <v>45140.341037083301</v>
      </c>
      <c r="B864" s="1" t="str">
        <f ca="1">IFERROR(__xludf.DUMMYFUNCTION("""COMPUTED_VALUE"""),"druma4107@gmail.com")</f>
        <v>druma4107@gmail.com</v>
      </c>
      <c r="C864" s="1" t="str">
        <f ca="1">IFERROR(__xludf.DUMMYFUNCTION("""COMPUTED_VALUE"""),"Dr Uma Agrawal")</f>
        <v>Dr Uma Agrawal</v>
      </c>
      <c r="D864" s="1">
        <f ca="1">IFERROR(__xludf.DUMMYFUNCTION("""COMPUTED_VALUE"""),9410861182)</f>
        <v>9410861182</v>
      </c>
      <c r="E864" s="1" t="str">
        <f ca="1">IFERROR(__xludf.DUMMYFUNCTION("""COMPUTED_VALUE"""),"Yes")</f>
        <v>Yes</v>
      </c>
      <c r="F864" s="1" t="str">
        <f ca="1">IFERROR(__xludf.DUMMYFUNCTION("""COMPUTED_VALUE"""),"हिन्दी")</f>
        <v>हिन्दी</v>
      </c>
      <c r="G864" s="1" t="str">
        <f ca="1">IFERROR(__xludf.DUMMYFUNCTION("""COMPUTED_VALUE"""),"व्यक्ति निर्माण, युवा/विद्यार्थी एवं शिक्षक")</f>
        <v>व्यक्ति निर्माण, युवा/विद्यार्थी एवं शिक्षक</v>
      </c>
      <c r="H864" s="1"/>
      <c r="I864" s="1"/>
      <c r="J864" s="1"/>
      <c r="K864" s="1"/>
      <c r="L864" s="1"/>
      <c r="M864" s="1"/>
      <c r="N864" s="1"/>
      <c r="O864" s="1"/>
      <c r="P864" s="1"/>
      <c r="Q864" s="1"/>
      <c r="R864" s="1"/>
      <c r="S864" s="1"/>
      <c r="T864" s="1" t="str">
        <f ca="1">IFERROR(__xludf.DUMMYFUNCTION("""COMPUTED_VALUE"""),"विद्यार्थी एवं शिक्षक")</f>
        <v>विद्यार्थी एवं शिक्षक</v>
      </c>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f ca="1">IFERROR(__xludf.DUMMYFUNCTION("""COMPUTED_VALUE"""),104)</f>
        <v>104</v>
      </c>
      <c r="BX864" s="1">
        <f ca="1">IFERROR(__xludf.DUMMYFUNCTION("""COMPUTED_VALUE"""),106)</f>
        <v>106</v>
      </c>
      <c r="BY864" s="1">
        <f ca="1">IFERROR(__xludf.DUMMYFUNCTION("""COMPUTED_VALUE"""),9)</f>
        <v>9</v>
      </c>
      <c r="BZ864" s="1">
        <f ca="1">IFERROR(__xludf.DUMMYFUNCTION("""COMPUTED_VALUE"""),43)</f>
        <v>43</v>
      </c>
      <c r="CA864" s="1" t="str">
        <f ca="1">IFERROR(__xludf.DUMMYFUNCTION("""COMPUTED_VALUE"""),"Yes")</f>
        <v>Yes</v>
      </c>
      <c r="CB864" s="5">
        <f ca="1">IFERROR(__xludf.DUMMYFUNCTION("""COMPUTED_VALUE"""),45150.3410370833)</f>
        <v>45150.341037083301</v>
      </c>
      <c r="CC864" s="1" t="str">
        <f ca="1">IFERROR(__xludf.DUMMYFUNCTION("""COMPUTED_VALUE"""),"आलस्य और प्रमाद दु:ख दारिद्रय के उत्पादनकर्ता : Rare Book")</f>
        <v>आलस्य और प्रमाद दु:ख दारिद्रय के उत्पादनकर्ता : Rare Book</v>
      </c>
      <c r="CD864" s="3" t="str">
        <f ca="1">IFERROR(__xludf.DUMMYFUNCTION("""COMPUTED_VALUE"""),"https://vicharkrantibooks.org/productdetail?book_name=HINP0039_ALASY_AUR_PRAMAD_DUKH_DARIDY_KE_UTPADANKARTA_xx1981&amp;product_id=604")</f>
        <v>https://vicharkrantibooks.org/productdetail?book_name=HINP0039_ALASY_AUR_PRAMAD_DUKH_DARIDY_KE_UTPADANKARTA_xx1981&amp;product_id=604</v>
      </c>
      <c r="CE864" s="1" t="str">
        <f ca="1">IFERROR(__xludf.DUMMYFUNCTION("""COMPUTED_VALUE"""),"Audiobook : आलस्य और प्रमाद दु:ख दारिद्रय के उत्पादनकर्ता : Rare Book : druma4107@gmail.com : Recorded")</f>
        <v>Audiobook : आलस्य और प्रमाद दु:ख दारिद्रय के उत्पादनकर्ता : Rare Book : druma4107@gmail.com : Recorded</v>
      </c>
      <c r="CF864" s="1" t="str">
        <f ca="1">IFERROR(__xludf.DUMMYFUNCTION("""COMPUTED_VALUE"""),"Audiobook : आलस्य और प्रमाद दु:ख दारिद्रय के उत्पादनकर्ता : Rare Book : druma4107@gmail.com : Recorded")</f>
        <v>Audiobook : आलस्य और प्रमाद दु:ख दारिद्रय के उत्पादनकर्ता : Rare Book : druma4107@gmail.com : Recorded</v>
      </c>
      <c r="CG864" s="1" t="str">
        <f ca="1">IFERROR(__xludf.DUMMYFUNCTION("""COMPUTED_VALUE"""),"Adarniya Dr Uma Agrawal ji आलस्य और प्रमाद दु:ख दारिद्रय के उत्पादनकर्ता : Rare Book : Allocated on 02-Aug-23 Contact Number  9410861182")</f>
        <v>Adarniya Dr Uma Agrawal ji आलस्य और प्रमाद दु:ख दारिद्रय के उत्पादनकर्ता : Rare Book : Allocated on 02-Aug-23 Contact Number  9410861182</v>
      </c>
      <c r="CH864" s="1"/>
      <c r="CI864" s="1"/>
    </row>
    <row r="865" spans="1:87" x14ac:dyDescent="0.25">
      <c r="A865" s="5">
        <f ca="1">IFERROR(__xludf.DUMMYFUNCTION("""COMPUTED_VALUE"""),45139.6030817361)</f>
        <v>45139.603081736102</v>
      </c>
      <c r="B865" s="1" t="str">
        <f ca="1">IFERROR(__xludf.DUMMYFUNCTION("""COMPUTED_VALUE"""),"kapila.dharmendra.kd@gmail.com")</f>
        <v>kapila.dharmendra.kd@gmail.com</v>
      </c>
      <c r="C865" s="1" t="str">
        <f ca="1">IFERROR(__xludf.DUMMYFUNCTION("""COMPUTED_VALUE"""),"कपिला परिहार ")</f>
        <v xml:space="preserve">कपिला परिहार </v>
      </c>
      <c r="D865" s="1">
        <f ca="1">IFERROR(__xludf.DUMMYFUNCTION("""COMPUTED_VALUE"""),7665131615)</f>
        <v>7665131615</v>
      </c>
      <c r="E865" s="1" t="str">
        <f ca="1">IFERROR(__xludf.DUMMYFUNCTION("""COMPUTED_VALUE"""),"Not Relevant")</f>
        <v>Not Relevant</v>
      </c>
      <c r="F865" s="1" t="str">
        <f ca="1">IFERROR(__xludf.DUMMYFUNCTION("""COMPUTED_VALUE"""),"हिन्दी")</f>
        <v>हिन्दी</v>
      </c>
      <c r="G865" s="1" t="str">
        <f ca="1">IFERROR(__xludf.DUMMYFUNCTION("""COMPUTED_VALUE"""),"युग द्रष्टा पं. श्रीराम शर्मा आचार्यजी")</f>
        <v>युग द्रष्टा पं. श्रीराम शर्मा आचार्यजी</v>
      </c>
      <c r="H865" s="1"/>
      <c r="I865" s="1"/>
      <c r="J865" s="1"/>
      <c r="K865" s="1"/>
      <c r="L865" s="1"/>
      <c r="M865" s="1"/>
      <c r="N865" s="1"/>
      <c r="O865" s="1"/>
      <c r="P865" s="1" t="str">
        <f ca="1">IFERROR(__xludf.DUMMYFUNCTION("""COMPUTED_VALUE"""),"युगॠषी की अमृतवाणी")</f>
        <v>युगॠषी की अमृतवाणी</v>
      </c>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f ca="1">IFERROR(__xludf.DUMMYFUNCTION("""COMPUTED_VALUE"""),2)</f>
        <v>2</v>
      </c>
      <c r="BX865" s="1">
        <f ca="1">IFERROR(__xludf.DUMMYFUNCTION("""COMPUTED_VALUE"""),1)</f>
        <v>1</v>
      </c>
      <c r="BY865" s="1">
        <f ca="1">IFERROR(__xludf.DUMMYFUNCTION("""COMPUTED_VALUE"""),2)</f>
        <v>2</v>
      </c>
      <c r="BZ865" s="1">
        <f ca="1">IFERROR(__xludf.DUMMYFUNCTION("""COMPUTED_VALUE"""),1)</f>
        <v>1</v>
      </c>
      <c r="CA865" s="1" t="str">
        <f ca="1">IFERROR(__xludf.DUMMYFUNCTION("""COMPUTED_VALUE"""),"Yes")</f>
        <v>Yes</v>
      </c>
      <c r="CB865" s="5">
        <f ca="1">IFERROR(__xludf.DUMMYFUNCTION("""COMPUTED_VALUE"""),45149.6030817361)</f>
        <v>45149.603081736102</v>
      </c>
      <c r="CC865" s="1" t="str">
        <f ca="1">IFERROR(__xludf.DUMMYFUNCTION("""COMPUTED_VALUE"""),"नवरात्रि का पावन पर्व : H_SC_10")</f>
        <v>नवरात्रि का पावन पर्व : H_SC_10</v>
      </c>
      <c r="CD865" s="3" t="str">
        <f ca="1">IFERROR(__xludf.DUMMYFUNCTION("""COMPUTED_VALUE"""),"https://vicharkrantibooks.org/productdetail?book_name=HINP0594_NAVARATRI_KA_PAVAN_PARV_xx1980&amp;product_id=1159")</f>
        <v>https://vicharkrantibooks.org/productdetail?book_name=HINP0594_NAVARATRI_KA_PAVAN_PARV_xx1980&amp;product_id=1159</v>
      </c>
      <c r="CE865" s="1" t="str">
        <f ca="1">IFERROR(__xludf.DUMMYFUNCTION("""COMPUTED_VALUE"""),"Audiobook : नवरात्रि का पावन पर्व : H_SC_10 : kapila.dharmendra.kd@gmail.com : Recorded")</f>
        <v>Audiobook : नवरात्रि का पावन पर्व : H_SC_10 : kapila.dharmendra.kd@gmail.com : Recorded</v>
      </c>
      <c r="CF865" s="1" t="str">
        <f ca="1">IFERROR(__xludf.DUMMYFUNCTION("""COMPUTED_VALUE"""),"#N/A")</f>
        <v>#N/A</v>
      </c>
      <c r="CG865" s="1" t="str">
        <f ca="1">IFERROR(__xludf.DUMMYFUNCTION("""COMPUTED_VALUE"""),"Adarniya कपिला परिहार  ji नवरात्रि का पावन पर्व : H_SC_10 : Allocated on 01-Aug-23 Contact Number  7665131615")</f>
        <v>Adarniya कपिला परिहार  ji नवरात्रि का पावन पर्व : H_SC_10 : Allocated on 01-Aug-23 Contact Number  7665131615</v>
      </c>
      <c r="CH865" s="1"/>
      <c r="CI865" s="1"/>
    </row>
    <row r="866" spans="1:87" x14ac:dyDescent="0.25">
      <c r="A866" s="5">
        <f ca="1">IFERROR(__xludf.DUMMYFUNCTION("""COMPUTED_VALUE"""),45138.4655880902)</f>
        <v>45138.465588090199</v>
      </c>
      <c r="B866" s="1" t="str">
        <f ca="1">IFERROR(__xludf.DUMMYFUNCTION("""COMPUTED_VALUE"""),"rekhabhagat2511@gmail.com")</f>
        <v>rekhabhagat2511@gmail.com</v>
      </c>
      <c r="C866" s="1" t="str">
        <f ca="1">IFERROR(__xludf.DUMMYFUNCTION("""COMPUTED_VALUE"""),"Rekha Bhagat ")</f>
        <v xml:space="preserve">Rekha Bhagat </v>
      </c>
      <c r="D866" s="1">
        <f ca="1">IFERROR(__xludf.DUMMYFUNCTION("""COMPUTED_VALUE"""),9424811235)</f>
        <v>9424811235</v>
      </c>
      <c r="E866" s="1" t="str">
        <f ca="1">IFERROR(__xludf.DUMMYFUNCTION("""COMPUTED_VALUE"""),"Yes")</f>
        <v>Yes</v>
      </c>
      <c r="F866" s="1" t="str">
        <f ca="1">IFERROR(__xludf.DUMMYFUNCTION("""COMPUTED_VALUE"""),"हिन्दी")</f>
        <v>हिन्दी</v>
      </c>
      <c r="G866" s="1" t="str">
        <f ca="1">IFERROR(__xludf.DUMMYFUNCTION("""COMPUTED_VALUE"""),"पर्यावरण संरक्षण")</f>
        <v>पर्यावरण संरक्षण</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f ca="1">IFERROR(__xludf.DUMMYFUNCTION("""COMPUTED_VALUE"""),19)</f>
        <v>19</v>
      </c>
      <c r="BX866" s="1">
        <f ca="1">IFERROR(__xludf.DUMMYFUNCTION("""COMPUTED_VALUE"""),11)</f>
        <v>11</v>
      </c>
      <c r="BY866" s="1">
        <f ca="1">IFERROR(__xludf.DUMMYFUNCTION("""COMPUTED_VALUE"""),8)</f>
        <v>8</v>
      </c>
      <c r="BZ866" s="1">
        <f ca="1">IFERROR(__xludf.DUMMYFUNCTION("""COMPUTED_VALUE"""),4)</f>
        <v>4</v>
      </c>
      <c r="CA866" s="1" t="str">
        <f ca="1">IFERROR(__xludf.DUMMYFUNCTION("""COMPUTED_VALUE"""),"Yes")</f>
        <v>Yes</v>
      </c>
      <c r="CB866" s="5">
        <f ca="1">IFERROR(__xludf.DUMMYFUNCTION("""COMPUTED_VALUE"""),45148.4655880902)</f>
        <v>45148.465588090199</v>
      </c>
      <c r="CC866" s="1" t="str">
        <f ca="1">IFERROR(__xludf.DUMMYFUNCTION("""COMPUTED_VALUE"""),"हरितिमा संवर्द्धन : H_VM_16")</f>
        <v>हरितिमा संवर्द्धन : H_VM_16</v>
      </c>
      <c r="CD866" s="3" t="str">
        <f ca="1">IFERROR(__xludf.DUMMYFUNCTION("""COMPUTED_VALUE"""),"https://vicharkrantibooks.org/productdetail?book_name=HINP0345_HARITIMA_SANVARDHAN_xxyyyy&amp;product_id=910")</f>
        <v>https://vicharkrantibooks.org/productdetail?book_name=HINP0345_HARITIMA_SANVARDHAN_xxyyyy&amp;product_id=910</v>
      </c>
      <c r="CE866" s="1" t="str">
        <f ca="1">IFERROR(__xludf.DUMMYFUNCTION("""COMPUTED_VALUE"""),"Audiobook : हरितिमा संवर्द्धन : H_VM_16 : rekhabhagat2511@gmail.com : Recorded")</f>
        <v>Audiobook : हरितिमा संवर्द्धन : H_VM_16 : rekhabhagat2511@gmail.com : Recorded</v>
      </c>
      <c r="CF866" s="1" t="str">
        <f ca="1">IFERROR(__xludf.DUMMYFUNCTION("""COMPUTED_VALUE"""),"Audiobook : हरितिमा संवर्द्धन : H_VM_16 : rekhabhagat2511@gmail.com : Recorded")</f>
        <v>Audiobook : हरितिमा संवर्द्धन : H_VM_16 : rekhabhagat2511@gmail.com : Recorded</v>
      </c>
      <c r="CG866" s="1" t="str">
        <f ca="1">IFERROR(__xludf.DUMMYFUNCTION("""COMPUTED_VALUE"""),"Adarniya Rekha Bhagat  ji हरितिमा संवर्द्धन : H_VM_16 : Allocated on 31-Jul-23 Contact Number  9424811235")</f>
        <v>Adarniya Rekha Bhagat  ji हरितिमा संवर्द्धन : H_VM_16 : Allocated on 31-Jul-23 Contact Number  9424811235</v>
      </c>
      <c r="CH866" s="1"/>
      <c r="CI866" s="1"/>
    </row>
    <row r="867" spans="1:87" x14ac:dyDescent="0.25">
      <c r="A867" s="5">
        <f ca="1">IFERROR(__xludf.DUMMYFUNCTION("""COMPUTED_VALUE"""),45137.5649401388)</f>
        <v>45137.5649401388</v>
      </c>
      <c r="B867" s="1" t="str">
        <f ca="1">IFERROR(__xludf.DUMMYFUNCTION("""COMPUTED_VALUE"""),"spmittalmumbai@gmail.com")</f>
        <v>spmittalmumbai@gmail.com</v>
      </c>
      <c r="C867" s="1" t="str">
        <f ca="1">IFERROR(__xludf.DUMMYFUNCTION("""COMPUTED_VALUE"""),"S.P.Mittal")</f>
        <v>S.P.Mittal</v>
      </c>
      <c r="D867" s="1">
        <f ca="1">IFERROR(__xludf.DUMMYFUNCTION("""COMPUTED_VALUE"""),9860003407)</f>
        <v>9860003407</v>
      </c>
      <c r="E867" s="1" t="str">
        <f ca="1">IFERROR(__xludf.DUMMYFUNCTION("""COMPUTED_VALUE"""),"Yes")</f>
        <v>Yes</v>
      </c>
      <c r="F867" s="1" t="str">
        <f ca="1">IFERROR(__xludf.DUMMYFUNCTION("""COMPUTED_VALUE"""),"हिन्दी")</f>
        <v>हिन्दी</v>
      </c>
      <c r="G867" s="1" t="str">
        <f ca="1">IFERROR(__xludf.DUMMYFUNCTION("""COMPUTED_VALUE"""),"व्यक्ति निर्माण, युवा/विद्यार्थी एवं शिक्षक")</f>
        <v>व्यक्ति निर्माण, युवा/विद्यार्थी एवं शिक्षक</v>
      </c>
      <c r="H867" s="1"/>
      <c r="I867" s="1"/>
      <c r="J867" s="1"/>
      <c r="K867" s="1"/>
      <c r="L867" s="1"/>
      <c r="M867" s="1"/>
      <c r="N867" s="1"/>
      <c r="O867" s="1"/>
      <c r="P867" s="1"/>
      <c r="Q867" s="1"/>
      <c r="R867" s="1"/>
      <c r="S867" s="1"/>
      <c r="T867" s="1" t="str">
        <f ca="1">IFERROR(__xludf.DUMMYFUNCTION("""COMPUTED_VALUE"""),"व्यक्तित्व परिष्कार")</f>
        <v>व्यक्तित्व परिष्कार</v>
      </c>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f ca="1">IFERROR(__xludf.DUMMYFUNCTION("""COMPUTED_VALUE"""),39)</f>
        <v>39</v>
      </c>
      <c r="BX867" s="1">
        <f ca="1">IFERROR(__xludf.DUMMYFUNCTION("""COMPUTED_VALUE"""),32)</f>
        <v>32</v>
      </c>
      <c r="BY867" s="1">
        <f ca="1">IFERROR(__xludf.DUMMYFUNCTION("""COMPUTED_VALUE"""),11)</f>
        <v>11</v>
      </c>
      <c r="BZ867" s="1">
        <f ca="1">IFERROR(__xludf.DUMMYFUNCTION("""COMPUTED_VALUE"""),23)</f>
        <v>23</v>
      </c>
      <c r="CA867" s="1" t="str">
        <f ca="1">IFERROR(__xludf.DUMMYFUNCTION("""COMPUTED_VALUE"""),"Yes")</f>
        <v>Yes</v>
      </c>
      <c r="CB867" s="5">
        <f ca="1">IFERROR(__xludf.DUMMYFUNCTION("""COMPUTED_VALUE"""),45147.5649401388)</f>
        <v>45147.5649401388</v>
      </c>
      <c r="CC867" s="1" t="str">
        <f ca="1">IFERROR(__xludf.DUMMYFUNCTION("""COMPUTED_VALUE"""),"पाँच अमानतें जो ईश्वरीय प्रयोजनों में ही लगाई जाए : H_PP_05")</f>
        <v>पाँच अमानतें जो ईश्वरीय प्रयोजनों में ही लगाई जाए : H_PP_05</v>
      </c>
      <c r="CD867" s="3" t="str">
        <f ca="1">IFERROR(__xludf.DUMMYFUNCTION("""COMPUTED_VALUE"""),"https://vicharkrantibooks.org/productdetail?book_name=HINP0612_PANCH_AMANATEN_JO_ISHWARIY_PRAYOJANO_MEIN_HI_LAGAI_JAE_xxyyyy&amp;product_id=1177")</f>
        <v>https://vicharkrantibooks.org/productdetail?book_name=HINP0612_PANCH_AMANATEN_JO_ISHWARIY_PRAYOJANO_MEIN_HI_LAGAI_JAE_xxyyyy&amp;product_id=1177</v>
      </c>
      <c r="CE867" s="1" t="str">
        <f ca="1">IFERROR(__xludf.DUMMYFUNCTION("""COMPUTED_VALUE"""),"Audiobook : पाँच अमानतें जो ईश्वरीय प्रयोजनों में ही लगाई जाए : H_PP_05 : spmittalmumbai@gmail.com : Recorded")</f>
        <v>Audiobook : पाँच अमानतें जो ईश्वरीय प्रयोजनों में ही लगाई जाए : H_PP_05 : spmittalmumbai@gmail.com : Recorded</v>
      </c>
      <c r="CF867" s="1" t="str">
        <f ca="1">IFERROR(__xludf.DUMMYFUNCTION("""COMPUTED_VALUE"""),"Audiobook : पाँच अमानतें जो ईश्वरीय प्रयोजनों में ही लगाई जाए : H_PP_05 : spmittalmumbai@gmail.com : Recorded")</f>
        <v>Audiobook : पाँच अमानतें जो ईश्वरीय प्रयोजनों में ही लगाई जाए : H_PP_05 : spmittalmumbai@gmail.com : Recorded</v>
      </c>
      <c r="CG867" s="1" t="str">
        <f ca="1">IFERROR(__xludf.DUMMYFUNCTION("""COMPUTED_VALUE"""),"Adarniya S.P.Mittal ji पाँच अमानतें जो ईश्वरीय प्रयोजनों में ही लगाई जाए : H_PP_05 : Allocated on 30-Jul-23 Contact Number  9860003407")</f>
        <v>Adarniya S.P.Mittal ji पाँच अमानतें जो ईश्वरीय प्रयोजनों में ही लगाई जाए : H_PP_05 : Allocated on 30-Jul-23 Contact Number  9860003407</v>
      </c>
      <c r="CH867" s="1"/>
      <c r="CI867" s="1"/>
    </row>
    <row r="868" spans="1:87" x14ac:dyDescent="0.25">
      <c r="A868" s="5">
        <f ca="1">IFERROR(__xludf.DUMMYFUNCTION("""COMPUTED_VALUE"""),45136.9725263194)</f>
        <v>45136.972526319398</v>
      </c>
      <c r="B868" s="1" t="str">
        <f ca="1">IFERROR(__xludf.DUMMYFUNCTION("""COMPUTED_VALUE"""),"jamunashukla17@gmail.com")</f>
        <v>jamunashukla17@gmail.com</v>
      </c>
      <c r="C868" s="1" t="str">
        <f ca="1">IFERROR(__xludf.DUMMYFUNCTION("""COMPUTED_VALUE"""),"J S Shukla ")</f>
        <v xml:space="preserve">J S Shukla </v>
      </c>
      <c r="D868" s="1">
        <f ca="1">IFERROR(__xludf.DUMMYFUNCTION("""COMPUTED_VALUE"""),8390353167)</f>
        <v>8390353167</v>
      </c>
      <c r="E868" s="1" t="str">
        <f ca="1">IFERROR(__xludf.DUMMYFUNCTION("""COMPUTED_VALUE"""),"Yes")</f>
        <v>Yes</v>
      </c>
      <c r="F868" s="1" t="str">
        <f ca="1">IFERROR(__xludf.DUMMYFUNCTION("""COMPUTED_VALUE"""),"हिन्दी")</f>
        <v>हिन्दी</v>
      </c>
      <c r="G868" s="1" t="str">
        <f ca="1">IFERROR(__xludf.DUMMYFUNCTION("""COMPUTED_VALUE"""),"अध्यात्म, धर्म एवं दर्शन")</f>
        <v>अध्यात्म, धर्म एवं दर्शन</v>
      </c>
      <c r="H868" s="1" t="str">
        <f ca="1">IFERROR(__xludf.DUMMYFUNCTION("""COMPUTED_VALUE"""),"अध्यात्म, धर्म एवं आस्तिकता")</f>
        <v>अध्यात्म, धर्म एवं आस्तिकता</v>
      </c>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f ca="1">IFERROR(__xludf.DUMMYFUNCTION("""COMPUTED_VALUE"""),53)</f>
        <v>53</v>
      </c>
      <c r="BX868" s="1">
        <f ca="1">IFERROR(__xludf.DUMMYFUNCTION("""COMPUTED_VALUE"""),53)</f>
        <v>53</v>
      </c>
      <c r="BY868" s="1">
        <f ca="1">IFERROR(__xludf.DUMMYFUNCTION("""COMPUTED_VALUE"""),9)</f>
        <v>9</v>
      </c>
      <c r="BZ868" s="1">
        <f ca="1">IFERROR(__xludf.DUMMYFUNCTION("""COMPUTED_VALUE"""),25)</f>
        <v>25</v>
      </c>
      <c r="CA868" s="1" t="str">
        <f ca="1">IFERROR(__xludf.DUMMYFUNCTION("""COMPUTED_VALUE"""),"Yes")</f>
        <v>Yes</v>
      </c>
      <c r="CB868" s="5">
        <f ca="1">IFERROR(__xludf.DUMMYFUNCTION("""COMPUTED_VALUE"""),45146.9725263194)</f>
        <v>45146.972526319398</v>
      </c>
      <c r="CC868" s="1" t="str">
        <f ca="1">IFERROR(__xludf.DUMMYFUNCTION("""COMPUTED_VALUE"""),"धर्मतंत्र द्वरा लोकशिक्षण : H_JS_30")</f>
        <v>धर्मतंत्र द्वरा लोकशिक्षण : H_JS_30</v>
      </c>
      <c r="CD868" s="3" t="str">
        <f ca="1">IFERROR(__xludf.DUMMYFUNCTION("""COMPUTED_VALUE"""),"https://vicharkrantibooks.org/productdetail?book_name=HINP0242_DHARMATANTR_DVARA_LOKASHIKSHAN_xx2011&amp;product_id=807")</f>
        <v>https://vicharkrantibooks.org/productdetail?book_name=HINP0242_DHARMATANTR_DVARA_LOKASHIKSHAN_xx2011&amp;product_id=807</v>
      </c>
      <c r="CE868" s="1" t="str">
        <f ca="1">IFERROR(__xludf.DUMMYFUNCTION("""COMPUTED_VALUE"""),"Audiobook : धर्मतंत्र द्वरा लोकशिक्षण : H_JS_30 : jamunashukla17@gmail.com : Recorded")</f>
        <v>Audiobook : धर्मतंत्र द्वरा लोकशिक्षण : H_JS_30 : jamunashukla17@gmail.com : Recorded</v>
      </c>
      <c r="CF868" s="1" t="str">
        <f ca="1">IFERROR(__xludf.DUMMYFUNCTION("""COMPUTED_VALUE"""),"Audiobook : धर्मतंत्र द्वरा लोकशिक्षण : H_JS_30 : JamunaShukla17@gmail.com : Recorded")</f>
        <v>Audiobook : धर्मतंत्र द्वरा लोकशिक्षण : H_JS_30 : JamunaShukla17@gmail.com : Recorded</v>
      </c>
      <c r="CG868" s="1" t="str">
        <f ca="1">IFERROR(__xludf.DUMMYFUNCTION("""COMPUTED_VALUE"""),"Adarniya J S Shukla  ji धर्मतंत्र द्वरा लोकशिक्षण : H_JS_30 : Allocated on 29-Jul-23 Contact Number  8390353167")</f>
        <v>Adarniya J S Shukla  ji धर्मतंत्र द्वरा लोकशिक्षण : H_JS_30 : Allocated on 29-Jul-23 Contact Number  8390353167</v>
      </c>
      <c r="CH868" s="1"/>
      <c r="CI868" s="1"/>
    </row>
    <row r="869" spans="1:87" x14ac:dyDescent="0.25">
      <c r="A869" s="5">
        <f ca="1">IFERROR(__xludf.DUMMYFUNCTION("""COMPUTED_VALUE"""),45134.5733322453)</f>
        <v>45134.573332245302</v>
      </c>
      <c r="B869" s="1" t="str">
        <f ca="1">IFERROR(__xludf.DUMMYFUNCTION("""COMPUTED_VALUE"""),"rajnivarma24.vns@gmail.com")</f>
        <v>rajnivarma24.vns@gmail.com</v>
      </c>
      <c r="C869" s="1" t="str">
        <f ca="1">IFERROR(__xludf.DUMMYFUNCTION("""COMPUTED_VALUE"""),"Rajni varma")</f>
        <v>Rajni varma</v>
      </c>
      <c r="D869" s="1">
        <f ca="1">IFERROR(__xludf.DUMMYFUNCTION("""COMPUTED_VALUE"""),9335661433)</f>
        <v>9335661433</v>
      </c>
      <c r="E869" s="1" t="str">
        <f ca="1">IFERROR(__xludf.DUMMYFUNCTION("""COMPUTED_VALUE"""),"No")</f>
        <v>No</v>
      </c>
      <c r="F869" s="1" t="str">
        <f ca="1">IFERROR(__xludf.DUMMYFUNCTION("""COMPUTED_VALUE"""),"हिन्दी")</f>
        <v>हिन्दी</v>
      </c>
      <c r="G869" s="1" t="str">
        <f ca="1">IFERROR(__xludf.DUMMYFUNCTION("""COMPUTED_VALUE"""),"अध्यात्म, धर्म एवं दर्शन")</f>
        <v>अध्यात्म, धर्म एवं दर्शन</v>
      </c>
      <c r="H869" s="1" t="str">
        <f ca="1">IFERROR(__xludf.DUMMYFUNCTION("""COMPUTED_VALUE"""),"अध्यात्म, धर्म एवं आस्तिकता")</f>
        <v>अध्यात्म, धर्म एवं आस्तिकता</v>
      </c>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f ca="1">IFERROR(__xludf.DUMMYFUNCTION("""COMPUTED_VALUE"""),30)</f>
        <v>30</v>
      </c>
      <c r="BX869" s="1">
        <f ca="1">IFERROR(__xludf.DUMMYFUNCTION("""COMPUTED_VALUE"""),25)</f>
        <v>25</v>
      </c>
      <c r="BY869" s="1">
        <f ca="1">IFERROR(__xludf.DUMMYFUNCTION("""COMPUTED_VALUE"""),7)</f>
        <v>7</v>
      </c>
      <c r="BZ869" s="1">
        <f ca="1">IFERROR(__xludf.DUMMYFUNCTION("""COMPUTED_VALUE"""),7)</f>
        <v>7</v>
      </c>
      <c r="CA869" s="1" t="str">
        <f ca="1">IFERROR(__xludf.DUMMYFUNCTION("""COMPUTED_VALUE"""),"Yes")</f>
        <v>Yes</v>
      </c>
      <c r="CB869" s="5">
        <f ca="1">IFERROR(__xludf.DUMMYFUNCTION("""COMPUTED_VALUE"""),45144.5733322453)</f>
        <v>45144.573332245302</v>
      </c>
      <c r="CC869" s="1" t="str">
        <f ca="1">IFERROR(__xludf.DUMMYFUNCTION("""COMPUTED_VALUE"""),"धर्मतंत्र का परिष्कार अत्यंत अनिवार्य : H_JS_09")</f>
        <v>धर्मतंत्र का परिष्कार अत्यंत अनिवार्य : H_JS_09</v>
      </c>
      <c r="CD869" s="3" t="str">
        <f ca="1">IFERROR(__xludf.DUMMYFUNCTION("""COMPUTED_VALUE"""),"https://vicharkrantibooks.org/productdetail?book_name=HINP0244_DHARMATANTR_KA_PARISHKAR_ATYANT_ANIVARY_xx2011&amp;product_id=809")</f>
        <v>https://vicharkrantibooks.org/productdetail?book_name=HINP0244_DHARMATANTR_KA_PARISHKAR_ATYANT_ANIVARY_xx2011&amp;product_id=809</v>
      </c>
      <c r="CE869" s="1" t="str">
        <f ca="1">IFERROR(__xludf.DUMMYFUNCTION("""COMPUTED_VALUE"""),"Audiobook : धर्मतंत्र का परिष्कार अत्यंत अनिवार्य : H_JS_09 : rajnivarma24.vns@gmail.com : Recorded")</f>
        <v>Audiobook : धर्मतंत्र का परिष्कार अत्यंत अनिवार्य : H_JS_09 : rajnivarma24.vns@gmail.com : Recorded</v>
      </c>
      <c r="CF869" s="1" t="str">
        <f ca="1">IFERROR(__xludf.DUMMYFUNCTION("""COMPUTED_VALUE"""),"Audiobook : धर्मतंत्र का परिष्कार अत्यंत अनिवार्य : H_JS_09 : rajnivarma24.vns@gmail.com : Recorded")</f>
        <v>Audiobook : धर्मतंत्र का परिष्कार अत्यंत अनिवार्य : H_JS_09 : rajnivarma24.vns@gmail.com : Recorded</v>
      </c>
      <c r="CG869" s="1" t="str">
        <f ca="1">IFERROR(__xludf.DUMMYFUNCTION("""COMPUTED_VALUE"""),"Adarniya Rajni varma ji धर्मतंत्र का परिष्कार अत्यंत अनिवार्य : H_JS_09 : Allocated on 27-Jul-23 Contact Number  9335661433")</f>
        <v>Adarniya Rajni varma ji धर्मतंत्र का परिष्कार अत्यंत अनिवार्य : H_JS_09 : Allocated on 27-Jul-23 Contact Number  9335661433</v>
      </c>
      <c r="CH869" s="1"/>
      <c r="CI869" s="1"/>
    </row>
    <row r="870" spans="1:87" x14ac:dyDescent="0.25">
      <c r="A870" s="5">
        <f ca="1">IFERROR(__xludf.DUMMYFUNCTION("""COMPUTED_VALUE"""),45133.9195824652)</f>
        <v>45133.919582465198</v>
      </c>
      <c r="B870" s="1" t="str">
        <f ca="1">IFERROR(__xludf.DUMMYFUNCTION("""COMPUTED_VALUE"""),"rbbansalriya@gmail.com")</f>
        <v>rbbansalriya@gmail.com</v>
      </c>
      <c r="C870" s="1" t="str">
        <f ca="1">IFERROR(__xludf.DUMMYFUNCTION("""COMPUTED_VALUE"""),"Riya bansal ")</f>
        <v xml:space="preserve">Riya bansal </v>
      </c>
      <c r="D870" s="1">
        <f ca="1">IFERROR(__xludf.DUMMYFUNCTION("""COMPUTED_VALUE"""),9176361023)</f>
        <v>9176361023</v>
      </c>
      <c r="E870" s="1" t="str">
        <f ca="1">IFERROR(__xludf.DUMMYFUNCTION("""COMPUTED_VALUE"""),"Yes")</f>
        <v>Yes</v>
      </c>
      <c r="F870" s="1" t="str">
        <f ca="1">IFERROR(__xludf.DUMMYFUNCTION("""COMPUTED_VALUE"""),"हिन्दी")</f>
        <v>हिन्दी</v>
      </c>
      <c r="G870" s="1" t="str">
        <f ca="1">IFERROR(__xludf.DUMMYFUNCTION("""COMPUTED_VALUE"""),"राष्ट्र निर्माण")</f>
        <v>राष्ट्र निर्माण</v>
      </c>
      <c r="H870" s="1"/>
      <c r="I870" s="1"/>
      <c r="J870" s="1"/>
      <c r="K870" s="1"/>
      <c r="L870" s="1"/>
      <c r="M870" s="1"/>
      <c r="N870" s="1"/>
      <c r="O870" s="1"/>
      <c r="P870" s="1"/>
      <c r="Q870" s="1"/>
      <c r="R870" s="1" t="str">
        <f ca="1">IFERROR(__xludf.DUMMYFUNCTION("""COMPUTED_VALUE"""),"आर्थिक स्वावलंबन")</f>
        <v>आर्थिक स्वावलंबन</v>
      </c>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f ca="1">IFERROR(__xludf.DUMMYFUNCTION("""COMPUTED_VALUE"""),54)</f>
        <v>54</v>
      </c>
      <c r="BX870" s="1">
        <f ca="1">IFERROR(__xludf.DUMMYFUNCTION("""COMPUTED_VALUE"""),55)</f>
        <v>55</v>
      </c>
      <c r="BY870" s="1">
        <f ca="1">IFERROR(__xludf.DUMMYFUNCTION("""COMPUTED_VALUE"""),9)</f>
        <v>9</v>
      </c>
      <c r="BZ870" s="1">
        <f ca="1">IFERROR(__xludf.DUMMYFUNCTION("""COMPUTED_VALUE"""),43)</f>
        <v>43</v>
      </c>
      <c r="CA870" s="1" t="str">
        <f ca="1">IFERROR(__xludf.DUMMYFUNCTION("""COMPUTED_VALUE"""),"Yes")</f>
        <v>Yes</v>
      </c>
      <c r="CB870" s="5">
        <f ca="1">IFERROR(__xludf.DUMMYFUNCTION("""COMPUTED_VALUE"""),45143.9195824652)</f>
        <v>45143.919582465198</v>
      </c>
      <c r="CC870" s="1" t="str">
        <f ca="1">IFERROR(__xludf.DUMMYFUNCTION("""COMPUTED_VALUE"""),"ब्राह्मणत्व जागेगा तो राष्ट्र जागेगा (छोटी) : H_PP_01")</f>
        <v>ब्राह्मणत्व जागेगा तो राष्ट्र जागेगा (छोटी) : H_PP_01</v>
      </c>
      <c r="CD870" s="3" t="str">
        <f ca="1">IFERROR(__xludf.DUMMYFUNCTION("""COMPUTED_VALUE"""),"https://vicharkrantibooks.org/productdetail?product_id=744")</f>
        <v>https://vicharkrantibooks.org/productdetail?product_id=744</v>
      </c>
      <c r="CE870" s="1" t="str">
        <f ca="1">IFERROR(__xludf.DUMMYFUNCTION("""COMPUTED_VALUE"""),"Audiobook : ब्राह्मणत्व जागेगा तो राष्ट्र जागेगा (छोटी) : H_PP_01 : rbbansalriya@gmail.com : Recorded")</f>
        <v>Audiobook : ब्राह्मणत्व जागेगा तो राष्ट्र जागेगा (छोटी) : H_PP_01 : rbbansalriya@gmail.com : Recorded</v>
      </c>
      <c r="CF870" s="1" t="str">
        <f ca="1">IFERROR(__xludf.DUMMYFUNCTION("""COMPUTED_VALUE"""),"Audiobook : ब्राह्मणत्व जागेगा तो राष्ट्र जागेगा (छोटी) : H_PP_01 : rbbansalriya@gmail.com : Recorded")</f>
        <v>Audiobook : ब्राह्मणत्व जागेगा तो राष्ट्र जागेगा (छोटी) : H_PP_01 : rbbansalriya@gmail.com : Recorded</v>
      </c>
      <c r="CG870" s="1" t="str">
        <f ca="1">IFERROR(__xludf.DUMMYFUNCTION("""COMPUTED_VALUE"""),"Adarniya Riya bansal  ji ब्राह्मणत्व जागेगा तो राष्ट्र जागेगा (छोटी) : H_PP_01 : Allocated on 26-Jul-23 Contact Number  9176361023")</f>
        <v>Adarniya Riya bansal  ji ब्राह्मणत्व जागेगा तो राष्ट्र जागेगा (छोटी) : H_PP_01 : Allocated on 26-Jul-23 Contact Number  9176361023</v>
      </c>
      <c r="CH870" s="1"/>
      <c r="CI870" s="1"/>
    </row>
    <row r="871" spans="1:87" x14ac:dyDescent="0.25">
      <c r="A871" s="5">
        <f ca="1">IFERROR(__xludf.DUMMYFUNCTION("""COMPUTED_VALUE"""),45133.5449537499)</f>
        <v>45133.544953749901</v>
      </c>
      <c r="B871" s="1" t="str">
        <f ca="1">IFERROR(__xludf.DUMMYFUNCTION("""COMPUTED_VALUE"""),"richasharma310575@gmail.com")</f>
        <v>richasharma310575@gmail.com</v>
      </c>
      <c r="C871" s="1" t="str">
        <f ca="1">IFERROR(__xludf.DUMMYFUNCTION("""COMPUTED_VALUE"""),"Richa Sharma")</f>
        <v>Richa Sharma</v>
      </c>
      <c r="D871" s="1">
        <f ca="1">IFERROR(__xludf.DUMMYFUNCTION("""COMPUTED_VALUE"""),9479664049)</f>
        <v>9479664049</v>
      </c>
      <c r="E871" s="1" t="str">
        <f ca="1">IFERROR(__xludf.DUMMYFUNCTION("""COMPUTED_VALUE"""),"Yes")</f>
        <v>Yes</v>
      </c>
      <c r="F871" s="1" t="str">
        <f ca="1">IFERROR(__xludf.DUMMYFUNCTION("""COMPUTED_VALUE"""),"हिन्दी")</f>
        <v>हिन्दी</v>
      </c>
      <c r="G871" s="1" t="str">
        <f ca="1">IFERROR(__xludf.DUMMYFUNCTION("""COMPUTED_VALUE"""),"युग द्रष्टा पं. श्रीराम शर्मा आचार्यजी")</f>
        <v>युग द्रष्टा पं. श्रीराम शर्मा आचार्यजी</v>
      </c>
      <c r="H871" s="1"/>
      <c r="I871" s="1"/>
      <c r="J871" s="1"/>
      <c r="K871" s="1"/>
      <c r="L871" s="1"/>
      <c r="M871" s="1"/>
      <c r="N871" s="1"/>
      <c r="O871" s="1"/>
      <c r="P871" s="1" t="str">
        <f ca="1">IFERROR(__xludf.DUMMYFUNCTION("""COMPUTED_VALUE"""),"युगॠषी का जीवनदर्शन")</f>
        <v>युगॠषी का जीवनदर्शन</v>
      </c>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f ca="1">IFERROR(__xludf.DUMMYFUNCTION("""COMPUTED_VALUE"""),23)</f>
        <v>23</v>
      </c>
      <c r="BX871" s="1">
        <f ca="1">IFERROR(__xludf.DUMMYFUNCTION("""COMPUTED_VALUE"""),28)</f>
        <v>28</v>
      </c>
      <c r="BY871" s="1">
        <f ca="1">IFERROR(__xludf.DUMMYFUNCTION("""COMPUTED_VALUE"""),2)</f>
        <v>2</v>
      </c>
      <c r="BZ871" s="1">
        <f ca="1">IFERROR(__xludf.DUMMYFUNCTION("""COMPUTED_VALUE"""),24)</f>
        <v>24</v>
      </c>
      <c r="CA871" s="1" t="str">
        <f ca="1">IFERROR(__xludf.DUMMYFUNCTION("""COMPUTED_VALUE"""),"Yes")</f>
        <v>Yes</v>
      </c>
      <c r="CB871" s="5">
        <f ca="1">IFERROR(__xludf.DUMMYFUNCTION("""COMPUTED_VALUE"""),45143.5449537499)</f>
        <v>45143.544953749901</v>
      </c>
      <c r="CC871" s="1" t="str">
        <f ca="1">IFERROR(__xludf.DUMMYFUNCTION("""COMPUTED_VALUE"""),"देवात्मा हिमालय एवं ऋषि परंपरा : H_JS_15")</f>
        <v>देवात्मा हिमालय एवं ऋषि परंपरा : H_JS_15</v>
      </c>
      <c r="CD871" s="3" t="str">
        <f ca="1">IFERROR(__xludf.DUMMYFUNCTION("""COMPUTED_VALUE"""),"https://vicharkrantibooks.org/productdetail?book_name=HINP0222_DEVATMA_HIMALAY_EVAM_RUSHI_PARAMPARA_xx2011&amp;product_id=787")</f>
        <v>https://vicharkrantibooks.org/productdetail?book_name=HINP0222_DEVATMA_HIMALAY_EVAM_RUSHI_PARAMPARA_xx2011&amp;product_id=787</v>
      </c>
      <c r="CE871" s="1" t="str">
        <f ca="1">IFERROR(__xludf.DUMMYFUNCTION("""COMPUTED_VALUE"""),"Audiobook : देवात्मा हिमालय एवं ऋषि परंपरा : H_JS_15 : richasharma310575@gmail.com : Recorded")</f>
        <v>Audiobook : देवात्मा हिमालय एवं ऋषि परंपरा : H_JS_15 : richasharma310575@gmail.com : Recorded</v>
      </c>
      <c r="CF871" s="1" t="str">
        <f ca="1">IFERROR(__xludf.DUMMYFUNCTION("""COMPUTED_VALUE"""),"Audiobook : देवात्मा हिमालय एवं ऋषि परंपरा : H_JS_15 : richasharma310575@gmail.com : Recorded")</f>
        <v>Audiobook : देवात्मा हिमालय एवं ऋषि परंपरा : H_JS_15 : richasharma310575@gmail.com : Recorded</v>
      </c>
      <c r="CG871" s="1" t="str">
        <f ca="1">IFERROR(__xludf.DUMMYFUNCTION("""COMPUTED_VALUE"""),"Adarniya Richa Sharma ji देवात्मा हिमालय एवं ऋषि परंपरा : H_JS_15 : Allocated on 26-Jul-23 Contact Number  9479664049")</f>
        <v>Adarniya Richa Sharma ji देवात्मा हिमालय एवं ऋषि परंपरा : H_JS_15 : Allocated on 26-Jul-23 Contact Number  9479664049</v>
      </c>
      <c r="CH871" s="1"/>
      <c r="CI871" s="1"/>
    </row>
    <row r="872" spans="1:87" x14ac:dyDescent="0.25">
      <c r="A872" s="5">
        <f ca="1">IFERROR(__xludf.DUMMYFUNCTION("""COMPUTED_VALUE"""),45132.9289827083)</f>
        <v>45132.928982708298</v>
      </c>
      <c r="B872" s="1" t="str">
        <f ca="1">IFERROR(__xludf.DUMMYFUNCTION("""COMPUTED_VALUE"""),"shubhra1306@gmail.com")</f>
        <v>shubhra1306@gmail.com</v>
      </c>
      <c r="C872" s="1" t="str">
        <f ca="1">IFERROR(__xludf.DUMMYFUNCTION("""COMPUTED_VALUE"""),"Shubhra saraf")</f>
        <v>Shubhra saraf</v>
      </c>
      <c r="D872" s="1">
        <f ca="1">IFERROR(__xludf.DUMMYFUNCTION("""COMPUTED_VALUE"""),8217496018)</f>
        <v>8217496018</v>
      </c>
      <c r="E872" s="1" t="str">
        <f ca="1">IFERROR(__xludf.DUMMYFUNCTION("""COMPUTED_VALUE"""),"Yes")</f>
        <v>Yes</v>
      </c>
      <c r="F872" s="1" t="str">
        <f ca="1">IFERROR(__xludf.DUMMYFUNCTION("""COMPUTED_VALUE"""),"हिन्दी")</f>
        <v>हिन्दी</v>
      </c>
      <c r="G872" s="1" t="str">
        <f ca="1">IFERROR(__xludf.DUMMYFUNCTION("""COMPUTED_VALUE"""),"युग द्रष्टा पं. श्रीराम शर्मा आचार्यजी")</f>
        <v>युग द्रष्टा पं. श्रीराम शर्मा आचार्यजी</v>
      </c>
      <c r="H872" s="1"/>
      <c r="I872" s="1"/>
      <c r="J872" s="1"/>
      <c r="K872" s="1"/>
      <c r="L872" s="1"/>
      <c r="M872" s="1"/>
      <c r="N872" s="1"/>
      <c r="O872" s="1"/>
      <c r="P872" s="1" t="str">
        <f ca="1">IFERROR(__xludf.DUMMYFUNCTION("""COMPUTED_VALUE"""),"युगॠषी की अमृतवाणी")</f>
        <v>युगॠषी की अमृतवाणी</v>
      </c>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f ca="1">IFERROR(__xludf.DUMMYFUNCTION("""COMPUTED_VALUE"""),2)</f>
        <v>2</v>
      </c>
      <c r="BX872" s="1">
        <f ca="1">IFERROR(__xludf.DUMMYFUNCTION("""COMPUTED_VALUE"""),1)</f>
        <v>1</v>
      </c>
      <c r="BY872" s="1">
        <f ca="1">IFERROR(__xludf.DUMMYFUNCTION("""COMPUTED_VALUE"""),1)</f>
        <v>1</v>
      </c>
      <c r="BZ872" s="1">
        <f ca="1">IFERROR(__xludf.DUMMYFUNCTION("""COMPUTED_VALUE"""),1)</f>
        <v>1</v>
      </c>
      <c r="CA872" s="1" t="str">
        <f ca="1">IFERROR(__xludf.DUMMYFUNCTION("""COMPUTED_VALUE"""),"Yes")</f>
        <v>Yes</v>
      </c>
      <c r="CB872" s="5">
        <f ca="1">IFERROR(__xludf.DUMMYFUNCTION("""COMPUTED_VALUE"""),45142.9289827083)</f>
        <v>45142.928982708298</v>
      </c>
      <c r="CC872" s="1" t="str">
        <f ca="1">IFERROR(__xludf.DUMMYFUNCTION("""COMPUTED_VALUE"""),"अपने अंग अवयवों से : H_KD_47")</f>
        <v>अपने अंग अवयवों से : H_KD_47</v>
      </c>
      <c r="CD872" s="3" t="str">
        <f ca="1">IFERROR(__xludf.DUMMYFUNCTION("""COMPUTED_VALUE"""),"https://vicharkrantibooks.org/productdetail?book_name=HINP0059_APANE_ANG_AVAYAVON_SE_Re2015&amp;product_id=624")</f>
        <v>https://vicharkrantibooks.org/productdetail?book_name=HINP0059_APANE_ANG_AVAYAVON_SE_Re2015&amp;product_id=624</v>
      </c>
      <c r="CE872" s="1" t="str">
        <f ca="1">IFERROR(__xludf.DUMMYFUNCTION("""COMPUTED_VALUE"""),"Audiobook : अपने अंग अवयवों से : H_KD_47 : shubhra1306@gmail.com : Recorded")</f>
        <v>Audiobook : अपने अंग अवयवों से : H_KD_47 : shubhra1306@gmail.com : Recorded</v>
      </c>
      <c r="CF872" s="1" t="str">
        <f ca="1">IFERROR(__xludf.DUMMYFUNCTION("""COMPUTED_VALUE"""),"#N/A")</f>
        <v>#N/A</v>
      </c>
      <c r="CG872" s="1" t="str">
        <f ca="1">IFERROR(__xludf.DUMMYFUNCTION("""COMPUTED_VALUE"""),"Adarniya Shubhra saraf ji अपने अंग अवयवों से : H_KD_47 : Allocated on 25-Jul-23 Contact Number  8217496018")</f>
        <v>Adarniya Shubhra saraf ji अपने अंग अवयवों से : H_KD_47 : Allocated on 25-Jul-23 Contact Number  8217496018</v>
      </c>
      <c r="CH872" s="1"/>
      <c r="CI872" s="1"/>
    </row>
    <row r="873" spans="1:87" x14ac:dyDescent="0.25">
      <c r="A873" s="5">
        <f ca="1">IFERROR(__xludf.DUMMYFUNCTION("""COMPUTED_VALUE"""),45131.6100469907)</f>
        <v>45131.610046990703</v>
      </c>
      <c r="B873" s="1" t="str">
        <f ca="1">IFERROR(__xludf.DUMMYFUNCTION("""COMPUTED_VALUE"""),"druma4107@gmail.com")</f>
        <v>druma4107@gmail.com</v>
      </c>
      <c r="C873" s="1" t="str">
        <f ca="1">IFERROR(__xludf.DUMMYFUNCTION("""COMPUTED_VALUE"""),"Dr Uma Agrawal ")</f>
        <v xml:space="preserve">Dr Uma Agrawal </v>
      </c>
      <c r="D873" s="1">
        <f ca="1">IFERROR(__xludf.DUMMYFUNCTION("""COMPUTED_VALUE"""),9410861182)</f>
        <v>9410861182</v>
      </c>
      <c r="E873" s="1" t="str">
        <f ca="1">IFERROR(__xludf.DUMMYFUNCTION("""COMPUTED_VALUE"""),"Yes")</f>
        <v>Yes</v>
      </c>
      <c r="F873" s="1" t="str">
        <f ca="1">IFERROR(__xludf.DUMMYFUNCTION("""COMPUTED_VALUE"""),"हिन्दी")</f>
        <v>हिन्दी</v>
      </c>
      <c r="G873" s="1" t="str">
        <f ca="1">IFERROR(__xludf.DUMMYFUNCTION("""COMPUTED_VALUE"""),"व्यक्ति निर्माण, युवा/विद्यार्थी एवं शिक्षक")</f>
        <v>व्यक्ति निर्माण, युवा/विद्यार्थी एवं शिक्षक</v>
      </c>
      <c r="H873" s="1"/>
      <c r="I873" s="1"/>
      <c r="J873" s="1"/>
      <c r="K873" s="1"/>
      <c r="L873" s="1"/>
      <c r="M873" s="1"/>
      <c r="N873" s="1"/>
      <c r="O873" s="1"/>
      <c r="P873" s="1"/>
      <c r="Q873" s="1"/>
      <c r="R873" s="1"/>
      <c r="S873" s="1"/>
      <c r="T873" s="1" t="str">
        <f ca="1">IFERROR(__xludf.DUMMYFUNCTION("""COMPUTED_VALUE"""),"विद्यार्थी एवं शिक्षक")</f>
        <v>विद्यार्थी एवं शिक्षक</v>
      </c>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f ca="1">IFERROR(__xludf.DUMMYFUNCTION("""COMPUTED_VALUE"""),104)</f>
        <v>104</v>
      </c>
      <c r="BX873" s="1">
        <f ca="1">IFERROR(__xludf.DUMMYFUNCTION("""COMPUTED_VALUE"""),106)</f>
        <v>106</v>
      </c>
      <c r="BY873" s="1">
        <f ca="1">IFERROR(__xludf.DUMMYFUNCTION("""COMPUTED_VALUE"""),9)</f>
        <v>9</v>
      </c>
      <c r="BZ873" s="1">
        <f ca="1">IFERROR(__xludf.DUMMYFUNCTION("""COMPUTED_VALUE"""),43)</f>
        <v>43</v>
      </c>
      <c r="CA873" s="1" t="str">
        <f ca="1">IFERROR(__xludf.DUMMYFUNCTION("""COMPUTED_VALUE"""),"Yes")</f>
        <v>Yes</v>
      </c>
      <c r="CB873" s="5">
        <f ca="1">IFERROR(__xludf.DUMMYFUNCTION("""COMPUTED_VALUE"""),45141.6100469907)</f>
        <v>45141.610046990703</v>
      </c>
      <c r="CC873" s="1" t="str">
        <f ca="1">IFERROR(__xludf.DUMMYFUNCTION("""COMPUTED_VALUE"""),"आत्महीनता के बोझ से दब न मरें : Rare Book")</f>
        <v>आत्महीनता के बोझ से दब न मरें : Rare Book</v>
      </c>
      <c r="CD873" s="3" t="str">
        <f ca="1">IFERROR(__xludf.DUMMYFUNCTION("""COMPUTED_VALUE"""),"https://vicharkrantibooks.org/productdetail?book_name=HINP0103_ATMHINATA_KE_BOJ_SE_DAB_NA_MAREN_xx1979&amp;product_id=668")</f>
        <v>https://vicharkrantibooks.org/productdetail?book_name=HINP0103_ATMHINATA_KE_BOJ_SE_DAB_NA_MAREN_xx1979&amp;product_id=668</v>
      </c>
      <c r="CE873" s="1" t="str">
        <f ca="1">IFERROR(__xludf.DUMMYFUNCTION("""COMPUTED_VALUE"""),"Audiobook : आत्महीनता के बोझ से दब न मरें : Rare Book : druma4107@gmail.com : Recorded")</f>
        <v>Audiobook : आत्महीनता के बोझ से दब न मरें : Rare Book : druma4107@gmail.com : Recorded</v>
      </c>
      <c r="CF873" s="1" t="str">
        <f ca="1">IFERROR(__xludf.DUMMYFUNCTION("""COMPUTED_VALUE"""),"Audiobook : आत्महीनता के बोझ से दब न मरें : Rare Book : druma4107@gmail.com : Recorded")</f>
        <v>Audiobook : आत्महीनता के बोझ से दब न मरें : Rare Book : druma4107@gmail.com : Recorded</v>
      </c>
      <c r="CG873" s="1" t="str">
        <f ca="1">IFERROR(__xludf.DUMMYFUNCTION("""COMPUTED_VALUE"""),"Adarniya Dr Uma Agrawal  ji आत्महीनता के बोझ से दब न मरें : Rare Book : Allocated on 24-Jul-23 Contact Number  9410861182")</f>
        <v>Adarniya Dr Uma Agrawal  ji आत्महीनता के बोझ से दब न मरें : Rare Book : Allocated on 24-Jul-23 Contact Number  9410861182</v>
      </c>
      <c r="CH873" s="1"/>
      <c r="CI873" s="1"/>
    </row>
    <row r="874" spans="1:87" x14ac:dyDescent="0.25">
      <c r="A874" s="5">
        <f ca="1">IFERROR(__xludf.DUMMYFUNCTION("""COMPUTED_VALUE"""),45130.8541848148)</f>
        <v>45130.854184814802</v>
      </c>
      <c r="B874" s="1" t="str">
        <f ca="1">IFERROR(__xludf.DUMMYFUNCTION("""COMPUTED_VALUE"""),"amritadube@yahoo.com")</f>
        <v>amritadube@yahoo.com</v>
      </c>
      <c r="C874" s="1" t="str">
        <f ca="1">IFERROR(__xludf.DUMMYFUNCTION("""COMPUTED_VALUE"""),"Amrita")</f>
        <v>Amrita</v>
      </c>
      <c r="D874" s="1"/>
      <c r="E874" s="1" t="str">
        <f ca="1">IFERROR(__xludf.DUMMYFUNCTION("""COMPUTED_VALUE"""),"No")</f>
        <v>No</v>
      </c>
      <c r="F874" s="1" t="str">
        <f ca="1">IFERROR(__xludf.DUMMYFUNCTION("""COMPUTED_VALUE"""),"English")</f>
        <v>English</v>
      </c>
      <c r="G874" s="1" t="str">
        <f ca="1">IFERROR(__xludf.DUMMYFUNCTION("""COMPUTED_VALUE"""),"व्यक्ति निर्माण, युवा/विद्यार्थी एवं शिक्षक")</f>
        <v>व्यक्ति निर्माण, युवा/विद्यार्थी एवं शिक्षक</v>
      </c>
      <c r="H874" s="1"/>
      <c r="I874" s="1"/>
      <c r="J874" s="1"/>
      <c r="K874" s="1"/>
      <c r="L874" s="1"/>
      <c r="M874" s="1"/>
      <c r="N874" s="1"/>
      <c r="O874" s="1"/>
      <c r="P874" s="1"/>
      <c r="Q874" s="1"/>
      <c r="R874" s="1"/>
      <c r="S874" s="1"/>
      <c r="T874" s="1" t="str">
        <f ca="1">IFERROR(__xludf.DUMMYFUNCTION("""COMPUTED_VALUE"""),"युवा जागृति")</f>
        <v>युवा जागृति</v>
      </c>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f ca="1">IFERROR(__xludf.DUMMYFUNCTION("""COMPUTED_VALUE"""),1)</f>
        <v>1</v>
      </c>
      <c r="BX874" s="1">
        <f ca="1">IFERROR(__xludf.DUMMYFUNCTION("""COMPUTED_VALUE"""),0)</f>
        <v>0</v>
      </c>
      <c r="BY874" s="1">
        <f ca="1">IFERROR(__xludf.DUMMYFUNCTION("""COMPUTED_VALUE"""),1)</f>
        <v>1</v>
      </c>
      <c r="BZ874" s="1">
        <f ca="1">IFERROR(__xludf.DUMMYFUNCTION("""COMPUTED_VALUE"""),0)</f>
        <v>0</v>
      </c>
      <c r="CA874" s="1" t="str">
        <f ca="1">IFERROR(__xludf.DUMMYFUNCTION("""COMPUTED_VALUE"""),"Yes")</f>
        <v>Yes</v>
      </c>
      <c r="CB874" s="5">
        <f ca="1">IFERROR(__xludf.DUMMYFUNCTION("""COMPUTED_VALUE"""),45140.8541848148)</f>
        <v>45140.854184814802</v>
      </c>
      <c r="CC874" s="1" t="str">
        <f ca="1">IFERROR(__xludf.DUMMYFUNCTION("""COMPUTED_VALUE"""),"Hamsa Yoga The Elixir Of Self Realization : EP_47")</f>
        <v>Hamsa Yoga The Elixir Of Self Realization : EP_47</v>
      </c>
      <c r="CD874" s="3" t="str">
        <f ca="1">IFERROR(__xludf.DUMMYFUNCTION("""COMPUTED_VALUE"""),"https://vicharkrantibooks.org/productdetail?book_name=ENGP0863_HAMSA_YOGA_THE_ELIXIR_OF_SELF_REALIZATION_RE2011&amp;product_id=3440")</f>
        <v>https://vicharkrantibooks.org/productdetail?book_name=ENGP0863_HAMSA_YOGA_THE_ELIXIR_OF_SELF_REALIZATION_RE2011&amp;product_id=3440</v>
      </c>
      <c r="CE874" s="1" t="str">
        <f ca="1">IFERROR(__xludf.DUMMYFUNCTION("""COMPUTED_VALUE"""),"Audiobook : Hamsa Yoga The Elixir Of Self Realization : EP_47 : amritadube@yahoo.com : Recorded")</f>
        <v>Audiobook : Hamsa Yoga The Elixir Of Self Realization : EP_47 : amritadube@yahoo.com : Recorded</v>
      </c>
      <c r="CF874" s="1" t="str">
        <f ca="1">IFERROR(__xludf.DUMMYFUNCTION("""COMPUTED_VALUE"""),"#N/A")</f>
        <v>#N/A</v>
      </c>
      <c r="CG874" s="1" t="str">
        <f ca="1">IFERROR(__xludf.DUMMYFUNCTION("""COMPUTED_VALUE"""),"Adarniya Amrita ji Hamsa Yoga The Elixir Of Self Realization : EP_47 : Allocated on 23-Jul-23 Contact Number  ")</f>
        <v xml:space="preserve">Adarniya Amrita ji Hamsa Yoga The Elixir Of Self Realization : EP_47 : Allocated on 23-Jul-23 Contact Number  </v>
      </c>
      <c r="CH874" s="1"/>
      <c r="CI874" s="1"/>
    </row>
    <row r="875" spans="1:87" x14ac:dyDescent="0.25">
      <c r="A875" s="5">
        <f ca="1">IFERROR(__xludf.DUMMYFUNCTION("""COMPUTED_VALUE"""),45129.6511901504)</f>
        <v>45129.651190150398</v>
      </c>
      <c r="B875" s="1" t="str">
        <f ca="1">IFERROR(__xludf.DUMMYFUNCTION("""COMPUTED_VALUE"""),"rbbansalriya@gmail.com")</f>
        <v>rbbansalriya@gmail.com</v>
      </c>
      <c r="C875" s="1" t="str">
        <f ca="1">IFERROR(__xludf.DUMMYFUNCTION("""COMPUTED_VALUE"""),"Riya bansal ")</f>
        <v xml:space="preserve">Riya bansal </v>
      </c>
      <c r="D875" s="1">
        <f ca="1">IFERROR(__xludf.DUMMYFUNCTION("""COMPUTED_VALUE"""),9176361023)</f>
        <v>9176361023</v>
      </c>
      <c r="E875" s="1" t="str">
        <f ca="1">IFERROR(__xludf.DUMMYFUNCTION("""COMPUTED_VALUE"""),"Yes")</f>
        <v>Yes</v>
      </c>
      <c r="F875" s="1" t="str">
        <f ca="1">IFERROR(__xludf.DUMMYFUNCTION("""COMPUTED_VALUE"""),"हिन्दी")</f>
        <v>हिन्दी</v>
      </c>
      <c r="G875" s="1" t="str">
        <f ca="1">IFERROR(__xludf.DUMMYFUNCTION("""COMPUTED_VALUE"""),"समाज निर्माण")</f>
        <v>समाज निर्माण</v>
      </c>
      <c r="H875" s="1"/>
      <c r="I875" s="1"/>
      <c r="J875" s="1"/>
      <c r="K875" s="1"/>
      <c r="L875" s="1"/>
      <c r="M875" s="1"/>
      <c r="N875" s="1"/>
      <c r="O875" s="1"/>
      <c r="P875" s="1"/>
      <c r="Q875" s="1"/>
      <c r="R875" s="1"/>
      <c r="S875" s="1"/>
      <c r="T875" s="1"/>
      <c r="U875" s="1"/>
      <c r="V875" s="1" t="str">
        <f ca="1">IFERROR(__xludf.DUMMYFUNCTION("""COMPUTED_VALUE"""),"आदर्श विवाहों का प्रचलन")</f>
        <v>आदर्श विवाहों का प्रचलन</v>
      </c>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f ca="1">IFERROR(__xludf.DUMMYFUNCTION("""COMPUTED_VALUE"""),54)</f>
        <v>54</v>
      </c>
      <c r="BX875" s="1">
        <f ca="1">IFERROR(__xludf.DUMMYFUNCTION("""COMPUTED_VALUE"""),55)</f>
        <v>55</v>
      </c>
      <c r="BY875" s="1">
        <f ca="1">IFERROR(__xludf.DUMMYFUNCTION("""COMPUTED_VALUE"""),9)</f>
        <v>9</v>
      </c>
      <c r="BZ875" s="1">
        <f ca="1">IFERROR(__xludf.DUMMYFUNCTION("""COMPUTED_VALUE"""),43)</f>
        <v>43</v>
      </c>
      <c r="CA875" s="1" t="str">
        <f ca="1">IFERROR(__xludf.DUMMYFUNCTION("""COMPUTED_VALUE"""),"Yes")</f>
        <v>Yes</v>
      </c>
      <c r="CB875" s="5">
        <f ca="1">IFERROR(__xludf.DUMMYFUNCTION("""COMPUTED_VALUE"""),45139.6511901504)</f>
        <v>45139.651190150398</v>
      </c>
      <c r="CC875" s="1" t="str">
        <f ca="1">IFERROR(__xludf.DUMMYFUNCTION("""COMPUTED_VALUE"""),"छात्र वर्ग में नशे की दुष्प्रवृत्तियाँ : H_VM_13")</f>
        <v>छात्र वर्ग में नशे की दुष्प्रवृत्तियाँ : H_VM_13</v>
      </c>
      <c r="CD875" s="3" t="str">
        <f ca="1">IFERROR(__xludf.DUMMYFUNCTION("""COMPUTED_VALUE"""),"https://vicharkrantibooks.org/productdetail?book_name=HINP0191_CHHATR_VARG_MEIN_NASHE_KI_DUSHPRAVRUTTIYAN_xxyyyy&amp;product_id=756")</f>
        <v>https://vicharkrantibooks.org/productdetail?book_name=HINP0191_CHHATR_VARG_MEIN_NASHE_KI_DUSHPRAVRUTTIYAN_xxyyyy&amp;product_id=756</v>
      </c>
      <c r="CE875" s="1" t="str">
        <f ca="1">IFERROR(__xludf.DUMMYFUNCTION("""COMPUTED_VALUE"""),"Audiobook : छात्र वर्ग में नशे की दुष्प्रवृत्तियाँ : H_VM_13 : rbbansalriya@gmail.com : Recorded")</f>
        <v>Audiobook : छात्र वर्ग में नशे की दुष्प्रवृत्तियाँ : H_VM_13 : rbbansalriya@gmail.com : Recorded</v>
      </c>
      <c r="CF875" s="1" t="str">
        <f ca="1">IFERROR(__xludf.DUMMYFUNCTION("""COMPUTED_VALUE"""),"Audiobook : छात्र वर्ग में नशे की दुष्प्रवृत्तियाँ : H_VM_13 : rbbansalriya@gmail.com : Recorded")</f>
        <v>Audiobook : छात्र वर्ग में नशे की दुष्प्रवृत्तियाँ : H_VM_13 : rbbansalriya@gmail.com : Recorded</v>
      </c>
      <c r="CG875" s="1" t="str">
        <f ca="1">IFERROR(__xludf.DUMMYFUNCTION("""COMPUTED_VALUE"""),"Adarniya Riya bansal  ji छात्र वर्ग में नशे की दुष्प्रवृत्तियाँ : H_VM_13 : Allocated on 22-Jul-23 Contact Number  9176361023")</f>
        <v>Adarniya Riya bansal  ji छात्र वर्ग में नशे की दुष्प्रवृत्तियाँ : H_VM_13 : Allocated on 22-Jul-23 Contact Number  9176361023</v>
      </c>
      <c r="CH875" s="1"/>
      <c r="CI875" s="1"/>
    </row>
    <row r="876" spans="1:87" x14ac:dyDescent="0.25">
      <c r="A876" s="5">
        <f ca="1">IFERROR(__xludf.DUMMYFUNCTION("""COMPUTED_VALUE"""),45127.8134365162)</f>
        <v>45127.813436516197</v>
      </c>
      <c r="B876" s="1" t="str">
        <f ca="1">IFERROR(__xludf.DUMMYFUNCTION("""COMPUTED_VALUE"""),"spmittalmumbai@gmail.com")</f>
        <v>spmittalmumbai@gmail.com</v>
      </c>
      <c r="C876" s="1" t="str">
        <f ca="1">IFERROR(__xludf.DUMMYFUNCTION("""COMPUTED_VALUE"""),"S.P.Mittal")</f>
        <v>S.P.Mittal</v>
      </c>
      <c r="D876" s="1">
        <f ca="1">IFERROR(__xludf.DUMMYFUNCTION("""COMPUTED_VALUE"""),9860003407)</f>
        <v>9860003407</v>
      </c>
      <c r="E876" s="1" t="str">
        <f ca="1">IFERROR(__xludf.DUMMYFUNCTION("""COMPUTED_VALUE"""),"Yes")</f>
        <v>Yes</v>
      </c>
      <c r="F876" s="1" t="str">
        <f ca="1">IFERROR(__xludf.DUMMYFUNCTION("""COMPUTED_VALUE"""),"हिन्दी")</f>
        <v>हिन्दी</v>
      </c>
      <c r="G876" s="1" t="str">
        <f ca="1">IFERROR(__xludf.DUMMYFUNCTION("""COMPUTED_VALUE"""),"अध्यात्म, धर्म एवं दर्शन")</f>
        <v>अध्यात्म, धर्म एवं दर्शन</v>
      </c>
      <c r="H876" s="1" t="str">
        <f ca="1">IFERROR(__xludf.DUMMYFUNCTION("""COMPUTED_VALUE"""),"उपासना")</f>
        <v>उपासना</v>
      </c>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f ca="1">IFERROR(__xludf.DUMMYFUNCTION("""COMPUTED_VALUE"""),39)</f>
        <v>39</v>
      </c>
      <c r="BX876" s="1">
        <f ca="1">IFERROR(__xludf.DUMMYFUNCTION("""COMPUTED_VALUE"""),32)</f>
        <v>32</v>
      </c>
      <c r="BY876" s="1">
        <f ca="1">IFERROR(__xludf.DUMMYFUNCTION("""COMPUTED_VALUE"""),11)</f>
        <v>11</v>
      </c>
      <c r="BZ876" s="1">
        <f ca="1">IFERROR(__xludf.DUMMYFUNCTION("""COMPUTED_VALUE"""),23)</f>
        <v>23</v>
      </c>
      <c r="CA876" s="1" t="str">
        <f ca="1">IFERROR(__xludf.DUMMYFUNCTION("""COMPUTED_VALUE"""),"Yes")</f>
        <v>Yes</v>
      </c>
      <c r="CB876" s="5">
        <f ca="1">IFERROR(__xludf.DUMMYFUNCTION("""COMPUTED_VALUE"""),45137.8134365162)</f>
        <v>45137.813436516197</v>
      </c>
      <c r="CC876" s="1" t="str">
        <f ca="1">IFERROR(__xludf.DUMMYFUNCTION("""COMPUTED_VALUE"""),"धर्मतंत्र का दुरुपयोग रुके : H_JS_08")</f>
        <v>धर्मतंत्र का दुरुपयोग रुके : H_JS_08</v>
      </c>
      <c r="CD876" s="3" t="str">
        <f ca="1">IFERROR(__xludf.DUMMYFUNCTION("""COMPUTED_VALUE"""),"https://vicharkrantibooks.org/productdetail?book_name=HINP0243_DHARMATANTR_KA_DURUPAYOG_RUKE_xx2011&amp;product_id=808")</f>
        <v>https://vicharkrantibooks.org/productdetail?book_name=HINP0243_DHARMATANTR_KA_DURUPAYOG_RUKE_xx2011&amp;product_id=808</v>
      </c>
      <c r="CE876" s="1" t="str">
        <f ca="1">IFERROR(__xludf.DUMMYFUNCTION("""COMPUTED_VALUE"""),"Audiobook : धर्मतंत्र का दुरुपयोग रुके : H_JS_08 : spmittalmumbai@gmail.com : Recorded")</f>
        <v>Audiobook : धर्मतंत्र का दुरुपयोग रुके : H_JS_08 : spmittalmumbai@gmail.com : Recorded</v>
      </c>
      <c r="CF876" s="1" t="str">
        <f ca="1">IFERROR(__xludf.DUMMYFUNCTION("""COMPUTED_VALUE"""),"Audiobook : धर्मतंत्र का दुरुपयोग रुके : H_JS_08 : spmittalmumbai@gmail.com : Recorded")</f>
        <v>Audiobook : धर्मतंत्र का दुरुपयोग रुके : H_JS_08 : spmittalmumbai@gmail.com : Recorded</v>
      </c>
      <c r="CG876" s="1" t="str">
        <f ca="1">IFERROR(__xludf.DUMMYFUNCTION("""COMPUTED_VALUE"""),"Adarniya S.P.Mittal ji धर्मतंत्र का दुरुपयोग रुके : H_JS_08 : Allocated on 20-Jul-23 Contact Number  9860003407")</f>
        <v>Adarniya S.P.Mittal ji धर्मतंत्र का दुरुपयोग रुके : H_JS_08 : Allocated on 20-Jul-23 Contact Number  9860003407</v>
      </c>
      <c r="CH876" s="1"/>
      <c r="CI876" s="1"/>
    </row>
    <row r="877" spans="1:87" x14ac:dyDescent="0.25">
      <c r="A877" s="5">
        <f ca="1">IFERROR(__xludf.DUMMYFUNCTION("""COMPUTED_VALUE"""),45127.570489155)</f>
        <v>45127.570489154998</v>
      </c>
      <c r="B877" s="1" t="str">
        <f ca="1">IFERROR(__xludf.DUMMYFUNCTION("""COMPUTED_VALUE"""),"eghuratia@gmail.com")</f>
        <v>eghuratia@gmail.com</v>
      </c>
      <c r="C877" s="1" t="str">
        <f ca="1">IFERROR(__xludf.DUMMYFUNCTION("""COMPUTED_VALUE"""),"Eka Ghuratia")</f>
        <v>Eka Ghuratia</v>
      </c>
      <c r="D877" s="1">
        <f ca="1">IFERROR(__xludf.DUMMYFUNCTION("""COMPUTED_VALUE"""),9826826249)</f>
        <v>9826826249</v>
      </c>
      <c r="E877" s="1" t="str">
        <f ca="1">IFERROR(__xludf.DUMMYFUNCTION("""COMPUTED_VALUE"""),"Not Relevant")</f>
        <v>Not Relevant</v>
      </c>
      <c r="F877" s="1" t="str">
        <f ca="1">IFERROR(__xludf.DUMMYFUNCTION("""COMPUTED_VALUE"""),"हिन्दी or English")</f>
        <v>हिन्दी or English</v>
      </c>
      <c r="G877" s="1" t="str">
        <f ca="1">IFERROR(__xludf.DUMMYFUNCTION("""COMPUTED_VALUE"""),"अध्यात्म, धर्म एवं दर्शन")</f>
        <v>अध्यात्म, धर्म एवं दर्शन</v>
      </c>
      <c r="H877" s="1" t="str">
        <f ca="1">IFERROR(__xludf.DUMMYFUNCTION("""COMPUTED_VALUE"""),"साधना")</f>
        <v>साधना</v>
      </c>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f ca="1">IFERROR(__xludf.DUMMYFUNCTION("""COMPUTED_VALUE"""),1)</f>
        <v>1</v>
      </c>
      <c r="BX877" s="1">
        <f ca="1">IFERROR(__xludf.DUMMYFUNCTION("""COMPUTED_VALUE"""),0)</f>
        <v>0</v>
      </c>
      <c r="BY877" s="1">
        <f ca="1">IFERROR(__xludf.DUMMYFUNCTION("""COMPUTED_VALUE"""),1)</f>
        <v>1</v>
      </c>
      <c r="BZ877" s="1">
        <f ca="1">IFERROR(__xludf.DUMMYFUNCTION("""COMPUTED_VALUE"""),0)</f>
        <v>0</v>
      </c>
      <c r="CA877" s="1" t="str">
        <f ca="1">IFERROR(__xludf.DUMMYFUNCTION("""COMPUTED_VALUE"""),"Yes")</f>
        <v>Yes</v>
      </c>
      <c r="CB877" s="5">
        <f ca="1">IFERROR(__xludf.DUMMYFUNCTION("""COMPUTED_VALUE"""),45137.570489155)</f>
        <v>45137.570489154998</v>
      </c>
      <c r="CC877" s="1" t="str">
        <f ca="1">IFERROR(__xludf.DUMMYFUNCTION("""COMPUTED_VALUE"""),"Elite Should Come Forward To Manage The religious Set up : EP_09")</f>
        <v>Elite Should Come Forward To Manage The religious Set up : EP_09</v>
      </c>
      <c r="CD877" s="3" t="str">
        <f ca="1">IFERROR(__xludf.DUMMYFUNCTION("""COMPUTED_VALUE"""),"https://vicharkrantibooks.org/productdetail?book_name=ENGR0976_ELITE_SHOULD_COME_FORWARD_TO_MANAGE_THE_RELIGIOUS_SET_UP_RE2011&amp;product_id=3402")</f>
        <v>https://vicharkrantibooks.org/productdetail?book_name=ENGR0976_ELITE_SHOULD_COME_FORWARD_TO_MANAGE_THE_RELIGIOUS_SET_UP_RE2011&amp;product_id=3402</v>
      </c>
      <c r="CE877" s="1" t="str">
        <f ca="1">IFERROR(__xludf.DUMMYFUNCTION("""COMPUTED_VALUE"""),"Audiobook : Elite Should Come Forward To Manage The religious Set up : EP_09 : eghuratia@gmail.com : Recorded")</f>
        <v>Audiobook : Elite Should Come Forward To Manage The religious Set up : EP_09 : eghuratia@gmail.com : Recorded</v>
      </c>
      <c r="CF877" s="1" t="str">
        <f ca="1">IFERROR(__xludf.DUMMYFUNCTION("""COMPUTED_VALUE"""),"#N/A")</f>
        <v>#N/A</v>
      </c>
      <c r="CG877" s="1" t="str">
        <f ca="1">IFERROR(__xludf.DUMMYFUNCTION("""COMPUTED_VALUE"""),"Adarniya Eka Ghuratia ji Elite Should Come Forward To Manage The religious Set up : EP_09 : Allocated on 20-Jul-23 Contact Number  9826826249")</f>
        <v>Adarniya Eka Ghuratia ji Elite Should Come Forward To Manage The religious Set up : EP_09 : Allocated on 20-Jul-23 Contact Number  9826826249</v>
      </c>
      <c r="CH877" s="1"/>
      <c r="CI877" s="1"/>
    </row>
    <row r="878" spans="1:87" x14ac:dyDescent="0.25">
      <c r="A878" s="5">
        <f ca="1">IFERROR(__xludf.DUMMYFUNCTION("""COMPUTED_VALUE"""),45127.1759451273)</f>
        <v>45127.175945127303</v>
      </c>
      <c r="B878" s="1" t="str">
        <f ca="1">IFERROR(__xludf.DUMMYFUNCTION("""COMPUTED_VALUE"""),"sanjayneha1@yahoo.com")</f>
        <v>sanjayneha1@yahoo.com</v>
      </c>
      <c r="C878" s="1" t="str">
        <f ca="1">IFERROR(__xludf.DUMMYFUNCTION("""COMPUTED_VALUE"""),"Neha Manocha")</f>
        <v>Neha Manocha</v>
      </c>
      <c r="D878" s="1">
        <f ca="1">IFERROR(__xludf.DUMMYFUNCTION("""COMPUTED_VALUE"""),16174130446)</f>
        <v>16174130446</v>
      </c>
      <c r="E878" s="1" t="str">
        <f ca="1">IFERROR(__xludf.DUMMYFUNCTION("""COMPUTED_VALUE"""),"Yes")</f>
        <v>Yes</v>
      </c>
      <c r="F878" s="1" t="str">
        <f ca="1">IFERROR(__xludf.DUMMYFUNCTION("""COMPUTED_VALUE"""),"हिन्दी or English")</f>
        <v>हिन्दी or English</v>
      </c>
      <c r="G878" s="1" t="str">
        <f ca="1">IFERROR(__xludf.DUMMYFUNCTION("""COMPUTED_VALUE"""),"युग द्रष्टा पं. श्रीराम शर्मा आचार्यजी")</f>
        <v>युग द्रष्टा पं. श्रीराम शर्मा आचार्यजी</v>
      </c>
      <c r="H878" s="1"/>
      <c r="I878" s="1"/>
      <c r="J878" s="1"/>
      <c r="K878" s="1"/>
      <c r="L878" s="1"/>
      <c r="M878" s="1"/>
      <c r="N878" s="1"/>
      <c r="O878" s="1"/>
      <c r="P878" s="1" t="str">
        <f ca="1">IFERROR(__xludf.DUMMYFUNCTION("""COMPUTED_VALUE"""),"युगॠषी का जीवनदर्शन")</f>
        <v>युगॠषी का जीवनदर्शन</v>
      </c>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f ca="1">IFERROR(__xludf.DUMMYFUNCTION("""COMPUTED_VALUE"""),33)</f>
        <v>33</v>
      </c>
      <c r="BX878" s="1">
        <f ca="1">IFERROR(__xludf.DUMMYFUNCTION("""COMPUTED_VALUE"""),40)</f>
        <v>40</v>
      </c>
      <c r="BY878" s="1">
        <f ca="1">IFERROR(__xludf.DUMMYFUNCTION("""COMPUTED_VALUE"""),3)</f>
        <v>3</v>
      </c>
      <c r="BZ878" s="1">
        <f ca="1">IFERROR(__xludf.DUMMYFUNCTION("""COMPUTED_VALUE"""),22)</f>
        <v>22</v>
      </c>
      <c r="CA878" s="1" t="str">
        <f ca="1">IFERROR(__xludf.DUMMYFUNCTION("""COMPUTED_VALUE"""),"Yes")</f>
        <v>Yes</v>
      </c>
      <c r="CB878" s="5">
        <f ca="1">IFERROR(__xludf.DUMMYFUNCTION("""COMPUTED_VALUE"""),45137.1759451273)</f>
        <v>45137.175945127303</v>
      </c>
      <c r="CC878" s="1" t="str">
        <f ca="1">IFERROR(__xludf.DUMMYFUNCTION("""COMPUTED_VALUE"""),"Revered Gurudev Some Touching Reminiscences : EP_54")</f>
        <v>Revered Gurudev Some Touching Reminiscences : EP_54</v>
      </c>
      <c r="CD878" s="3" t="str">
        <f ca="1">IFERROR(__xludf.DUMMYFUNCTION("""COMPUTED_VALUE"""),"https://vicharkrantibooks.org/productdetail?book_name=ENGRE054_REVERED_GURUDEV_SOME_TOUCHING_REMINISCENCES_1st1999&amp;product_id=3447")</f>
        <v>https://vicharkrantibooks.org/productdetail?book_name=ENGRE054_REVERED_GURUDEV_SOME_TOUCHING_REMINISCENCES_1st1999&amp;product_id=3447</v>
      </c>
      <c r="CE878" s="1" t="str">
        <f ca="1">IFERROR(__xludf.DUMMYFUNCTION("""COMPUTED_VALUE"""),"Audiobook : Revered Gurudev Some Touching Reminiscences : EP_54 : sanjayneha1@yahoo.com : Recorded")</f>
        <v>Audiobook : Revered Gurudev Some Touching Reminiscences : EP_54 : sanjayneha1@yahoo.com : Recorded</v>
      </c>
      <c r="CF878" s="1" t="str">
        <f ca="1">IFERROR(__xludf.DUMMYFUNCTION("""COMPUTED_VALUE"""),"Audiobook : Revered Gurudev Some Touching Reminiscences : EP_54 : sanjayneha1@yahoo.com : Recorded")</f>
        <v>Audiobook : Revered Gurudev Some Touching Reminiscences : EP_54 : sanjayneha1@yahoo.com : Recorded</v>
      </c>
      <c r="CG878" s="1" t="str">
        <f ca="1">IFERROR(__xludf.DUMMYFUNCTION("""COMPUTED_VALUE"""),"Adarniya Neha Manocha ji Revered Gurudev Some Touching Reminiscences : EP_54 : Allocated on 20-Jul-23 Contact Number  16174130446")</f>
        <v>Adarniya Neha Manocha ji Revered Gurudev Some Touching Reminiscences : EP_54 : Allocated on 20-Jul-23 Contact Number  16174130446</v>
      </c>
      <c r="CH878" s="1"/>
      <c r="CI878" s="1"/>
    </row>
    <row r="879" spans="1:87" x14ac:dyDescent="0.25">
      <c r="A879" s="5">
        <f ca="1">IFERROR(__xludf.DUMMYFUNCTION("""COMPUTED_VALUE"""),45127.0194262963)</f>
        <v>45127.019426296298</v>
      </c>
      <c r="B879" s="1" t="str">
        <f ca="1">IFERROR(__xludf.DUMMYFUNCTION("""COMPUTED_VALUE"""),"ca.pbhawana@gmail.com")</f>
        <v>ca.pbhawana@gmail.com</v>
      </c>
      <c r="C879" s="1" t="str">
        <f ca="1">IFERROR(__xludf.DUMMYFUNCTION("""COMPUTED_VALUE"""),"Bhawana Sharma ")</f>
        <v xml:space="preserve">Bhawana Sharma </v>
      </c>
      <c r="D879" s="1">
        <f ca="1">IFERROR(__xludf.DUMMYFUNCTION("""COMPUTED_VALUE"""),8287235841)</f>
        <v>8287235841</v>
      </c>
      <c r="E879" s="1" t="str">
        <f ca="1">IFERROR(__xludf.DUMMYFUNCTION("""COMPUTED_VALUE"""),"Yes")</f>
        <v>Yes</v>
      </c>
      <c r="F879" s="1" t="str">
        <f ca="1">IFERROR(__xludf.DUMMYFUNCTION("""COMPUTED_VALUE"""),"हिन्दी or English")</f>
        <v>हिन्दी or English</v>
      </c>
      <c r="G879" s="1" t="str">
        <f ca="1">IFERROR(__xludf.DUMMYFUNCTION("""COMPUTED_VALUE"""),"समाज निर्माण")</f>
        <v>समाज निर्माण</v>
      </c>
      <c r="H879" s="1"/>
      <c r="I879" s="1"/>
      <c r="J879" s="1"/>
      <c r="K879" s="1"/>
      <c r="L879" s="1"/>
      <c r="M879" s="1"/>
      <c r="N879" s="1"/>
      <c r="O879" s="1"/>
      <c r="P879" s="1"/>
      <c r="Q879" s="1"/>
      <c r="R879" s="1"/>
      <c r="S879" s="1"/>
      <c r="T879" s="1"/>
      <c r="U879" s="1"/>
      <c r="V879" s="1" t="str">
        <f ca="1">IFERROR(__xludf.DUMMYFUNCTION("""COMPUTED_VALUE"""),"समाज निर्माण")</f>
        <v>समाज निर्माण</v>
      </c>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f ca="1">IFERROR(__xludf.DUMMYFUNCTION("""COMPUTED_VALUE"""),2)</f>
        <v>2</v>
      </c>
      <c r="BX879" s="1">
        <f ca="1">IFERROR(__xludf.DUMMYFUNCTION("""COMPUTED_VALUE"""),1)</f>
        <v>1</v>
      </c>
      <c r="BY879" s="1">
        <f ca="1">IFERROR(__xludf.DUMMYFUNCTION("""COMPUTED_VALUE"""),1)</f>
        <v>1</v>
      </c>
      <c r="BZ879" s="1">
        <f ca="1">IFERROR(__xludf.DUMMYFUNCTION("""COMPUTED_VALUE"""),1)</f>
        <v>1</v>
      </c>
      <c r="CA879" s="1" t="str">
        <f ca="1">IFERROR(__xludf.DUMMYFUNCTION("""COMPUTED_VALUE"""),"Yes")</f>
        <v>Yes</v>
      </c>
      <c r="CB879" s="5">
        <f ca="1">IFERROR(__xludf.DUMMYFUNCTION("""COMPUTED_VALUE"""),45137.0194262963)</f>
        <v>45137.019426296298</v>
      </c>
      <c r="CC879" s="1" t="str">
        <f ca="1">IFERROR(__xludf.DUMMYFUNCTION("""COMPUTED_VALUE"""),"Guidelines For The Aspiring Loksevi : EP_87")</f>
        <v>Guidelines For The Aspiring Loksevi : EP_87</v>
      </c>
      <c r="CD879" s="3" t="str">
        <f ca="1">IFERROR(__xludf.DUMMYFUNCTION("""COMPUTED_VALUE"""),"https://vicharkrantibooks.org/productdetail?book_name=ENGR0742_GUIDELINES_FOR_THE_ASPIRING_LOKSEVI_1st2008&amp;product_id=3482")</f>
        <v>https://vicharkrantibooks.org/productdetail?book_name=ENGR0742_GUIDELINES_FOR_THE_ASPIRING_LOKSEVI_1st2008&amp;product_id=3482</v>
      </c>
      <c r="CE879" s="1" t="str">
        <f ca="1">IFERROR(__xludf.DUMMYFUNCTION("""COMPUTED_VALUE"""),"Audiobook : Guidelines For The Aspiring Loksevi : EP_87 : ca.pbhawana@gmail.com : Recorded")</f>
        <v>Audiobook : Guidelines For The Aspiring Loksevi : EP_87 : ca.pbhawana@gmail.com : Recorded</v>
      </c>
      <c r="CF879" s="1" t="str">
        <f ca="1">IFERROR(__xludf.DUMMYFUNCTION("""COMPUTED_VALUE"""),"#N/A")</f>
        <v>#N/A</v>
      </c>
      <c r="CG879" s="1" t="str">
        <f ca="1">IFERROR(__xludf.DUMMYFUNCTION("""COMPUTED_VALUE"""),"Adarniya Bhawana Sharma  ji Guidelines For The Aspiring Loksevi : EP_87 : Allocated on 20-Jul-23 Contact Number  8287235841")</f>
        <v>Adarniya Bhawana Sharma  ji Guidelines For The Aspiring Loksevi : EP_87 : Allocated on 20-Jul-23 Contact Number  8287235841</v>
      </c>
      <c r="CH879" s="1"/>
      <c r="CI879" s="1"/>
    </row>
    <row r="880" spans="1:87" x14ac:dyDescent="0.25">
      <c r="A880" s="8">
        <f ca="1">IFERROR(__xludf.DUMMYFUNCTION("""COMPUTED_VALUE"""),45127)</f>
        <v>45127</v>
      </c>
      <c r="B880" s="1" t="str">
        <f ca="1">IFERROR(__xludf.DUMMYFUNCTION("""COMPUTED_VALUE"""),"vandana15rastogi@gmail.com")</f>
        <v>vandana15rastogi@gmail.com</v>
      </c>
      <c r="C880" s="1" t="str">
        <f ca="1">IFERROR(__xludf.DUMMYFUNCTION("""COMPUTED_VALUE"""),"Vandana Rastogi")</f>
        <v>Vandana Rastogi</v>
      </c>
      <c r="D880" s="1">
        <f ca="1">IFERROR(__xludf.DUMMYFUNCTION("""COMPUTED_VALUE"""),9359528684)</f>
        <v>9359528684</v>
      </c>
      <c r="E880" s="1" t="str">
        <f ca="1">IFERROR(__xludf.DUMMYFUNCTION("""COMPUTED_VALUE"""),"Yes")</f>
        <v>Yes</v>
      </c>
      <c r="F880" s="1" t="str">
        <f ca="1">IFERROR(__xludf.DUMMYFUNCTION("""COMPUTED_VALUE"""),"हिन्दी")</f>
        <v>हिन्दी</v>
      </c>
      <c r="G880" s="1" t="str">
        <f ca="1">IFERROR(__xludf.DUMMYFUNCTION("""COMPUTED_VALUE"""),"अध्यात्म, धर्म एवं दर्शन")</f>
        <v>अध्यात्म, धर्म एवं दर्शन</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f ca="1">IFERROR(__xludf.DUMMYFUNCTION("""COMPUTED_VALUE"""),33)</f>
        <v>33</v>
      </c>
      <c r="BX880" s="1">
        <f ca="1">IFERROR(__xludf.DUMMYFUNCTION("""COMPUTED_VALUE"""),19)</f>
        <v>19</v>
      </c>
      <c r="BY880" s="1">
        <f ca="1">IFERROR(__xludf.DUMMYFUNCTION("""COMPUTED_VALUE"""),17)</f>
        <v>17</v>
      </c>
      <c r="BZ880" s="1">
        <f ca="1">IFERROR(__xludf.DUMMYFUNCTION("""COMPUTED_VALUE"""),14)</f>
        <v>14</v>
      </c>
      <c r="CA880" s="1" t="str">
        <f ca="1">IFERROR(__xludf.DUMMYFUNCTION("""COMPUTED_VALUE"""),"Yes")</f>
        <v>Yes</v>
      </c>
      <c r="CB880" s="8">
        <f ca="1">IFERROR(__xludf.DUMMYFUNCTION("""COMPUTED_VALUE"""),45137)</f>
        <v>45137</v>
      </c>
      <c r="CC880" s="1" t="str">
        <f ca="1">IFERROR(__xludf.DUMMYFUNCTION("""COMPUTED_VALUE"""),"धर्म मंच से लोक शिक्षण : H_JS_36")</f>
        <v>धर्म मंच से लोक शिक्षण : H_JS_36</v>
      </c>
      <c r="CD880" s="3" t="str">
        <f ca="1">IFERROR(__xludf.DUMMYFUNCTION("""COMPUTED_VALUE"""),"https://vicharkrantibooks.org/productdetail?book_name=HINP0238_DHARM_MANCH_SE_LOK_SHIKSHAN_xx2011&amp;product_id=803")</f>
        <v>https://vicharkrantibooks.org/productdetail?book_name=HINP0238_DHARM_MANCH_SE_LOK_SHIKSHAN_xx2011&amp;product_id=803</v>
      </c>
      <c r="CE880" s="1" t="str">
        <f ca="1">IFERROR(__xludf.DUMMYFUNCTION("""COMPUTED_VALUE"""),"Audiobook : धर्म मंच से लोक शिक्षण : H_JS_36 : vandana15rastogi@gmail.com : Recorded")</f>
        <v>Audiobook : धर्म मंच से लोक शिक्षण : H_JS_36 : vandana15rastogi@gmail.com : Recorded</v>
      </c>
      <c r="CF880" s="1" t="str">
        <f ca="1">IFERROR(__xludf.DUMMYFUNCTION("""COMPUTED_VALUE"""),"Audiobook : धर्म मंच से लोक शिक्षण : H_JS_36 : vandana15rastogi@gmail.com : Recorded")</f>
        <v>Audiobook : धर्म मंच से लोक शिक्षण : H_JS_36 : vandana15rastogi@gmail.com : Recorded</v>
      </c>
      <c r="CG880" s="1" t="str">
        <f ca="1">IFERROR(__xludf.DUMMYFUNCTION("""COMPUTED_VALUE"""),"Adarniya Vandana Rastogi ji धर्म मंच से लोक शिक्षण : H_JS_36 : Allocated on 20-Jul-23 Contact Number  9359528684")</f>
        <v>Adarniya Vandana Rastogi ji धर्म मंच से लोक शिक्षण : H_JS_36 : Allocated on 20-Jul-23 Contact Number  9359528684</v>
      </c>
      <c r="CH880" s="1"/>
      <c r="CI880" s="1"/>
    </row>
    <row r="881" spans="1:87" x14ac:dyDescent="0.25">
      <c r="A881" s="5">
        <f ca="1">IFERROR(__xludf.DUMMYFUNCTION("""COMPUTED_VALUE"""),45126.9038762037)</f>
        <v>45126.903876203702</v>
      </c>
      <c r="B881" s="1" t="str">
        <f ca="1">IFERROR(__xludf.DUMMYFUNCTION("""COMPUTED_VALUE"""),"rbbansalriya@gmail.com")</f>
        <v>rbbansalriya@gmail.com</v>
      </c>
      <c r="C881" s="1" t="str">
        <f ca="1">IFERROR(__xludf.DUMMYFUNCTION("""COMPUTED_VALUE"""),"Riya bansal ")</f>
        <v xml:space="preserve">Riya bansal </v>
      </c>
      <c r="D881" s="1">
        <f ca="1">IFERROR(__xludf.DUMMYFUNCTION("""COMPUTED_VALUE"""),9176361023)</f>
        <v>9176361023</v>
      </c>
      <c r="E881" s="1" t="str">
        <f ca="1">IFERROR(__xludf.DUMMYFUNCTION("""COMPUTED_VALUE"""),"Yes")</f>
        <v>Yes</v>
      </c>
      <c r="F881" s="1" t="str">
        <f ca="1">IFERROR(__xludf.DUMMYFUNCTION("""COMPUTED_VALUE"""),"हिन्दी")</f>
        <v>हिन्दी</v>
      </c>
      <c r="G881" s="1" t="str">
        <f ca="1">IFERROR(__xludf.DUMMYFUNCTION("""COMPUTED_VALUE"""),"राष्ट्र निर्माण")</f>
        <v>राष्ट्र निर्माण</v>
      </c>
      <c r="H881" s="1"/>
      <c r="I881" s="1"/>
      <c r="J881" s="1"/>
      <c r="K881" s="1"/>
      <c r="L881" s="1"/>
      <c r="M881" s="1"/>
      <c r="N881" s="1"/>
      <c r="O881" s="1"/>
      <c r="P881" s="1"/>
      <c r="Q881" s="1"/>
      <c r="R881" s="1" t="str">
        <f ca="1">IFERROR(__xludf.DUMMYFUNCTION("""COMPUTED_VALUE"""),"आर्थिक स्वावलंबन")</f>
        <v>आर्थिक स्वावलंबन</v>
      </c>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f ca="1">IFERROR(__xludf.DUMMYFUNCTION("""COMPUTED_VALUE"""),54)</f>
        <v>54</v>
      </c>
      <c r="BX881" s="1">
        <f ca="1">IFERROR(__xludf.DUMMYFUNCTION("""COMPUTED_VALUE"""),55)</f>
        <v>55</v>
      </c>
      <c r="BY881" s="1">
        <f ca="1">IFERROR(__xludf.DUMMYFUNCTION("""COMPUTED_VALUE"""),9)</f>
        <v>9</v>
      </c>
      <c r="BZ881" s="1">
        <f ca="1">IFERROR(__xludf.DUMMYFUNCTION("""COMPUTED_VALUE"""),43)</f>
        <v>43</v>
      </c>
      <c r="CA881" s="1" t="str">
        <f ca="1">IFERROR(__xludf.DUMMYFUNCTION("""COMPUTED_VALUE"""),"Yes")</f>
        <v>Yes</v>
      </c>
      <c r="CB881" s="5">
        <f ca="1">IFERROR(__xludf.DUMMYFUNCTION("""COMPUTED_VALUE"""),45136.9038762037)</f>
        <v>45136.903876203702</v>
      </c>
      <c r="CC881" s="1" t="str">
        <f ca="1">IFERROR(__xludf.DUMMYFUNCTION("""COMPUTED_VALUE"""),"देश का नेता कैसा हो : H_PP_13")</f>
        <v>देश का नेता कैसा हो : H_PP_13</v>
      </c>
      <c r="CD881" s="3" t="str">
        <f ca="1">IFERROR(__xludf.DUMMYFUNCTION("""COMPUTED_VALUE"""),"https://vicharkrantibooks.org/productdetail?book_name=HINP0208_DESH_KA_NETA_KAISA_HO_xxyyyy&amp;product_id=773")</f>
        <v>https://vicharkrantibooks.org/productdetail?book_name=HINP0208_DESH_KA_NETA_KAISA_HO_xxyyyy&amp;product_id=773</v>
      </c>
      <c r="CE881" s="1" t="str">
        <f ca="1">IFERROR(__xludf.DUMMYFUNCTION("""COMPUTED_VALUE"""),"Audiobook : देश का नेता कैसा हो : H_PP_13 : rbbansalriya@gmail.com : Recorded")</f>
        <v>Audiobook : देश का नेता कैसा हो : H_PP_13 : rbbansalriya@gmail.com : Recorded</v>
      </c>
      <c r="CF881" s="1" t="str">
        <f ca="1">IFERROR(__xludf.DUMMYFUNCTION("""COMPUTED_VALUE"""),"Audiobook : देश का नेता कैसा हो : H_PP_13 : rbbansalriya@gmail.com : Recorded")</f>
        <v>Audiobook : देश का नेता कैसा हो : H_PP_13 : rbbansalriya@gmail.com : Recorded</v>
      </c>
      <c r="CG881" s="1" t="str">
        <f ca="1">IFERROR(__xludf.DUMMYFUNCTION("""COMPUTED_VALUE"""),"Adarniya Riya bansal  ji देश का नेता कैसा हो : H_PP_13 : Allocated on 19-Jul-23 Contact Number  9176361023")</f>
        <v>Adarniya Riya bansal  ji देश का नेता कैसा हो : H_PP_13 : Allocated on 19-Jul-23 Contact Number  9176361023</v>
      </c>
      <c r="CH881" s="1"/>
      <c r="CI881" s="1"/>
    </row>
    <row r="882" spans="1:87" x14ac:dyDescent="0.25">
      <c r="A882" s="5">
        <f ca="1">IFERROR(__xludf.DUMMYFUNCTION("""COMPUTED_VALUE"""),45125.9297764583)</f>
        <v>45125.929776458303</v>
      </c>
      <c r="B882" s="1" t="str">
        <f ca="1">IFERROR(__xludf.DUMMYFUNCTION("""COMPUTED_VALUE"""),"druma4107@gmail.com")</f>
        <v>druma4107@gmail.com</v>
      </c>
      <c r="C882" s="1" t="str">
        <f ca="1">IFERROR(__xludf.DUMMYFUNCTION("""COMPUTED_VALUE"""),"Dr Uma Agrawal ")</f>
        <v xml:space="preserve">Dr Uma Agrawal </v>
      </c>
      <c r="D882" s="1">
        <f ca="1">IFERROR(__xludf.DUMMYFUNCTION("""COMPUTED_VALUE"""),9410861182)</f>
        <v>9410861182</v>
      </c>
      <c r="E882" s="1" t="str">
        <f ca="1">IFERROR(__xludf.DUMMYFUNCTION("""COMPUTED_VALUE"""),"Yes")</f>
        <v>Yes</v>
      </c>
      <c r="F882" s="1" t="str">
        <f ca="1">IFERROR(__xludf.DUMMYFUNCTION("""COMPUTED_VALUE"""),"हिन्दी")</f>
        <v>हिन्दी</v>
      </c>
      <c r="G882" s="1" t="str">
        <f ca="1">IFERROR(__xludf.DUMMYFUNCTION("""COMPUTED_VALUE"""),"व्यक्ति निर्माण, युवा/विद्यार्थी एवं शिक्षक")</f>
        <v>व्यक्ति निर्माण, युवा/विद्यार्थी एवं शिक्षक</v>
      </c>
      <c r="H882" s="1"/>
      <c r="I882" s="1"/>
      <c r="J882" s="1"/>
      <c r="K882" s="1"/>
      <c r="L882" s="1"/>
      <c r="M882" s="1"/>
      <c r="N882" s="1"/>
      <c r="O882" s="1"/>
      <c r="P882" s="1"/>
      <c r="Q882" s="1"/>
      <c r="R882" s="1"/>
      <c r="S882" s="1"/>
      <c r="T882" s="1" t="str">
        <f ca="1">IFERROR(__xludf.DUMMYFUNCTION("""COMPUTED_VALUE"""),"व्यक्तित्व परिष्कार")</f>
        <v>व्यक्तित्व परिष्कार</v>
      </c>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f ca="1">IFERROR(__xludf.DUMMYFUNCTION("""COMPUTED_VALUE"""),104)</f>
        <v>104</v>
      </c>
      <c r="BX882" s="1">
        <f ca="1">IFERROR(__xludf.DUMMYFUNCTION("""COMPUTED_VALUE"""),106)</f>
        <v>106</v>
      </c>
      <c r="BY882" s="1">
        <f ca="1">IFERROR(__xludf.DUMMYFUNCTION("""COMPUTED_VALUE"""),9)</f>
        <v>9</v>
      </c>
      <c r="BZ882" s="1">
        <f ca="1">IFERROR(__xludf.DUMMYFUNCTION("""COMPUTED_VALUE"""),43)</f>
        <v>43</v>
      </c>
      <c r="CA882" s="1" t="str">
        <f ca="1">IFERROR(__xludf.DUMMYFUNCTION("""COMPUTED_VALUE"""),"Yes")</f>
        <v>Yes</v>
      </c>
      <c r="CB882" s="5">
        <f ca="1">IFERROR(__xludf.DUMMYFUNCTION("""COMPUTED_VALUE"""),45135.9297764583)</f>
        <v>45135.929776458303</v>
      </c>
      <c r="CC882" s="1" t="str">
        <f ca="1">IFERROR(__xludf.DUMMYFUNCTION("""COMPUTED_VALUE"""),"अपना स्तर और ममत्व विकसित करें : Rare Book")</f>
        <v>अपना स्तर और ममत्व विकसित करें : Rare Book</v>
      </c>
      <c r="CD882" s="3" t="str">
        <f ca="1">IFERROR(__xludf.DUMMYFUNCTION("""COMPUTED_VALUE"""),"https://vicharkrantibooks.org/productdetail?book_name=HINP0057_APANA_STAR_AUR_MAMATV_VIKASIT_KAREN_xx1981&amp;product_id=622")</f>
        <v>https://vicharkrantibooks.org/productdetail?book_name=HINP0057_APANA_STAR_AUR_MAMATV_VIKASIT_KAREN_xx1981&amp;product_id=622</v>
      </c>
      <c r="CE882" s="1" t="str">
        <f ca="1">IFERROR(__xludf.DUMMYFUNCTION("""COMPUTED_VALUE"""),"Audiobook : अपना स्तर और ममत्व विकसित करें : Rare Book : druma4107@gmail.com : Recorded")</f>
        <v>Audiobook : अपना स्तर और ममत्व विकसित करें : Rare Book : druma4107@gmail.com : Recorded</v>
      </c>
      <c r="CF882" s="1" t="str">
        <f ca="1">IFERROR(__xludf.DUMMYFUNCTION("""COMPUTED_VALUE"""),"Audiobook : अपना स्तर और ममत्व विकसित करें : Rare Book : druma4107@gmail.com : Recorded")</f>
        <v>Audiobook : अपना स्तर और ममत्व विकसित करें : Rare Book : druma4107@gmail.com : Recorded</v>
      </c>
      <c r="CG882" s="1" t="str">
        <f ca="1">IFERROR(__xludf.DUMMYFUNCTION("""COMPUTED_VALUE"""),"Adarniya Dr Uma Agrawal  ji अपना स्तर और ममत्व विकसित करें : Rare Book : Allocated on 18-Jul-23 Contact Number  9410861182")</f>
        <v>Adarniya Dr Uma Agrawal  ji अपना स्तर और ममत्व विकसित करें : Rare Book : Allocated on 18-Jul-23 Contact Number  9410861182</v>
      </c>
      <c r="CH882" s="1"/>
      <c r="CI882" s="1"/>
    </row>
    <row r="883" spans="1:87" x14ac:dyDescent="0.25">
      <c r="A883" s="5">
        <f ca="1">IFERROR(__xludf.DUMMYFUNCTION("""COMPUTED_VALUE"""),45124.6568268287)</f>
        <v>45124.656826828701</v>
      </c>
      <c r="B883" s="1" t="str">
        <f ca="1">IFERROR(__xludf.DUMMYFUNCTION("""COMPUTED_VALUE"""),"rbbansalriya@gmail.com")</f>
        <v>rbbansalriya@gmail.com</v>
      </c>
      <c r="C883" s="1" t="str">
        <f ca="1">IFERROR(__xludf.DUMMYFUNCTION("""COMPUTED_VALUE"""),"Riya bansal ")</f>
        <v xml:space="preserve">Riya bansal </v>
      </c>
      <c r="D883" s="1">
        <f ca="1">IFERROR(__xludf.DUMMYFUNCTION("""COMPUTED_VALUE"""),9176361023)</f>
        <v>9176361023</v>
      </c>
      <c r="E883" s="1" t="str">
        <f ca="1">IFERROR(__xludf.DUMMYFUNCTION("""COMPUTED_VALUE"""),"Yes")</f>
        <v>Yes</v>
      </c>
      <c r="F883" s="1" t="str">
        <f ca="1">IFERROR(__xludf.DUMMYFUNCTION("""COMPUTED_VALUE"""),"हिन्दी")</f>
        <v>हिन्दी</v>
      </c>
      <c r="G883" s="1" t="str">
        <f ca="1">IFERROR(__xludf.DUMMYFUNCTION("""COMPUTED_VALUE"""),"राष्ट्र निर्माण")</f>
        <v>राष्ट्र निर्माण</v>
      </c>
      <c r="H883" s="1"/>
      <c r="I883" s="1"/>
      <c r="J883" s="1"/>
      <c r="K883" s="1"/>
      <c r="L883" s="1"/>
      <c r="M883" s="1"/>
      <c r="N883" s="1"/>
      <c r="O883" s="1"/>
      <c r="P883" s="1"/>
      <c r="Q883" s="1"/>
      <c r="R883" s="1" t="str">
        <f ca="1">IFERROR(__xludf.DUMMYFUNCTION("""COMPUTED_VALUE"""),"आर्थिक स्वावलंबन")</f>
        <v>आर्थिक स्वावलंबन</v>
      </c>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f ca="1">IFERROR(__xludf.DUMMYFUNCTION("""COMPUTED_VALUE"""),54)</f>
        <v>54</v>
      </c>
      <c r="BX883" s="1">
        <f ca="1">IFERROR(__xludf.DUMMYFUNCTION("""COMPUTED_VALUE"""),55)</f>
        <v>55</v>
      </c>
      <c r="BY883" s="1">
        <f ca="1">IFERROR(__xludf.DUMMYFUNCTION("""COMPUTED_VALUE"""),9)</f>
        <v>9</v>
      </c>
      <c r="BZ883" s="1">
        <f ca="1">IFERROR(__xludf.DUMMYFUNCTION("""COMPUTED_VALUE"""),43)</f>
        <v>43</v>
      </c>
      <c r="CA883" s="1" t="str">
        <f ca="1">IFERROR(__xludf.DUMMYFUNCTION("""COMPUTED_VALUE"""),"Yes")</f>
        <v>Yes</v>
      </c>
      <c r="CB883" s="5">
        <f ca="1">IFERROR(__xludf.DUMMYFUNCTION("""COMPUTED_VALUE"""),45134.6568268287)</f>
        <v>45134.656826828701</v>
      </c>
      <c r="CC883" s="1" t="str">
        <f ca="1">IFERROR(__xludf.DUMMYFUNCTION("""COMPUTED_VALUE"""),"गाव: सर्वसुखप्रदा: : H_SS_25")</f>
        <v>गाव: सर्वसुखप्रदा: : H_SS_25</v>
      </c>
      <c r="CD883" s="3" t="str">
        <f ca="1">IFERROR(__xludf.DUMMYFUNCTION("""COMPUTED_VALUE"""),"https://vicharkrantibooks.org/productdetail?book_name=HINP0273_GANV_SARVSUKHAPRADA_Re2014&amp;product_id=838")</f>
        <v>https://vicharkrantibooks.org/productdetail?book_name=HINP0273_GANV_SARVSUKHAPRADA_Re2014&amp;product_id=838</v>
      </c>
      <c r="CE883" s="1" t="str">
        <f ca="1">IFERROR(__xludf.DUMMYFUNCTION("""COMPUTED_VALUE"""),"Audiobook : गाव: सर्वसुखप्रदा: : H_SS_25 : rbbansalriya@gmail.com : Recorded")</f>
        <v>Audiobook : गाव: सर्वसुखप्रदा: : H_SS_25 : rbbansalriya@gmail.com : Recorded</v>
      </c>
      <c r="CF883" s="1" t="str">
        <f ca="1">IFERROR(__xludf.DUMMYFUNCTION("""COMPUTED_VALUE"""),"Audiobook : गाव: सर्वसुखप्रदा: : H_SS_25 : rbbansalriya@gmail.com : Recorded")</f>
        <v>Audiobook : गाव: सर्वसुखप्रदा: : H_SS_25 : rbbansalriya@gmail.com : Recorded</v>
      </c>
      <c r="CG883" s="1" t="str">
        <f ca="1">IFERROR(__xludf.DUMMYFUNCTION("""COMPUTED_VALUE"""),"Adarniya Riya bansal  ji गाव: सर्वसुखप्रदा: : H_SS_25 : Allocated on 17-Jul-23 Contact Number  9176361023")</f>
        <v>Adarniya Riya bansal  ji गाव: सर्वसुखप्रदा: : H_SS_25 : Allocated on 17-Jul-23 Contact Number  9176361023</v>
      </c>
      <c r="CH883" s="1"/>
      <c r="CI883" s="1"/>
    </row>
    <row r="884" spans="1:87" x14ac:dyDescent="0.25">
      <c r="A884" s="5">
        <f ca="1">IFERROR(__xludf.DUMMYFUNCTION("""COMPUTED_VALUE"""),45124.2900619675)</f>
        <v>45124.290061967498</v>
      </c>
      <c r="B884" s="1" t="str">
        <f ca="1">IFERROR(__xludf.DUMMYFUNCTION("""COMPUTED_VALUE"""),"satishkumar75.sk10@gmail.com")</f>
        <v>satishkumar75.sk10@gmail.com</v>
      </c>
      <c r="C884" s="1" t="str">
        <f ca="1">IFERROR(__xludf.DUMMYFUNCTION("""COMPUTED_VALUE"""),"Satish Kumar ")</f>
        <v xml:space="preserve">Satish Kumar </v>
      </c>
      <c r="D884" s="1">
        <f ca="1">IFERROR(__xludf.DUMMYFUNCTION("""COMPUTED_VALUE"""),8082770813)</f>
        <v>8082770813</v>
      </c>
      <c r="E884" s="1" t="str">
        <f ca="1">IFERROR(__xludf.DUMMYFUNCTION("""COMPUTED_VALUE"""),"No")</f>
        <v>No</v>
      </c>
      <c r="F884" s="1" t="str">
        <f ca="1">IFERROR(__xludf.DUMMYFUNCTION("""COMPUTED_VALUE"""),"हिन्दी")</f>
        <v>हिन्दी</v>
      </c>
      <c r="G884" s="1" t="str">
        <f ca="1">IFERROR(__xludf.DUMMYFUNCTION("""COMPUTED_VALUE"""),"परिवार निर्माण")</f>
        <v>परिवार निर्माण</v>
      </c>
      <c r="H884" s="1"/>
      <c r="I884" s="1"/>
      <c r="J884" s="1"/>
      <c r="K884" s="1"/>
      <c r="L884" s="1"/>
      <c r="M884" s="1" t="str">
        <f ca="1">IFERROR(__xludf.DUMMYFUNCTION("""COMPUTED_VALUE"""),"दाम्पत्य जीवन")</f>
        <v>दाम्पत्य जीवन</v>
      </c>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f ca="1">IFERROR(__xludf.DUMMYFUNCTION("""COMPUTED_VALUE"""),4)</f>
        <v>4</v>
      </c>
      <c r="BX884" s="1">
        <f ca="1">IFERROR(__xludf.DUMMYFUNCTION("""COMPUTED_VALUE"""),4)</f>
        <v>4</v>
      </c>
      <c r="BY884" s="1">
        <f ca="1">IFERROR(__xludf.DUMMYFUNCTION("""COMPUTED_VALUE"""),1)</f>
        <v>1</v>
      </c>
      <c r="BZ884" s="1">
        <f ca="1">IFERROR(__xludf.DUMMYFUNCTION("""COMPUTED_VALUE"""),0)</f>
        <v>0</v>
      </c>
      <c r="CA884" s="1" t="str">
        <f ca="1">IFERROR(__xludf.DUMMYFUNCTION("""COMPUTED_VALUE"""),"Yes")</f>
        <v>Yes</v>
      </c>
      <c r="CB884" s="5">
        <f ca="1">IFERROR(__xludf.DUMMYFUNCTION("""COMPUTED_VALUE"""),45134.2900619675)</f>
        <v>45134.290061967498</v>
      </c>
      <c r="CC884" s="1" t="str">
        <f ca="1">IFERROR(__xludf.DUMMYFUNCTION("""COMPUTED_VALUE"""),"आहार संतुलित रखें अपच से बचें : H_YS_48")</f>
        <v>आहार संतुलित रखें अपच से बचें : H_YS_48</v>
      </c>
      <c r="CD884" s="3" t="str">
        <f ca="1">IFERROR(__xludf.DUMMYFUNCTION("""COMPUTED_VALUE"""),"https://vicharkrantibooks.org/productdetail?book_name=HINP0033_AHAR_SANTULIT_RAKHEN_APACH_SE_BACHEN_xx1981&amp;product_id=598")</f>
        <v>https://vicharkrantibooks.org/productdetail?book_name=HINP0033_AHAR_SANTULIT_RAKHEN_APACH_SE_BACHEN_xx1981&amp;product_id=598</v>
      </c>
      <c r="CE884" s="1" t="str">
        <f ca="1">IFERROR(__xludf.DUMMYFUNCTION("""COMPUTED_VALUE"""),"Audiobook : आहार संतुलित रखें अपच से बचें : H_YS_48 : satishkumar75.sk10@gmail.com : Recorded")</f>
        <v>Audiobook : आहार संतुलित रखें अपच से बचें : H_YS_48 : satishkumar75.sk10@gmail.com : Recorded</v>
      </c>
      <c r="CF884" s="1" t="str">
        <f ca="1">IFERROR(__xludf.DUMMYFUNCTION("""COMPUTED_VALUE"""),"Audiobook : आहार संतुलित रखें अपच से बचें : H_YS_48 : satishkumar75.sk10@gmail.com : Recorded")</f>
        <v>Audiobook : आहार संतुलित रखें अपच से बचें : H_YS_48 : satishkumar75.sk10@gmail.com : Recorded</v>
      </c>
      <c r="CG884" s="1" t="str">
        <f ca="1">IFERROR(__xludf.DUMMYFUNCTION("""COMPUTED_VALUE"""),"Adarniya Satish Kumar  ji आहार संतुलित रखें अपच से बचें : H_YS_48 : Allocated on 17-Jul-23 Contact Number  8082770813")</f>
        <v>Adarniya Satish Kumar  ji आहार संतुलित रखें अपच से बचें : H_YS_48 : Allocated on 17-Jul-23 Contact Number  8082770813</v>
      </c>
      <c r="CH884" s="1"/>
      <c r="CI884" s="1"/>
    </row>
    <row r="885" spans="1:87" x14ac:dyDescent="0.25">
      <c r="A885" s="5">
        <f ca="1">IFERROR(__xludf.DUMMYFUNCTION("""COMPUTED_VALUE"""),45123.4913243171)</f>
        <v>45123.491324317103</v>
      </c>
      <c r="B885" s="1" t="str">
        <f ca="1">IFERROR(__xludf.DUMMYFUNCTION("""COMPUTED_VALUE"""),"kajaliark@gmail.com")</f>
        <v>kajaliark@gmail.com</v>
      </c>
      <c r="C885" s="1" t="str">
        <f ca="1">IFERROR(__xludf.DUMMYFUNCTION("""COMPUTED_VALUE"""),"Mili")</f>
        <v>Mili</v>
      </c>
      <c r="D885" s="1">
        <f ca="1">IFERROR(__xludf.DUMMYFUNCTION("""COMPUTED_VALUE"""),9423032456)</f>
        <v>9423032456</v>
      </c>
      <c r="E885" s="1" t="str">
        <f ca="1">IFERROR(__xludf.DUMMYFUNCTION("""COMPUTED_VALUE"""),"No")</f>
        <v>No</v>
      </c>
      <c r="F885" s="1" t="str">
        <f ca="1">IFERROR(__xludf.DUMMYFUNCTION("""COMPUTED_VALUE"""),"English")</f>
        <v>English</v>
      </c>
      <c r="G885" s="1" t="str">
        <f ca="1">IFERROR(__xludf.DUMMYFUNCTION("""COMPUTED_VALUE"""),"वैज्ञानिक अध्यात्मवाद का प्रतिपादन")</f>
        <v>वैज्ञानिक अध्यात्मवाद का प्रतिपादन</v>
      </c>
      <c r="H885" s="1"/>
      <c r="I885" s="1"/>
      <c r="J885" s="1"/>
      <c r="K885" s="1"/>
      <c r="L885" s="1"/>
      <c r="M885" s="1"/>
      <c r="N885" s="1"/>
      <c r="O885" s="1"/>
      <c r="P885" s="1"/>
      <c r="Q885" s="1"/>
      <c r="R885" s="1"/>
      <c r="S885" s="1" t="str">
        <f ca="1">IFERROR(__xludf.DUMMYFUNCTION("""COMPUTED_VALUE"""),"वैज्ञानिक अध्यात्मवाद का प्रतिपादन")</f>
        <v>वैज्ञानिक अध्यात्मवाद का प्रतिपादन</v>
      </c>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f ca="1">IFERROR(__xludf.DUMMYFUNCTION("""COMPUTED_VALUE"""),6)</f>
        <v>6</v>
      </c>
      <c r="BX885" s="1">
        <f ca="1">IFERROR(__xludf.DUMMYFUNCTION("""COMPUTED_VALUE"""),2)</f>
        <v>2</v>
      </c>
      <c r="BY885" s="1">
        <f ca="1">IFERROR(__xludf.DUMMYFUNCTION("""COMPUTED_VALUE"""),2)</f>
        <v>2</v>
      </c>
      <c r="BZ885" s="1">
        <f ca="1">IFERROR(__xludf.DUMMYFUNCTION("""COMPUTED_VALUE"""),1)</f>
        <v>1</v>
      </c>
      <c r="CA885" s="1" t="str">
        <f ca="1">IFERROR(__xludf.DUMMYFUNCTION("""COMPUTED_VALUE"""),"Yes")</f>
        <v>Yes</v>
      </c>
      <c r="CB885" s="5">
        <f ca="1">IFERROR(__xludf.DUMMYFUNCTION("""COMPUTED_VALUE"""),45133.4913243171)</f>
        <v>45133.491324317103</v>
      </c>
      <c r="CC885" s="1" t="str">
        <f ca="1">IFERROR(__xludf.DUMMYFUNCTION("""COMPUTED_VALUE"""),"Donation Of Time The Supreme Charity : EP_18")</f>
        <v>Donation Of Time The Supreme Charity : EP_18</v>
      </c>
      <c r="CD885" s="3" t="str">
        <f ca="1">IFERROR(__xludf.DUMMYFUNCTION("""COMPUTED_VALUE"""),"https://vicharkrantibooks.org/productdetail?book_name=ENGR1152_DONATION_OF_TIME_THE_SUPREME_CHARITY_RE2011&amp;product_id=3411")</f>
        <v>https://vicharkrantibooks.org/productdetail?book_name=ENGR1152_DONATION_OF_TIME_THE_SUPREME_CHARITY_RE2011&amp;product_id=3411</v>
      </c>
      <c r="CE885" s="1" t="str">
        <f ca="1">IFERROR(__xludf.DUMMYFUNCTION("""COMPUTED_VALUE"""),"Audiobook : Donation Of Time The Supreme Charity : EP_18 : kajaliark@gmail.com : Recorded")</f>
        <v>Audiobook : Donation Of Time The Supreme Charity : EP_18 : kajaliark@gmail.com : Recorded</v>
      </c>
      <c r="CF885" s="1" t="str">
        <f ca="1">IFERROR(__xludf.DUMMYFUNCTION("""COMPUTED_VALUE"""),"#N/A")</f>
        <v>#N/A</v>
      </c>
      <c r="CG885" s="1" t="str">
        <f ca="1">IFERROR(__xludf.DUMMYFUNCTION("""COMPUTED_VALUE"""),"Adarniya Mili ji Donation Of Time The Supreme Charity : EP_18 : Allocated on 16-Jul-23 Contact Number  9423032456")</f>
        <v>Adarniya Mili ji Donation Of Time The Supreme Charity : EP_18 : Allocated on 16-Jul-23 Contact Number  9423032456</v>
      </c>
      <c r="CH885" s="1"/>
      <c r="CI885" s="1"/>
    </row>
    <row r="886" spans="1:87" x14ac:dyDescent="0.25">
      <c r="A886" s="5">
        <f ca="1">IFERROR(__xludf.DUMMYFUNCTION("""COMPUTED_VALUE"""),45122.5580519097)</f>
        <v>45122.558051909698</v>
      </c>
      <c r="B886" s="1" t="str">
        <f ca="1">IFERROR(__xludf.DUMMYFUNCTION("""COMPUTED_VALUE"""),"shweta.r.gupta79@gmail.com")</f>
        <v>shweta.r.gupta79@gmail.com</v>
      </c>
      <c r="C886" s="1" t="str">
        <f ca="1">IFERROR(__xludf.DUMMYFUNCTION("""COMPUTED_VALUE"""),"Shweta Gupta ")</f>
        <v xml:space="preserve">Shweta Gupta </v>
      </c>
      <c r="D886" s="1">
        <f ca="1">IFERROR(__xludf.DUMMYFUNCTION("""COMPUTED_VALUE"""),8369516724)</f>
        <v>8369516724</v>
      </c>
      <c r="E886" s="1" t="str">
        <f ca="1">IFERROR(__xludf.DUMMYFUNCTION("""COMPUTED_VALUE"""),"Yes")</f>
        <v>Yes</v>
      </c>
      <c r="F886" s="1" t="str">
        <f ca="1">IFERROR(__xludf.DUMMYFUNCTION("""COMPUTED_VALUE"""),"हिन्दी")</f>
        <v>हिन्दी</v>
      </c>
      <c r="G886" s="1" t="str">
        <f ca="1">IFERROR(__xludf.DUMMYFUNCTION("""COMPUTED_VALUE"""),"व्यक्ति निर्माण, युवा/विद्यार्थी एवं शिक्षक")</f>
        <v>व्यक्ति निर्माण, युवा/विद्यार्थी एवं शिक्षक</v>
      </c>
      <c r="H886" s="1"/>
      <c r="I886" s="1"/>
      <c r="J886" s="1"/>
      <c r="K886" s="1"/>
      <c r="L886" s="1"/>
      <c r="M886" s="1"/>
      <c r="N886" s="1"/>
      <c r="O886" s="1"/>
      <c r="P886" s="1"/>
      <c r="Q886" s="1"/>
      <c r="R886" s="1"/>
      <c r="S886" s="1"/>
      <c r="T886" s="1" t="str">
        <f ca="1">IFERROR(__xludf.DUMMYFUNCTION("""COMPUTED_VALUE"""),"विद्यार्थी एवं शिक्षक")</f>
        <v>विद्यार्थी एवं शिक्षक</v>
      </c>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f ca="1">IFERROR(__xludf.DUMMYFUNCTION("""COMPUTED_VALUE"""),31)</f>
        <v>31</v>
      </c>
      <c r="BX886" s="1">
        <f ca="1">IFERROR(__xludf.DUMMYFUNCTION("""COMPUTED_VALUE"""),45)</f>
        <v>45</v>
      </c>
      <c r="BY886" s="1">
        <f ca="1">IFERROR(__xludf.DUMMYFUNCTION("""COMPUTED_VALUE"""),3)</f>
        <v>3</v>
      </c>
      <c r="BZ886" s="1">
        <f ca="1">IFERROR(__xludf.DUMMYFUNCTION("""COMPUTED_VALUE"""),40)</f>
        <v>40</v>
      </c>
      <c r="CA886" s="1" t="str">
        <f ca="1">IFERROR(__xludf.DUMMYFUNCTION("""COMPUTED_VALUE"""),"Yes")</f>
        <v>Yes</v>
      </c>
      <c r="CB886" s="5">
        <f ca="1">IFERROR(__xludf.DUMMYFUNCTION("""COMPUTED_VALUE"""),45132.5580519097)</f>
        <v>45132.558051909698</v>
      </c>
      <c r="CC886" s="1" t="str">
        <f ca="1">IFERROR(__xludf.DUMMYFUNCTION("""COMPUTED_VALUE"""),"उत्तिष्ठत जाग्रत : H_SC_07")</f>
        <v>उत्तिष्ठत जाग्रत : H_SC_07</v>
      </c>
      <c r="CD886" s="3" t="str">
        <f ca="1">IFERROR(__xludf.DUMMYFUNCTION("""COMPUTED_VALUE"""),"https://vicharkrantibooks.org/productdetail?book_name=HINP0940_UTTISHTHT_JAGRAT_xxyyyy&amp;product_id=1505")</f>
        <v>https://vicharkrantibooks.org/productdetail?book_name=HINP0940_UTTISHTHT_JAGRAT_xxyyyy&amp;product_id=1505</v>
      </c>
      <c r="CE886" s="1" t="str">
        <f ca="1">IFERROR(__xludf.DUMMYFUNCTION("""COMPUTED_VALUE"""),"Audiobook : उत्तिष्ठत जाग्रत : H_SC_07 : shweta.r.gupta79@gmail.com : Recorded")</f>
        <v>Audiobook : उत्तिष्ठत जाग्रत : H_SC_07 : shweta.r.gupta79@gmail.com : Recorded</v>
      </c>
      <c r="CF886" s="1" t="str">
        <f ca="1">IFERROR(__xludf.DUMMYFUNCTION("""COMPUTED_VALUE"""),"Audiobook : उत्तिष्ठत जाग्रत : H_SC_07 : shweta.r.gupta79@gmail.com : Recorded")</f>
        <v>Audiobook : उत्तिष्ठत जाग्रत : H_SC_07 : shweta.r.gupta79@gmail.com : Recorded</v>
      </c>
      <c r="CG886" s="1" t="str">
        <f ca="1">IFERROR(__xludf.DUMMYFUNCTION("""COMPUTED_VALUE"""),"Adarniya Shweta Gupta  ji उत्तिष्ठत जाग्रत : H_SC_07 : Allocated on 15-Jul-23 Contact Number  8369516724")</f>
        <v>Adarniya Shweta Gupta  ji उत्तिष्ठत जाग्रत : H_SC_07 : Allocated on 15-Jul-23 Contact Number  8369516724</v>
      </c>
      <c r="CH886" s="1"/>
      <c r="CI886" s="1"/>
    </row>
    <row r="887" spans="1:87" x14ac:dyDescent="0.25">
      <c r="A887" s="5">
        <f ca="1">IFERROR(__xludf.DUMMYFUNCTION("""COMPUTED_VALUE"""),45122.557439699)</f>
        <v>45122.557439698998</v>
      </c>
      <c r="B887" s="1" t="str">
        <f ca="1">IFERROR(__xludf.DUMMYFUNCTION("""COMPUTED_VALUE"""),"shweta.r.gupta79@gmail.com")</f>
        <v>shweta.r.gupta79@gmail.com</v>
      </c>
      <c r="C887" s="1" t="str">
        <f ca="1">IFERROR(__xludf.DUMMYFUNCTION("""COMPUTED_VALUE"""),"Shweta Gupta ")</f>
        <v xml:space="preserve">Shweta Gupta </v>
      </c>
      <c r="D887" s="1">
        <f ca="1">IFERROR(__xludf.DUMMYFUNCTION("""COMPUTED_VALUE"""),8369516724)</f>
        <v>8369516724</v>
      </c>
      <c r="E887" s="1" t="str">
        <f ca="1">IFERROR(__xludf.DUMMYFUNCTION("""COMPUTED_VALUE"""),"Yes")</f>
        <v>Yes</v>
      </c>
      <c r="F887" s="1" t="str">
        <f ca="1">IFERROR(__xludf.DUMMYFUNCTION("""COMPUTED_VALUE"""),"हिन्दी")</f>
        <v>हिन्दी</v>
      </c>
      <c r="G887" s="1" t="str">
        <f ca="1">IFERROR(__xludf.DUMMYFUNCTION("""COMPUTED_VALUE"""),"परिवार निर्माण")</f>
        <v>परिवार निर्माण</v>
      </c>
      <c r="H887" s="1"/>
      <c r="I887" s="1"/>
      <c r="J887" s="1"/>
      <c r="K887" s="1"/>
      <c r="L887" s="1"/>
      <c r="M887" s="1" t="str">
        <f ca="1">IFERROR(__xludf.DUMMYFUNCTION("""COMPUTED_VALUE"""),"परिवार")</f>
        <v>परिवार</v>
      </c>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f ca="1">IFERROR(__xludf.DUMMYFUNCTION("""COMPUTED_VALUE"""),31)</f>
        <v>31</v>
      </c>
      <c r="BX887" s="1">
        <f ca="1">IFERROR(__xludf.DUMMYFUNCTION("""COMPUTED_VALUE"""),45)</f>
        <v>45</v>
      </c>
      <c r="BY887" s="1">
        <f ca="1">IFERROR(__xludf.DUMMYFUNCTION("""COMPUTED_VALUE"""),3)</f>
        <v>3</v>
      </c>
      <c r="BZ887" s="1">
        <f ca="1">IFERROR(__xludf.DUMMYFUNCTION("""COMPUTED_VALUE"""),40)</f>
        <v>40</v>
      </c>
      <c r="CA887" s="1" t="str">
        <f ca="1">IFERROR(__xludf.DUMMYFUNCTION("""COMPUTED_VALUE"""),"Yes")</f>
        <v>Yes</v>
      </c>
      <c r="CB887" s="5">
        <f ca="1">IFERROR(__xludf.DUMMYFUNCTION("""COMPUTED_VALUE"""),45132.557439699)</f>
        <v>45132.557439698998</v>
      </c>
      <c r="CC887" s="1" t="str">
        <f ca="1">IFERROR(__xludf.DUMMYFUNCTION("""COMPUTED_VALUE"""),"विद्यार्थी जीवन में अपना लक्ष निर्धारित करें : H_PP_32")</f>
        <v>विद्यार्थी जीवन में अपना लक्ष निर्धारित करें : H_PP_32</v>
      </c>
      <c r="CD887" s="3" t="str">
        <f ca="1">IFERROR(__xludf.DUMMYFUNCTION("""COMPUTED_VALUE"""),"https://vicharkrantibooks.org/productdetail?book_name=HINP0968_VIDHYARTHI_JIVAN_MEIN_APANA_LAKSHY_NIRDHARIT_KAREN_xxyyyy&amp;product_id=1533")</f>
        <v>https://vicharkrantibooks.org/productdetail?book_name=HINP0968_VIDHYARTHI_JIVAN_MEIN_APANA_LAKSHY_NIRDHARIT_KAREN_xxyyyy&amp;product_id=1533</v>
      </c>
      <c r="CE887" s="1" t="str">
        <f ca="1">IFERROR(__xludf.DUMMYFUNCTION("""COMPUTED_VALUE"""),"Audiobook : विद्यार्थी जीवन में अपना लक्ष निर्धारित करें : H_PP_32 : shweta.r.gupta79@gmail.com : Recorded")</f>
        <v>Audiobook : विद्यार्थी जीवन में अपना लक्ष निर्धारित करें : H_PP_32 : shweta.r.gupta79@gmail.com : Recorded</v>
      </c>
      <c r="CF887" s="1" t="str">
        <f ca="1">IFERROR(__xludf.DUMMYFUNCTION("""COMPUTED_VALUE"""),"Audiobook : विद्यार्थी जीवन में अपना लक्ष निर्धारित करें : H_PP_32 : shweta.r.gupta79@gmail.com : Recorded")</f>
        <v>Audiobook : विद्यार्थी जीवन में अपना लक्ष निर्धारित करें : H_PP_32 : shweta.r.gupta79@gmail.com : Recorded</v>
      </c>
      <c r="CG887" s="1" t="str">
        <f ca="1">IFERROR(__xludf.DUMMYFUNCTION("""COMPUTED_VALUE"""),"Adarniya Shweta Gupta  ji विद्यार्थी जीवन में अपना लक्ष निर्धारित करें : H_PP_32 : Allocated on 15-Jul-23 Contact Number  8369516724")</f>
        <v>Adarniya Shweta Gupta  ji विद्यार्थी जीवन में अपना लक्ष निर्धारित करें : H_PP_32 : Allocated on 15-Jul-23 Contact Number  8369516724</v>
      </c>
      <c r="CH887" s="1"/>
      <c r="CI887" s="1"/>
    </row>
    <row r="888" spans="1:87" x14ac:dyDescent="0.25">
      <c r="A888" s="5">
        <f ca="1">IFERROR(__xludf.DUMMYFUNCTION("""COMPUTED_VALUE"""),45122.3661949305)</f>
        <v>45122.366194930502</v>
      </c>
      <c r="B888" s="1" t="str">
        <f ca="1">IFERROR(__xludf.DUMMYFUNCTION("""COMPUTED_VALUE"""),"druma4107@gmail.com")</f>
        <v>druma4107@gmail.com</v>
      </c>
      <c r="C888" s="1" t="str">
        <f ca="1">IFERROR(__xludf.DUMMYFUNCTION("""COMPUTED_VALUE"""),"Dr Uma Agrawal ")</f>
        <v xml:space="preserve">Dr Uma Agrawal </v>
      </c>
      <c r="D888" s="1">
        <f ca="1">IFERROR(__xludf.DUMMYFUNCTION("""COMPUTED_VALUE"""),9410861182)</f>
        <v>9410861182</v>
      </c>
      <c r="E888" s="1" t="str">
        <f ca="1">IFERROR(__xludf.DUMMYFUNCTION("""COMPUTED_VALUE"""),"Yes")</f>
        <v>Yes</v>
      </c>
      <c r="F888" s="1" t="str">
        <f ca="1">IFERROR(__xludf.DUMMYFUNCTION("""COMPUTED_VALUE"""),"हिन्दी")</f>
        <v>हिन्दी</v>
      </c>
      <c r="G888" s="1" t="str">
        <f ca="1">IFERROR(__xludf.DUMMYFUNCTION("""COMPUTED_VALUE"""),"व्यक्ति निर्माण, युवा/विद्यार्थी एवं शिक्षक")</f>
        <v>व्यक्ति निर्माण, युवा/विद्यार्थी एवं शिक्षक</v>
      </c>
      <c r="H888" s="1"/>
      <c r="I888" s="1"/>
      <c r="J888" s="1"/>
      <c r="K888" s="1"/>
      <c r="L888" s="1"/>
      <c r="M888" s="1"/>
      <c r="N888" s="1"/>
      <c r="O888" s="1"/>
      <c r="P888" s="1"/>
      <c r="Q888" s="1"/>
      <c r="R888" s="1"/>
      <c r="S888" s="1"/>
      <c r="T888" s="1" t="str">
        <f ca="1">IFERROR(__xludf.DUMMYFUNCTION("""COMPUTED_VALUE"""),"विद्यार्थी एवं शिक्षक")</f>
        <v>विद्यार्थी एवं शिक्षक</v>
      </c>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f ca="1">IFERROR(__xludf.DUMMYFUNCTION("""COMPUTED_VALUE"""),104)</f>
        <v>104</v>
      </c>
      <c r="BX888" s="1">
        <f ca="1">IFERROR(__xludf.DUMMYFUNCTION("""COMPUTED_VALUE"""),106)</f>
        <v>106</v>
      </c>
      <c r="BY888" s="1">
        <f ca="1">IFERROR(__xludf.DUMMYFUNCTION("""COMPUTED_VALUE"""),9)</f>
        <v>9</v>
      </c>
      <c r="BZ888" s="1">
        <f ca="1">IFERROR(__xludf.DUMMYFUNCTION("""COMPUTED_VALUE"""),43)</f>
        <v>43</v>
      </c>
      <c r="CA888" s="1" t="str">
        <f ca="1">IFERROR(__xludf.DUMMYFUNCTION("""COMPUTED_VALUE"""),"Yes")</f>
        <v>Yes</v>
      </c>
      <c r="CB888" s="5">
        <f ca="1">IFERROR(__xludf.DUMMYFUNCTION("""COMPUTED_VALUE"""),45132.3661949305)</f>
        <v>45132.366194930502</v>
      </c>
      <c r="CC888" s="1" t="str">
        <f ca="1">IFERROR(__xludf.DUMMYFUNCTION("""COMPUTED_VALUE"""),"आत्मविश्वासी बनें सफलता पायें : Rare Book")</f>
        <v>आत्मविश्वासी बनें सफलता पायें : Rare Book</v>
      </c>
      <c r="CD888" s="3" t="str">
        <f ca="1">IFERROR(__xludf.DUMMYFUNCTION("""COMPUTED_VALUE"""),"https://vicharkrantibooks.org/productdetail?book_name=HINP0101_ATMAVISHVASI_BANEN_SAPHALATA_PAYEN_xx1982&amp;product_id=666")</f>
        <v>https://vicharkrantibooks.org/productdetail?book_name=HINP0101_ATMAVISHVASI_BANEN_SAPHALATA_PAYEN_xx1982&amp;product_id=666</v>
      </c>
      <c r="CE888" s="1" t="str">
        <f ca="1">IFERROR(__xludf.DUMMYFUNCTION("""COMPUTED_VALUE"""),"Audiobook : आत्मविश्वासी बनें सफलता पायें : Rare Book : druma4107@gmail.com : Recorded")</f>
        <v>Audiobook : आत्मविश्वासी बनें सफलता पायें : Rare Book : druma4107@gmail.com : Recorded</v>
      </c>
      <c r="CF888" s="1" t="str">
        <f ca="1">IFERROR(__xludf.DUMMYFUNCTION("""COMPUTED_VALUE"""),"Audiobook : आत्मविश्वासी बनें सफलता पायें : Rare Book : druma4107@gmail.com : Recorded")</f>
        <v>Audiobook : आत्मविश्वासी बनें सफलता पायें : Rare Book : druma4107@gmail.com : Recorded</v>
      </c>
      <c r="CG888" s="1" t="str">
        <f ca="1">IFERROR(__xludf.DUMMYFUNCTION("""COMPUTED_VALUE"""),"Adarniya Dr Uma Agrawal  ji आत्मविश्वासी बनें सफलता पायें : Rare Book : Allocated on 15-Jul-23 Contact Number  9410861182")</f>
        <v>Adarniya Dr Uma Agrawal  ji आत्मविश्वासी बनें सफलता पायें : Rare Book : Allocated on 15-Jul-23 Contact Number  9410861182</v>
      </c>
      <c r="CH888" s="1"/>
      <c r="CI888" s="1"/>
    </row>
    <row r="889" spans="1:87" x14ac:dyDescent="0.25">
      <c r="A889" s="5">
        <f ca="1">IFERROR(__xludf.DUMMYFUNCTION("""COMPUTED_VALUE"""),45121.5804283912)</f>
        <v>45121.5804283912</v>
      </c>
      <c r="B889" s="1" t="str">
        <f ca="1">IFERROR(__xludf.DUMMYFUNCTION("""COMPUTED_VALUE"""),"rajnivarma24.vns@gmail.com")</f>
        <v>rajnivarma24.vns@gmail.com</v>
      </c>
      <c r="C889" s="1" t="str">
        <f ca="1">IFERROR(__xludf.DUMMYFUNCTION("""COMPUTED_VALUE"""),"Rajni varma")</f>
        <v>Rajni varma</v>
      </c>
      <c r="D889" s="1">
        <f ca="1">IFERROR(__xludf.DUMMYFUNCTION("""COMPUTED_VALUE"""),9335661433)</f>
        <v>9335661433</v>
      </c>
      <c r="E889" s="1" t="str">
        <f ca="1">IFERROR(__xludf.DUMMYFUNCTION("""COMPUTED_VALUE"""),"No")</f>
        <v>No</v>
      </c>
      <c r="F889" s="1" t="str">
        <f ca="1">IFERROR(__xludf.DUMMYFUNCTION("""COMPUTED_VALUE"""),"हिन्दी")</f>
        <v>हिन्दी</v>
      </c>
      <c r="G889" s="1" t="str">
        <f ca="1">IFERROR(__xludf.DUMMYFUNCTION("""COMPUTED_VALUE"""),"युग द्रष्टा पं. श्रीराम शर्मा आचार्यजी")</f>
        <v>युग द्रष्टा पं. श्रीराम शर्मा आचार्यजी</v>
      </c>
      <c r="H889" s="1"/>
      <c r="I889" s="1"/>
      <c r="J889" s="1"/>
      <c r="K889" s="1"/>
      <c r="L889" s="1"/>
      <c r="M889" s="1"/>
      <c r="N889" s="1"/>
      <c r="O889" s="1"/>
      <c r="P889" s="1" t="str">
        <f ca="1">IFERROR(__xludf.DUMMYFUNCTION("""COMPUTED_VALUE"""),"युगॠषी का जीवनदर्शन")</f>
        <v>युगॠषी का जीवनदर्शन</v>
      </c>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f ca="1">IFERROR(__xludf.DUMMYFUNCTION("""COMPUTED_VALUE"""),30)</f>
        <v>30</v>
      </c>
      <c r="BX889" s="1">
        <f ca="1">IFERROR(__xludf.DUMMYFUNCTION("""COMPUTED_VALUE"""),25)</f>
        <v>25</v>
      </c>
      <c r="BY889" s="1">
        <f ca="1">IFERROR(__xludf.DUMMYFUNCTION("""COMPUTED_VALUE"""),7)</f>
        <v>7</v>
      </c>
      <c r="BZ889" s="1">
        <f ca="1">IFERROR(__xludf.DUMMYFUNCTION("""COMPUTED_VALUE"""),7)</f>
        <v>7</v>
      </c>
      <c r="CA889" s="1" t="str">
        <f ca="1">IFERROR(__xludf.DUMMYFUNCTION("""COMPUTED_VALUE"""),"Yes")</f>
        <v>Yes</v>
      </c>
      <c r="CB889" s="5">
        <f ca="1">IFERROR(__xludf.DUMMYFUNCTION("""COMPUTED_VALUE"""),45131.5804283912)</f>
        <v>45131.5804283912</v>
      </c>
      <c r="CC889" s="1" t="str">
        <f ca="1">IFERROR(__xludf.DUMMYFUNCTION("""COMPUTED_VALUE"""),"संभवामि युगे युगे : H_JS_93")</f>
        <v>संभवामि युगे युगे : H_JS_93</v>
      </c>
      <c r="CD889" s="3" t="str">
        <f ca="1">IFERROR(__xludf.DUMMYFUNCTION("""COMPUTED_VALUE"""),"https://vicharkrantibooks.org/productdetail?book_name=HINP0775_SAMBHAVAMI_YUGE_YUGE_xx2011&amp;product_id=1340")</f>
        <v>https://vicharkrantibooks.org/productdetail?book_name=HINP0775_SAMBHAVAMI_YUGE_YUGE_xx2011&amp;product_id=1340</v>
      </c>
      <c r="CE889" s="1" t="str">
        <f ca="1">IFERROR(__xludf.DUMMYFUNCTION("""COMPUTED_VALUE"""),"Audiobook : संभवामि युगे युगे : H_JS_93 : rajnivarma24.vns@gmail.com : Recorded")</f>
        <v>Audiobook : संभवामि युगे युगे : H_JS_93 : rajnivarma24.vns@gmail.com : Recorded</v>
      </c>
      <c r="CF889" s="1" t="str">
        <f ca="1">IFERROR(__xludf.DUMMYFUNCTION("""COMPUTED_VALUE"""),"#N/A")</f>
        <v>#N/A</v>
      </c>
      <c r="CG889" s="1" t="str">
        <f ca="1">IFERROR(__xludf.DUMMYFUNCTION("""COMPUTED_VALUE"""),"Adarniya Rajni varma ji संभवामि युगे युगे : H_JS_93 : Allocated on 14-Jul-23 Contact Number  9335661433")</f>
        <v>Adarniya Rajni varma ji संभवामि युगे युगे : H_JS_93 : Allocated on 14-Jul-23 Contact Number  9335661433</v>
      </c>
      <c r="CH889" s="1"/>
      <c r="CI889" s="1"/>
    </row>
    <row r="890" spans="1:87" x14ac:dyDescent="0.25">
      <c r="A890" s="5">
        <f ca="1">IFERROR(__xludf.DUMMYFUNCTION("""COMPUTED_VALUE"""),45121.5637132407)</f>
        <v>45121.563713240699</v>
      </c>
      <c r="B890" s="1" t="str">
        <f ca="1">IFERROR(__xludf.DUMMYFUNCTION("""COMPUTED_VALUE"""),"jamunashukla17@gmail.com")</f>
        <v>jamunashukla17@gmail.com</v>
      </c>
      <c r="C890" s="1" t="str">
        <f ca="1">IFERROR(__xludf.DUMMYFUNCTION("""COMPUTED_VALUE"""),"J S Shukla ")</f>
        <v xml:space="preserve">J S Shukla </v>
      </c>
      <c r="D890" s="1" t="str">
        <f ca="1">IFERROR(__xludf.DUMMYFUNCTION("""COMPUTED_VALUE"""),"+918390353167")</f>
        <v>+918390353167</v>
      </c>
      <c r="E890" s="1" t="str">
        <f ca="1">IFERROR(__xludf.DUMMYFUNCTION("""COMPUTED_VALUE"""),"Yes")</f>
        <v>Yes</v>
      </c>
      <c r="F890" s="1" t="str">
        <f ca="1">IFERROR(__xludf.DUMMYFUNCTION("""COMPUTED_VALUE"""),"हिन्दी")</f>
        <v>हिन्दी</v>
      </c>
      <c r="G890" s="1" t="str">
        <f ca="1">IFERROR(__xludf.DUMMYFUNCTION("""COMPUTED_VALUE"""),"वैज्ञानिक अध्यात्मवाद का प्रतिपादन")</f>
        <v>वैज्ञानिक अध्यात्मवाद का प्रतिपादन</v>
      </c>
      <c r="H890" s="1"/>
      <c r="I890" s="1"/>
      <c r="J890" s="1"/>
      <c r="K890" s="1"/>
      <c r="L890" s="1"/>
      <c r="M890" s="1"/>
      <c r="N890" s="1"/>
      <c r="O890" s="1"/>
      <c r="P890" s="1"/>
      <c r="Q890" s="1"/>
      <c r="R890" s="1"/>
      <c r="S890" s="1" t="str">
        <f ca="1">IFERROR(__xludf.DUMMYFUNCTION("""COMPUTED_VALUE"""),"वैज्ञानिक अध्यात्मवाद का प्रतिपादन")</f>
        <v>वैज्ञानिक अध्यात्मवाद का प्रतिपादन</v>
      </c>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f ca="1">IFERROR(__xludf.DUMMYFUNCTION("""COMPUTED_VALUE"""),53)</f>
        <v>53</v>
      </c>
      <c r="BX890" s="1">
        <f ca="1">IFERROR(__xludf.DUMMYFUNCTION("""COMPUTED_VALUE"""),53)</f>
        <v>53</v>
      </c>
      <c r="BY890" s="1">
        <f ca="1">IFERROR(__xludf.DUMMYFUNCTION("""COMPUTED_VALUE"""),9)</f>
        <v>9</v>
      </c>
      <c r="BZ890" s="1">
        <f ca="1">IFERROR(__xludf.DUMMYFUNCTION("""COMPUTED_VALUE"""),25)</f>
        <v>25</v>
      </c>
      <c r="CA890" s="1" t="str">
        <f ca="1">IFERROR(__xludf.DUMMYFUNCTION("""COMPUTED_VALUE"""),"Yes")</f>
        <v>Yes</v>
      </c>
      <c r="CB890" s="5">
        <f ca="1">IFERROR(__xludf.DUMMYFUNCTION("""COMPUTED_VALUE"""),45131.5637132407)</f>
        <v>45131.563713240699</v>
      </c>
      <c r="CC890" s="1" t="str">
        <f ca="1">IFERROR(__xludf.DUMMYFUNCTION("""COMPUTED_VALUE"""),"विज्ञान और अध्यात्म परस्पर पूरक बनें : Rare Book")</f>
        <v>विज्ञान और अध्यात्म परस्पर पूरक बनें : Rare Book</v>
      </c>
      <c r="CD890" s="3" t="str">
        <f ca="1">IFERROR(__xludf.DUMMYFUNCTION("""COMPUTED_VALUE"""),"https://vicharkrantibooks.org/productdetail?book_name=HINP0970_VIGYAN_AUR_ADHYATM_PARASPAR_PURAK_BANE_xx1982&amp;product_id=1535")</f>
        <v>https://vicharkrantibooks.org/productdetail?book_name=HINP0970_VIGYAN_AUR_ADHYATM_PARASPAR_PURAK_BANE_xx1982&amp;product_id=1535</v>
      </c>
      <c r="CE890" s="1" t="str">
        <f ca="1">IFERROR(__xludf.DUMMYFUNCTION("""COMPUTED_VALUE"""),"Audiobook : विज्ञान और अध्यात्म परस्पर पूरक बनें : Rare Book : jamunashukla17@gmail.com : Recorded")</f>
        <v>Audiobook : विज्ञान और अध्यात्म परस्पर पूरक बनें : Rare Book : jamunashukla17@gmail.com : Recorded</v>
      </c>
      <c r="CF890" s="1" t="str">
        <f ca="1">IFERROR(__xludf.DUMMYFUNCTION("""COMPUTED_VALUE"""),"#N/A")</f>
        <v>#N/A</v>
      </c>
      <c r="CG890" s="1" t="str">
        <f ca="1">IFERROR(__xludf.DUMMYFUNCTION("""COMPUTED_VALUE"""),"Adarniya J S Shukla  ji विज्ञान और अध्यात्म परस्पर पूरक बनें : Rare Book : Allocated on 14-Jul-23 Contact Number  +918390353167")</f>
        <v>Adarniya J S Shukla  ji विज्ञान और अध्यात्म परस्पर पूरक बनें : Rare Book : Allocated on 14-Jul-23 Contact Number  +918390353167</v>
      </c>
      <c r="CH890" s="1"/>
      <c r="CI890" s="1"/>
    </row>
    <row r="891" spans="1:87" x14ac:dyDescent="0.25">
      <c r="A891" s="5">
        <f ca="1">IFERROR(__xludf.DUMMYFUNCTION("""COMPUTED_VALUE"""),45120.8441881828)</f>
        <v>45120.844188182797</v>
      </c>
      <c r="B891" s="1" t="str">
        <f ca="1">IFERROR(__xludf.DUMMYFUNCTION("""COMPUTED_VALUE"""),"Gayatri24000@gmail.com")</f>
        <v>Gayatri24000@gmail.com</v>
      </c>
      <c r="C891" s="1" t="str">
        <f ca="1">IFERROR(__xludf.DUMMYFUNCTION("""COMPUTED_VALUE"""),"Disha Ashutosh Maru")</f>
        <v>Disha Ashutosh Maru</v>
      </c>
      <c r="D891" s="1" t="str">
        <f ca="1">IFERROR(__xludf.DUMMYFUNCTION("""COMPUTED_VALUE"""),"(+1) 250 588 8404")</f>
        <v>(+1) 250 588 8404</v>
      </c>
      <c r="E891" s="1" t="str">
        <f ca="1">IFERROR(__xludf.DUMMYFUNCTION("""COMPUTED_VALUE"""),"Yes")</f>
        <v>Yes</v>
      </c>
      <c r="F891" s="1" t="str">
        <f ca="1">IFERROR(__xludf.DUMMYFUNCTION("""COMPUTED_VALUE"""),"हिन्दी or English")</f>
        <v>हिन्दी or English</v>
      </c>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f ca="1">IFERROR(__xludf.DUMMYFUNCTION("""COMPUTED_VALUE"""),2)</f>
        <v>2</v>
      </c>
      <c r="BX891" s="1">
        <f ca="1">IFERROR(__xludf.DUMMYFUNCTION("""COMPUTED_VALUE"""),2)</f>
        <v>2</v>
      </c>
      <c r="BY891" s="1">
        <f ca="1">IFERROR(__xludf.DUMMYFUNCTION("""COMPUTED_VALUE"""),0)</f>
        <v>0</v>
      </c>
      <c r="BZ891" s="1">
        <f ca="1">IFERROR(__xludf.DUMMYFUNCTION("""COMPUTED_VALUE"""),2)</f>
        <v>2</v>
      </c>
      <c r="CA891" s="1" t="str">
        <f ca="1">IFERROR(__xludf.DUMMYFUNCTION("""COMPUTED_VALUE"""),"Yes")</f>
        <v>Yes</v>
      </c>
      <c r="CB891" s="5">
        <f ca="1">IFERROR(__xludf.DUMMYFUNCTION("""COMPUTED_VALUE"""),45130.8441881828)</f>
        <v>45130.844188182797</v>
      </c>
      <c r="CC891" s="1" t="str">
        <f ca="1">IFERROR(__xludf.DUMMYFUNCTION("""COMPUTED_VALUE"""),"Dignity Of Organisational Skill : EP_17")</f>
        <v>Dignity Of Organisational Skill : EP_17</v>
      </c>
      <c r="CD891" s="3" t="str">
        <f ca="1">IFERROR(__xludf.DUMMYFUNCTION("""COMPUTED_VALUE"""),"http://literature.awgp.org/book/vyavastha_buddhi_ki_garima/v2")</f>
        <v>http://literature.awgp.org/book/vyavastha_buddhi_ki_garima/v2</v>
      </c>
      <c r="CE891" s="1" t="str">
        <f ca="1">IFERROR(__xludf.DUMMYFUNCTION("""COMPUTED_VALUE"""),"Audiobook : Dignity Of Organisational Skill : EP_17 : Gayatri24000@gmail.com : Recorded")</f>
        <v>Audiobook : Dignity Of Organisational Skill : EP_17 : Gayatri24000@gmail.com : Recorded</v>
      </c>
      <c r="CF891" s="1" t="str">
        <f ca="1">IFERROR(__xludf.DUMMYFUNCTION("""COMPUTED_VALUE"""),"Audiobook : Dignity Of Organisational Skill : EP_17 : Gayatri24000@gmail.com : Recorded")</f>
        <v>Audiobook : Dignity Of Organisational Skill : EP_17 : Gayatri24000@gmail.com : Recorded</v>
      </c>
      <c r="CG891" s="1" t="str">
        <f ca="1">IFERROR(__xludf.DUMMYFUNCTION("""COMPUTED_VALUE"""),"Adarniya Disha Ashutosh Maru ji Dignity Of Organisational Skill : EP_17 : Allocated on 13-Jul-23 Contact Number  (+1) 250 588 8404")</f>
        <v>Adarniya Disha Ashutosh Maru ji Dignity Of Organisational Skill : EP_17 : Allocated on 13-Jul-23 Contact Number  (+1) 250 588 8404</v>
      </c>
      <c r="CH891" s="1"/>
      <c r="CI891" s="1"/>
    </row>
    <row r="892" spans="1:87" x14ac:dyDescent="0.25">
      <c r="A892" s="5">
        <f ca="1">IFERROR(__xludf.DUMMYFUNCTION("""COMPUTED_VALUE"""),45120.2747448032)</f>
        <v>45120.274744803202</v>
      </c>
      <c r="B892" s="1" t="str">
        <f ca="1">IFERROR(__xludf.DUMMYFUNCTION("""COMPUTED_VALUE"""),"vandana15rastogi@gmail.com")</f>
        <v>vandana15rastogi@gmail.com</v>
      </c>
      <c r="C892" s="1" t="str">
        <f ca="1">IFERROR(__xludf.DUMMYFUNCTION("""COMPUTED_VALUE"""),"Vandana Rastogi")</f>
        <v>Vandana Rastogi</v>
      </c>
      <c r="D892" s="1">
        <f ca="1">IFERROR(__xludf.DUMMYFUNCTION("""COMPUTED_VALUE"""),9359528684)</f>
        <v>9359528684</v>
      </c>
      <c r="E892" s="1" t="str">
        <f ca="1">IFERROR(__xludf.DUMMYFUNCTION("""COMPUTED_VALUE"""),"Yes")</f>
        <v>Yes</v>
      </c>
      <c r="F892" s="1" t="str">
        <f ca="1">IFERROR(__xludf.DUMMYFUNCTION("""COMPUTED_VALUE"""),"हिन्दी")</f>
        <v>हिन्दी</v>
      </c>
      <c r="G892" s="1" t="str">
        <f ca="1">IFERROR(__xludf.DUMMYFUNCTION("""COMPUTED_VALUE"""),"अध्यात्म, धर्म एवं दर्शन")</f>
        <v>अध्यात्म, धर्म एवं दर्शन</v>
      </c>
      <c r="H892" s="1" t="str">
        <f ca="1">IFERROR(__xludf.DUMMYFUNCTION("""COMPUTED_VALUE"""),"आत्मज्ञान एवं आत्मनिर्माण")</f>
        <v>आत्मज्ञान एवं आत्मनिर्माण</v>
      </c>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f ca="1">IFERROR(__xludf.DUMMYFUNCTION("""COMPUTED_VALUE"""),33)</f>
        <v>33</v>
      </c>
      <c r="BX892" s="1">
        <f ca="1">IFERROR(__xludf.DUMMYFUNCTION("""COMPUTED_VALUE"""),19)</f>
        <v>19</v>
      </c>
      <c r="BY892" s="1">
        <f ca="1">IFERROR(__xludf.DUMMYFUNCTION("""COMPUTED_VALUE"""),17)</f>
        <v>17</v>
      </c>
      <c r="BZ892" s="1">
        <f ca="1">IFERROR(__xludf.DUMMYFUNCTION("""COMPUTED_VALUE"""),14)</f>
        <v>14</v>
      </c>
      <c r="CA892" s="1" t="str">
        <f ca="1">IFERROR(__xludf.DUMMYFUNCTION("""COMPUTED_VALUE"""),"Yes")</f>
        <v>Yes</v>
      </c>
      <c r="CB892" s="5">
        <f ca="1">IFERROR(__xludf.DUMMYFUNCTION("""COMPUTED_VALUE"""),45130.2747448032)</f>
        <v>45130.274744803202</v>
      </c>
      <c r="CC892" s="1" t="str">
        <f ca="1">IFERROR(__xludf.DUMMYFUNCTION("""COMPUTED_VALUE"""),"आत्मीयता का अमृत और उसका रसास्वादन : Rare Book")</f>
        <v>आत्मीयता का अमृत और उसका रसास्वादन : Rare Book</v>
      </c>
      <c r="CD892" s="3" t="str">
        <f ca="1">IFERROR(__xludf.DUMMYFUNCTION("""COMPUTED_VALUE"""),"https://vicharkrantibooks.org/productdetail?book_name=HINP0107_ATMIYATA_KA_AMRUT_AUR_USAKA_RASASVADAN_xx1981&amp;product_id=672")</f>
        <v>https://vicharkrantibooks.org/productdetail?book_name=HINP0107_ATMIYATA_KA_AMRUT_AUR_USAKA_RASASVADAN_xx1981&amp;product_id=672</v>
      </c>
      <c r="CE892" s="1" t="str">
        <f ca="1">IFERROR(__xludf.DUMMYFUNCTION("""COMPUTED_VALUE"""),"Audiobook : आत्मीयता का अमृत और उसका रसास्वादन : Rare Book : vandana15rastogi@gmail.com : Recorded")</f>
        <v>Audiobook : आत्मीयता का अमृत और उसका रसास्वादन : Rare Book : vandana15rastogi@gmail.com : Recorded</v>
      </c>
      <c r="CF892" s="1" t="str">
        <f ca="1">IFERROR(__xludf.DUMMYFUNCTION("""COMPUTED_VALUE"""),"#N/A")</f>
        <v>#N/A</v>
      </c>
      <c r="CG892" s="1" t="str">
        <f ca="1">IFERROR(__xludf.DUMMYFUNCTION("""COMPUTED_VALUE"""),"Adarniya Vandana Rastogi ji आत्मीयता का अमृत और उसका रसास्वादन : Rare Book : Allocated on 13-Jul-23 Contact Number  9359528684")</f>
        <v>Adarniya Vandana Rastogi ji आत्मीयता का अमृत और उसका रसास्वादन : Rare Book : Allocated on 13-Jul-23 Contact Number  9359528684</v>
      </c>
      <c r="CH892" s="1"/>
      <c r="CI892" s="1"/>
    </row>
    <row r="893" spans="1:87" x14ac:dyDescent="0.25">
      <c r="A893" s="5">
        <f ca="1">IFERROR(__xludf.DUMMYFUNCTION("""COMPUTED_VALUE"""),45120.2544888194)</f>
        <v>45120.254488819402</v>
      </c>
      <c r="B893" s="1" t="str">
        <f ca="1">IFERROR(__xludf.DUMMYFUNCTION("""COMPUTED_VALUE"""),"advocatescampaign@gmail.com")</f>
        <v>advocatescampaign@gmail.com</v>
      </c>
      <c r="C893" s="1" t="str">
        <f ca="1">IFERROR(__xludf.DUMMYFUNCTION("""COMPUTED_VALUE"""),"Jetendra Singh")</f>
        <v>Jetendra Singh</v>
      </c>
      <c r="D893" s="1">
        <f ca="1">IFERROR(__xludf.DUMMYFUNCTION("""COMPUTED_VALUE"""),9810716278)</f>
        <v>9810716278</v>
      </c>
      <c r="E893" s="1" t="str">
        <f ca="1">IFERROR(__xludf.DUMMYFUNCTION("""COMPUTED_VALUE"""),"No")</f>
        <v>No</v>
      </c>
      <c r="F893" s="1" t="str">
        <f ca="1">IFERROR(__xludf.DUMMYFUNCTION("""COMPUTED_VALUE"""),"हिन्दी or English")</f>
        <v>हिन्दी or English</v>
      </c>
      <c r="G893" s="1" t="str">
        <f ca="1">IFERROR(__xludf.DUMMYFUNCTION("""COMPUTED_VALUE"""),"जीवन प्रबंध")</f>
        <v>जीवन प्रबंध</v>
      </c>
      <c r="H893" s="1"/>
      <c r="I893" s="1"/>
      <c r="J893" s="1"/>
      <c r="K893" s="1"/>
      <c r="L893" s="1" t="str">
        <f ca="1">IFERROR(__xludf.DUMMYFUNCTION("""COMPUTED_VALUE"""),"सद्‌चिंतन, विचार एवं सूक्तियाँ")</f>
        <v>सद्‌चिंतन, विचार एवं सूक्तियाँ</v>
      </c>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f ca="1">IFERROR(__xludf.DUMMYFUNCTION("""COMPUTED_VALUE"""),1)</f>
        <v>1</v>
      </c>
      <c r="BX893" s="1">
        <f ca="1">IFERROR(__xludf.DUMMYFUNCTION("""COMPUTED_VALUE"""),0)</f>
        <v>0</v>
      </c>
      <c r="BY893" s="1">
        <f ca="1">IFERROR(__xludf.DUMMYFUNCTION("""COMPUTED_VALUE"""),1)</f>
        <v>1</v>
      </c>
      <c r="BZ893" s="1">
        <f ca="1">IFERROR(__xludf.DUMMYFUNCTION("""COMPUTED_VALUE"""),0)</f>
        <v>0</v>
      </c>
      <c r="CA893" s="1" t="str">
        <f ca="1">IFERROR(__xludf.DUMMYFUNCTION("""COMPUTED_VALUE"""),"Yes")</f>
        <v>Yes</v>
      </c>
      <c r="CB893" s="5">
        <f ca="1">IFERROR(__xludf.DUMMYFUNCTION("""COMPUTED_VALUE"""),45130.2544888194)</f>
        <v>45130.254488819402</v>
      </c>
      <c r="CC893" s="1" t="str">
        <f ca="1">IFERROR(__xludf.DUMMYFUNCTION("""COMPUTED_VALUE"""),"Awake O'Talented And Come ForwardBook in English : EP_43")</f>
        <v>Awake O'Talented And Come ForwardBook in English : EP_43</v>
      </c>
      <c r="CD893" s="3" t="str">
        <f ca="1">IFERROR(__xludf.DUMMYFUNCTION("""COMPUTED_VALUE"""),"https://vicharkrantibooks.org/productdetail?book_name=ENGRE043_AWAKE_O%27TALENTED_AND_COME_FORWARD_RE2012&amp;product_id=3436")</f>
        <v>https://vicharkrantibooks.org/productdetail?book_name=ENGRE043_AWAKE_O%27TALENTED_AND_COME_FORWARD_RE2012&amp;product_id=3436</v>
      </c>
      <c r="CE893" s="1" t="str">
        <f ca="1">IFERROR(__xludf.DUMMYFUNCTION("""COMPUTED_VALUE"""),"Audiobook : Awake O'Talented And Come ForwardBook in English : EP_43 : advocatescampaign@gmail.com : Recorded")</f>
        <v>Audiobook : Awake O'Talented And Come ForwardBook in English : EP_43 : advocatescampaign@gmail.com : Recorded</v>
      </c>
      <c r="CF893" s="1" t="str">
        <f ca="1">IFERROR(__xludf.DUMMYFUNCTION("""COMPUTED_VALUE"""),"#N/A")</f>
        <v>#N/A</v>
      </c>
      <c r="CG893" s="1" t="str">
        <f ca="1">IFERROR(__xludf.DUMMYFUNCTION("""COMPUTED_VALUE"""),"Adarniya Jetendra Singh ji Awake O'Talented And Come ForwardBook in English : EP_43 : Allocated on 13-Jul-23 Contact Number  9810716278")</f>
        <v>Adarniya Jetendra Singh ji Awake O'Talented And Come ForwardBook in English : EP_43 : Allocated on 13-Jul-23 Contact Number  9810716278</v>
      </c>
      <c r="CH893" s="1"/>
      <c r="CI893" s="1"/>
    </row>
    <row r="894" spans="1:87" x14ac:dyDescent="0.25">
      <c r="A894" s="5">
        <f ca="1">IFERROR(__xludf.DUMMYFUNCTION("""COMPUTED_VALUE"""),45119.3176235185)</f>
        <v>45119.317623518502</v>
      </c>
      <c r="B894" s="1" t="str">
        <f ca="1">IFERROR(__xludf.DUMMYFUNCTION("""COMPUTED_VALUE"""),"shweta.r.gupta79@gmail.com")</f>
        <v>shweta.r.gupta79@gmail.com</v>
      </c>
      <c r="C894" s="1" t="str">
        <f ca="1">IFERROR(__xludf.DUMMYFUNCTION("""COMPUTED_VALUE"""),"Shweta Gupta ")</f>
        <v xml:space="preserve">Shweta Gupta </v>
      </c>
      <c r="D894" s="1">
        <f ca="1">IFERROR(__xludf.DUMMYFUNCTION("""COMPUTED_VALUE"""),8369516724)</f>
        <v>8369516724</v>
      </c>
      <c r="E894" s="1" t="str">
        <f ca="1">IFERROR(__xludf.DUMMYFUNCTION("""COMPUTED_VALUE"""),"Yes")</f>
        <v>Yes</v>
      </c>
      <c r="F894" s="1" t="str">
        <f ca="1">IFERROR(__xludf.DUMMYFUNCTION("""COMPUTED_VALUE"""),"हिन्दी")</f>
        <v>हिन्दी</v>
      </c>
      <c r="G894" s="1" t="str">
        <f ca="1">IFERROR(__xludf.DUMMYFUNCTION("""COMPUTED_VALUE"""),"परिवार निर्माण")</f>
        <v>परिवार निर्माण</v>
      </c>
      <c r="H894" s="1"/>
      <c r="I894" s="1"/>
      <c r="J894" s="1"/>
      <c r="K894" s="1"/>
      <c r="L894" s="1"/>
      <c r="M894" s="1" t="str">
        <f ca="1">IFERROR(__xludf.DUMMYFUNCTION("""COMPUTED_VALUE"""),"बाल मनोविज्ञान")</f>
        <v>बाल मनोविज्ञान</v>
      </c>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f ca="1">IFERROR(__xludf.DUMMYFUNCTION("""COMPUTED_VALUE"""),31)</f>
        <v>31</v>
      </c>
      <c r="BX894" s="1">
        <f ca="1">IFERROR(__xludf.DUMMYFUNCTION("""COMPUTED_VALUE"""),45)</f>
        <v>45</v>
      </c>
      <c r="BY894" s="1">
        <f ca="1">IFERROR(__xludf.DUMMYFUNCTION("""COMPUTED_VALUE"""),3)</f>
        <v>3</v>
      </c>
      <c r="BZ894" s="1">
        <f ca="1">IFERROR(__xludf.DUMMYFUNCTION("""COMPUTED_VALUE"""),40)</f>
        <v>40</v>
      </c>
      <c r="CA894" s="1" t="str">
        <f ca="1">IFERROR(__xludf.DUMMYFUNCTION("""COMPUTED_VALUE"""),"Yes")</f>
        <v>Yes</v>
      </c>
      <c r="CB894" s="5">
        <f ca="1">IFERROR(__xludf.DUMMYFUNCTION("""COMPUTED_VALUE"""),45129.3176235185)</f>
        <v>45129.317623518502</v>
      </c>
      <c r="CC894" s="1" t="str">
        <f ca="1">IFERROR(__xludf.DUMMYFUNCTION("""COMPUTED_VALUE"""),"यह बोल रहा है महाकाल : H_SC_16")</f>
        <v>यह बोल रहा है महाकाल : H_SC_16</v>
      </c>
      <c r="CD894" s="3" t="str">
        <f ca="1">IFERROR(__xludf.DUMMYFUNCTION("""COMPUTED_VALUE"""),"https://vicharkrantibooks.org/productdetail?book_name=HINP1024_YAH_BOL_RAHA_HAI_MAHAKAL_xxyyyy&amp;product_id=1589")</f>
        <v>https://vicharkrantibooks.org/productdetail?book_name=HINP1024_YAH_BOL_RAHA_HAI_MAHAKAL_xxyyyy&amp;product_id=1589</v>
      </c>
      <c r="CE894" s="1" t="str">
        <f ca="1">IFERROR(__xludf.DUMMYFUNCTION("""COMPUTED_VALUE"""),"Audiobook : यह बोल रहा है महाकाल : H_SC_16 : shweta.r.gupta79@gmail.com : Recorded")</f>
        <v>Audiobook : यह बोल रहा है महाकाल : H_SC_16 : shweta.r.gupta79@gmail.com : Recorded</v>
      </c>
      <c r="CF894" s="1" t="str">
        <f ca="1">IFERROR(__xludf.DUMMYFUNCTION("""COMPUTED_VALUE"""),"Audiobook : यह बोल रहा है महाकाल : H_SC_16 : shweta.r.gupta79@gmail.com : Recorded")</f>
        <v>Audiobook : यह बोल रहा है महाकाल : H_SC_16 : shweta.r.gupta79@gmail.com : Recorded</v>
      </c>
      <c r="CG894" s="1" t="str">
        <f ca="1">IFERROR(__xludf.DUMMYFUNCTION("""COMPUTED_VALUE"""),"Adarniya Shweta Gupta  ji यह बोल रहा है महाकाल : H_SC_16 : Allocated on 12-Jul-23 Contact Number  8369516724")</f>
        <v>Adarniya Shweta Gupta  ji यह बोल रहा है महाकाल : H_SC_16 : Allocated on 12-Jul-23 Contact Number  8369516724</v>
      </c>
      <c r="CH894" s="1"/>
      <c r="CI894" s="1"/>
    </row>
    <row r="895" spans="1:87" x14ac:dyDescent="0.25">
      <c r="A895" s="5">
        <f ca="1">IFERROR(__xludf.DUMMYFUNCTION("""COMPUTED_VALUE"""),45117.9289673726)</f>
        <v>45117.928967372602</v>
      </c>
      <c r="B895" s="1" t="str">
        <f ca="1">IFERROR(__xludf.DUMMYFUNCTION("""COMPUTED_VALUE"""),"rbbansalriya@gmail.com")</f>
        <v>rbbansalriya@gmail.com</v>
      </c>
      <c r="C895" s="1" t="str">
        <f ca="1">IFERROR(__xludf.DUMMYFUNCTION("""COMPUTED_VALUE"""),"Riya bansal ")</f>
        <v xml:space="preserve">Riya bansal </v>
      </c>
      <c r="D895" s="1">
        <f ca="1">IFERROR(__xludf.DUMMYFUNCTION("""COMPUTED_VALUE"""),9176361023)</f>
        <v>9176361023</v>
      </c>
      <c r="E895" s="1" t="str">
        <f ca="1">IFERROR(__xludf.DUMMYFUNCTION("""COMPUTED_VALUE"""),"Yes")</f>
        <v>Yes</v>
      </c>
      <c r="F895" s="1" t="str">
        <f ca="1">IFERROR(__xludf.DUMMYFUNCTION("""COMPUTED_VALUE"""),"हिन्दी")</f>
        <v>हिन्दी</v>
      </c>
      <c r="G895" s="1" t="str">
        <f ca="1">IFERROR(__xludf.DUMMYFUNCTION("""COMPUTED_VALUE"""),"समाज निर्माण")</f>
        <v>समाज निर्माण</v>
      </c>
      <c r="H895" s="1"/>
      <c r="I895" s="1"/>
      <c r="J895" s="1"/>
      <c r="K895" s="1"/>
      <c r="L895" s="1"/>
      <c r="M895" s="1"/>
      <c r="N895" s="1"/>
      <c r="O895" s="1"/>
      <c r="P895" s="1"/>
      <c r="Q895" s="1"/>
      <c r="R895" s="1"/>
      <c r="S895" s="1"/>
      <c r="T895" s="1"/>
      <c r="U895" s="1"/>
      <c r="V895" s="1" t="str">
        <f ca="1">IFERROR(__xludf.DUMMYFUNCTION("""COMPUTED_VALUE"""),"समाज निर्माण")</f>
        <v>समाज निर्माण</v>
      </c>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f ca="1">IFERROR(__xludf.DUMMYFUNCTION("""COMPUTED_VALUE"""),54)</f>
        <v>54</v>
      </c>
      <c r="BX895" s="1">
        <f ca="1">IFERROR(__xludf.DUMMYFUNCTION("""COMPUTED_VALUE"""),55)</f>
        <v>55</v>
      </c>
      <c r="BY895" s="1">
        <f ca="1">IFERROR(__xludf.DUMMYFUNCTION("""COMPUTED_VALUE"""),9)</f>
        <v>9</v>
      </c>
      <c r="BZ895" s="1">
        <f ca="1">IFERROR(__xludf.DUMMYFUNCTION("""COMPUTED_VALUE"""),43)</f>
        <v>43</v>
      </c>
      <c r="CA895" s="1" t="str">
        <f ca="1">IFERROR(__xludf.DUMMYFUNCTION("""COMPUTED_VALUE"""),"Yes")</f>
        <v>Yes</v>
      </c>
      <c r="CB895" s="5">
        <f ca="1">IFERROR(__xludf.DUMMYFUNCTION("""COMPUTED_VALUE"""),45127.9289673726)</f>
        <v>45127.928967372602</v>
      </c>
      <c r="CC895" s="1" t="str">
        <f ca="1">IFERROR(__xludf.DUMMYFUNCTION("""COMPUTED_VALUE"""),"भज‍ सेवायाम ही है भक्ति : H_JS_79")</f>
        <v>भज‍ सेवायाम ही है भक्ति : H_JS_79</v>
      </c>
      <c r="CD895" s="3" t="str">
        <f ca="1">IFERROR(__xludf.DUMMYFUNCTION("""COMPUTED_VALUE"""),"https://vicharkrantibooks.org/productdetail?book_name=HINP0145_BHAJ_SEVAYAM_HI_HAI_BHAKTI_xx2011&amp;product_id=710")</f>
        <v>https://vicharkrantibooks.org/productdetail?book_name=HINP0145_BHAJ_SEVAYAM_HI_HAI_BHAKTI_xx2011&amp;product_id=710</v>
      </c>
      <c r="CE895" s="1" t="str">
        <f ca="1">IFERROR(__xludf.DUMMYFUNCTION("""COMPUTED_VALUE"""),"Audiobook : भज‍ सेवायाम ही है भक्ति : H_JS_79 : rbbansalriya@gmail.com : Recorded")</f>
        <v>Audiobook : भज‍ सेवायाम ही है भक्ति : H_JS_79 : rbbansalriya@gmail.com : Recorded</v>
      </c>
      <c r="CF895" s="1" t="str">
        <f ca="1">IFERROR(__xludf.DUMMYFUNCTION("""COMPUTED_VALUE"""),"Audiobook : भज‍ सेवायाम ही है भक्ति : H_JS_79 : rbbansalriya@gmail.com : Recorded")</f>
        <v>Audiobook : भज‍ सेवायाम ही है भक्ति : H_JS_79 : rbbansalriya@gmail.com : Recorded</v>
      </c>
      <c r="CG895" s="1" t="str">
        <f ca="1">IFERROR(__xludf.DUMMYFUNCTION("""COMPUTED_VALUE"""),"Adarniya Riya bansal  ji भज‍ सेवायाम ही है भक्ति : H_JS_79 : Allocated on 10-Jul-23 Contact Number  9176361023")</f>
        <v>Adarniya Riya bansal  ji भज‍ सेवायाम ही है भक्ति : H_JS_79 : Allocated on 10-Jul-23 Contact Number  9176361023</v>
      </c>
      <c r="CH895" s="1"/>
      <c r="CI895" s="1"/>
    </row>
    <row r="896" spans="1:87" x14ac:dyDescent="0.25">
      <c r="A896" s="5">
        <f ca="1">IFERROR(__xludf.DUMMYFUNCTION("""COMPUTED_VALUE"""),45117.3591993981)</f>
        <v>45117.359199398103</v>
      </c>
      <c r="B896" s="1" t="str">
        <f ca="1">IFERROR(__xludf.DUMMYFUNCTION("""COMPUTED_VALUE"""),"csprasad108@gmail.com")</f>
        <v>csprasad108@gmail.com</v>
      </c>
      <c r="C896" s="1" t="str">
        <f ca="1">IFERROR(__xludf.DUMMYFUNCTION("""COMPUTED_VALUE"""),"Kumkum prasad")</f>
        <v>Kumkum prasad</v>
      </c>
      <c r="D896" s="1">
        <f ca="1">IFERROR(__xludf.DUMMYFUNCTION("""COMPUTED_VALUE"""),7978055621)</f>
        <v>7978055621</v>
      </c>
      <c r="E896" s="1"/>
      <c r="F896" s="1" t="str">
        <f ca="1">IFERROR(__xludf.DUMMYFUNCTION("""COMPUTED_VALUE"""),"हिन्दी")</f>
        <v>हिन्दी</v>
      </c>
      <c r="G896" s="1" t="str">
        <f ca="1">IFERROR(__xludf.DUMMYFUNCTION("""COMPUTED_VALUE"""),"भारतीय संस्कृति")</f>
        <v>भारतीय संस्कृति</v>
      </c>
      <c r="H896" s="1"/>
      <c r="I896" s="1"/>
      <c r="J896" s="1"/>
      <c r="K896" s="1"/>
      <c r="L896" s="1"/>
      <c r="M896" s="1"/>
      <c r="N896" s="1"/>
      <c r="O896" s="1" t="str">
        <f ca="1">IFERROR(__xludf.DUMMYFUNCTION("""COMPUTED_VALUE"""),"भारतीय संस्कृति")</f>
        <v>भारतीय संस्कृति</v>
      </c>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f ca="1">IFERROR(__xludf.DUMMYFUNCTION("""COMPUTED_VALUE"""),52)</f>
        <v>52</v>
      </c>
      <c r="BX896" s="1">
        <f ca="1">IFERROR(__xludf.DUMMYFUNCTION("""COMPUTED_VALUE"""),54)</f>
        <v>54</v>
      </c>
      <c r="BY896" s="1">
        <f ca="1">IFERROR(__xludf.DUMMYFUNCTION("""COMPUTED_VALUE"""),3)</f>
        <v>3</v>
      </c>
      <c r="BZ896" s="1">
        <f ca="1">IFERROR(__xludf.DUMMYFUNCTION("""COMPUTED_VALUE"""),24)</f>
        <v>24</v>
      </c>
      <c r="CA896" s="1" t="str">
        <f ca="1">IFERROR(__xludf.DUMMYFUNCTION("""COMPUTED_VALUE"""),"Yes")</f>
        <v>Yes</v>
      </c>
      <c r="CB896" s="5">
        <f ca="1">IFERROR(__xludf.DUMMYFUNCTION("""COMPUTED_VALUE"""),45127.3591993981)</f>
        <v>45127.359199398103</v>
      </c>
      <c r="CC896" s="1" t="str">
        <f ca="1">IFERROR(__xludf.DUMMYFUNCTION("""COMPUTED_VALUE"""),"हमारा गायत्री यज्ञ अभियान : Rare Book")</f>
        <v>हमारा गायत्री यज्ञ अभियान : Rare Book</v>
      </c>
      <c r="CD896" s="3" t="str">
        <f ca="1">IFERROR(__xludf.DUMMYFUNCTION("""COMPUTED_VALUE"""),"https://vicharkrantibooks.org/productdetail?book_name=HINP0331_HAMARA_GAYATRI_YAGY_ABHIYAN_xxyyyy&amp;product_id=896")</f>
        <v>https://vicharkrantibooks.org/productdetail?book_name=HINP0331_HAMARA_GAYATRI_YAGY_ABHIYAN_xxyyyy&amp;product_id=896</v>
      </c>
      <c r="CE896" s="1" t="str">
        <f ca="1">IFERROR(__xludf.DUMMYFUNCTION("""COMPUTED_VALUE"""),"Audiobook : हमारा गायत्री यज्ञ अभियान : Rare Book : csprasad108@gmail.com : Recorded")</f>
        <v>Audiobook : हमारा गायत्री यज्ञ अभियान : Rare Book : csprasad108@gmail.com : Recorded</v>
      </c>
      <c r="CF896" s="1" t="str">
        <f ca="1">IFERROR(__xludf.DUMMYFUNCTION("""COMPUTED_VALUE"""),"#N/A")</f>
        <v>#N/A</v>
      </c>
      <c r="CG896" s="1" t="str">
        <f ca="1">IFERROR(__xludf.DUMMYFUNCTION("""COMPUTED_VALUE"""),"Adarniya Kumkum prasad ji हमारा गायत्री यज्ञ अभियान : Rare Book : Allocated on 10-Jul-23 Contact Number  7978055621")</f>
        <v>Adarniya Kumkum prasad ji हमारा गायत्री यज्ञ अभियान : Rare Book : Allocated on 10-Jul-23 Contact Number  7978055621</v>
      </c>
      <c r="CH896" s="1"/>
      <c r="CI896" s="1"/>
    </row>
    <row r="897" spans="1:87" x14ac:dyDescent="0.25">
      <c r="A897" s="5">
        <f ca="1">IFERROR(__xludf.DUMMYFUNCTION("""COMPUTED_VALUE"""),45114.9474010648)</f>
        <v>45114.947401064797</v>
      </c>
      <c r="B897" s="1" t="str">
        <f ca="1">IFERROR(__xludf.DUMMYFUNCTION("""COMPUTED_VALUE"""),"vandana15rastogi@gmail.com")</f>
        <v>vandana15rastogi@gmail.com</v>
      </c>
      <c r="C897" s="1" t="str">
        <f ca="1">IFERROR(__xludf.DUMMYFUNCTION("""COMPUTED_VALUE"""),"Vandana Rastogi")</f>
        <v>Vandana Rastogi</v>
      </c>
      <c r="D897" s="1">
        <f ca="1">IFERROR(__xludf.DUMMYFUNCTION("""COMPUTED_VALUE"""),9359528684)</f>
        <v>9359528684</v>
      </c>
      <c r="E897" s="1" t="str">
        <f ca="1">IFERROR(__xludf.DUMMYFUNCTION("""COMPUTED_VALUE"""),"Yes")</f>
        <v>Yes</v>
      </c>
      <c r="F897" s="1" t="str">
        <f ca="1">IFERROR(__xludf.DUMMYFUNCTION("""COMPUTED_VALUE"""),"हिन्दी")</f>
        <v>हिन्दी</v>
      </c>
      <c r="G897" s="1" t="str">
        <f ca="1">IFERROR(__xludf.DUMMYFUNCTION("""COMPUTED_VALUE"""),"जीवन प्रबंध")</f>
        <v>जीवन प्रबंध</v>
      </c>
      <c r="H897" s="1"/>
      <c r="I897" s="1"/>
      <c r="J897" s="1"/>
      <c r="K897" s="1"/>
      <c r="L897" s="1" t="str">
        <f ca="1">IFERROR(__xludf.DUMMYFUNCTION("""COMPUTED_VALUE"""),"सफल, संतुष्ट एवं सुखी जीवन")</f>
        <v>सफल, संतुष्ट एवं सुखी जीवन</v>
      </c>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f ca="1">IFERROR(__xludf.DUMMYFUNCTION("""COMPUTED_VALUE"""),33)</f>
        <v>33</v>
      </c>
      <c r="BX897" s="1">
        <f ca="1">IFERROR(__xludf.DUMMYFUNCTION("""COMPUTED_VALUE"""),19)</f>
        <v>19</v>
      </c>
      <c r="BY897" s="1">
        <f ca="1">IFERROR(__xludf.DUMMYFUNCTION("""COMPUTED_VALUE"""),17)</f>
        <v>17</v>
      </c>
      <c r="BZ897" s="1">
        <f ca="1">IFERROR(__xludf.DUMMYFUNCTION("""COMPUTED_VALUE"""),14)</f>
        <v>14</v>
      </c>
      <c r="CA897" s="1" t="str">
        <f ca="1">IFERROR(__xludf.DUMMYFUNCTION("""COMPUTED_VALUE"""),"Yes")</f>
        <v>Yes</v>
      </c>
      <c r="CB897" s="5">
        <f ca="1">IFERROR(__xludf.DUMMYFUNCTION("""COMPUTED_VALUE"""),45124.9474010648)</f>
        <v>45124.947401064797</v>
      </c>
      <c r="CC897" s="1" t="str">
        <f ca="1">IFERROR(__xludf.DUMMYFUNCTION("""COMPUTED_VALUE"""),"निकृष्ट जीवन न जियें : Rare Book")</f>
        <v>निकृष्ट जीवन न जियें : Rare Book</v>
      </c>
      <c r="CD897" s="3" t="str">
        <f ca="1">IFERROR(__xludf.DUMMYFUNCTION("""COMPUTED_VALUE"""),"https://vicharkrantibooks.org/productdetail?book_name=HINP0599_NIKRUSHT_JIVAN_NA_JIYEN_xx1979&amp;product_id=1164")</f>
        <v>https://vicharkrantibooks.org/productdetail?book_name=HINP0599_NIKRUSHT_JIVAN_NA_JIYEN_xx1979&amp;product_id=1164</v>
      </c>
      <c r="CE897" s="1" t="str">
        <f ca="1">IFERROR(__xludf.DUMMYFUNCTION("""COMPUTED_VALUE"""),"Audiobook : निकृष्ट जीवन न जियें : Rare Book : vandana15rastogi@gmail.com : Recorded")</f>
        <v>Audiobook : निकृष्ट जीवन न जियें : Rare Book : vandana15rastogi@gmail.com : Recorded</v>
      </c>
      <c r="CF897" s="1" t="str">
        <f ca="1">IFERROR(__xludf.DUMMYFUNCTION("""COMPUTED_VALUE"""),"Audiobook : निकृष्ट जीवन न जियें : Rare Book : vandana15rastogi@gmail.com : Recorded")</f>
        <v>Audiobook : निकृष्ट जीवन न जियें : Rare Book : vandana15rastogi@gmail.com : Recorded</v>
      </c>
      <c r="CG897" s="1" t="str">
        <f ca="1">IFERROR(__xludf.DUMMYFUNCTION("""COMPUTED_VALUE"""),"Adarniya Vandana Rastogi ji निकृष्ट जीवन न जियें : Rare Book : Allocated on 07-Jul-23 Contact Number  9359528684")</f>
        <v>Adarniya Vandana Rastogi ji निकृष्ट जीवन न जियें : Rare Book : Allocated on 07-Jul-23 Contact Number  9359528684</v>
      </c>
      <c r="CH897" s="1"/>
      <c r="CI897" s="1"/>
    </row>
    <row r="898" spans="1:87" x14ac:dyDescent="0.25">
      <c r="A898" s="5">
        <f ca="1">IFERROR(__xludf.DUMMYFUNCTION("""COMPUTED_VALUE"""),45113.7769469444)</f>
        <v>45113.776946944403</v>
      </c>
      <c r="B898" s="1" t="str">
        <f ca="1">IFERROR(__xludf.DUMMYFUNCTION("""COMPUTED_VALUE"""),"jamunashukla17@gmail.com")</f>
        <v>jamunashukla17@gmail.com</v>
      </c>
      <c r="C898" s="1" t="str">
        <f ca="1">IFERROR(__xludf.DUMMYFUNCTION("""COMPUTED_VALUE"""),"J S Shukla")</f>
        <v>J S Shukla</v>
      </c>
      <c r="D898" s="1" t="str">
        <f ca="1">IFERROR(__xludf.DUMMYFUNCTION("""COMPUTED_VALUE"""),"+918390353167")</f>
        <v>+918390353167</v>
      </c>
      <c r="E898" s="1" t="str">
        <f ca="1">IFERROR(__xludf.DUMMYFUNCTION("""COMPUTED_VALUE"""),"Yes")</f>
        <v>Yes</v>
      </c>
      <c r="F898" s="1" t="str">
        <f ca="1">IFERROR(__xludf.DUMMYFUNCTION("""COMPUTED_VALUE"""),"हिन्दी")</f>
        <v>हिन्दी</v>
      </c>
      <c r="G898" s="1" t="str">
        <f ca="1">IFERROR(__xludf.DUMMYFUNCTION("""COMPUTED_VALUE"""),"अध्यात्म, धर्म एवं दर्शन")</f>
        <v>अध्यात्म, धर्म एवं दर्शन</v>
      </c>
      <c r="H898" s="1" t="str">
        <f ca="1">IFERROR(__xludf.DUMMYFUNCTION("""COMPUTED_VALUE"""),"साधना")</f>
        <v>साधना</v>
      </c>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f ca="1">IFERROR(__xludf.DUMMYFUNCTION("""COMPUTED_VALUE"""),53)</f>
        <v>53</v>
      </c>
      <c r="BX898" s="1">
        <f ca="1">IFERROR(__xludf.DUMMYFUNCTION("""COMPUTED_VALUE"""),53)</f>
        <v>53</v>
      </c>
      <c r="BY898" s="1">
        <f ca="1">IFERROR(__xludf.DUMMYFUNCTION("""COMPUTED_VALUE"""),9)</f>
        <v>9</v>
      </c>
      <c r="BZ898" s="1">
        <f ca="1">IFERROR(__xludf.DUMMYFUNCTION("""COMPUTED_VALUE"""),25)</f>
        <v>25</v>
      </c>
      <c r="CA898" s="1" t="str">
        <f ca="1">IFERROR(__xludf.DUMMYFUNCTION("""COMPUTED_VALUE"""),"Yes")</f>
        <v>Yes</v>
      </c>
      <c r="CB898" s="5">
        <f ca="1">IFERROR(__xludf.DUMMYFUNCTION("""COMPUTED_VALUE"""),45123.7769469444)</f>
        <v>45123.776946944403</v>
      </c>
      <c r="CC898" s="1" t="str">
        <f ca="1">IFERROR(__xludf.DUMMYFUNCTION("""COMPUTED_VALUE"""),"कुंडलिनी जागरण गायत्री की उच्चस्तरीय तप साधना : Rare Book")</f>
        <v>कुंडलिनी जागरण गायत्री की उच्चस्तरीय तप साधना : Rare Book</v>
      </c>
      <c r="CD898" s="3" t="str">
        <f ca="1">IFERROR(__xludf.DUMMYFUNCTION("""COMPUTED_VALUE"""),"https://vicharkrantibooks.org/productdetail?book_name=HINP1110_KUNDALINI_JAGARAN_GAYATRI_KI_UCHCHASTARIY_TAP_SADHANA_xx1979&amp;product_id=1675")</f>
        <v>https://vicharkrantibooks.org/productdetail?book_name=HINP1110_KUNDALINI_JAGARAN_GAYATRI_KI_UCHCHASTARIY_TAP_SADHANA_xx1979&amp;product_id=1675</v>
      </c>
      <c r="CE898" s="1" t="str">
        <f ca="1">IFERROR(__xludf.DUMMYFUNCTION("""COMPUTED_VALUE"""),"Audiobook : कुंडलिनी जागरण गायत्री की उच्चस्तरीय तप साधना : Rare Book : jamunashukla17@gmail.com : Recorded")</f>
        <v>Audiobook : कुंडलिनी जागरण गायत्री की उच्चस्तरीय तप साधना : Rare Book : jamunashukla17@gmail.com : Recorded</v>
      </c>
      <c r="CF898" s="1" t="str">
        <f ca="1">IFERROR(__xludf.DUMMYFUNCTION("""COMPUTED_VALUE"""),"Audiobook : कुंडलिनी जागरण गायत्री की उच्चस्तरीय तप साधना : Rare Book : jamunashukla17@gmail.com : Recorded")</f>
        <v>Audiobook : कुंडलिनी जागरण गायत्री की उच्चस्तरीय तप साधना : Rare Book : jamunashukla17@gmail.com : Recorded</v>
      </c>
      <c r="CG898" s="1" t="str">
        <f ca="1">IFERROR(__xludf.DUMMYFUNCTION("""COMPUTED_VALUE"""),"Adarniya J S Shukla ji कुंडलिनी जागरण गायत्री की उच्चस्तरीय तप साधना : Rare Book : Allocated on 06-Jul-23 Contact Number  +918390353167")</f>
        <v>Adarniya J S Shukla ji कुंडलिनी जागरण गायत्री की उच्चस्तरीय तप साधना : Rare Book : Allocated on 06-Jul-23 Contact Number  +918390353167</v>
      </c>
      <c r="CH898" s="1"/>
      <c r="CI898" s="1"/>
    </row>
    <row r="899" spans="1:87" x14ac:dyDescent="0.25">
      <c r="A899" s="5">
        <f ca="1">IFERROR(__xludf.DUMMYFUNCTION("""COMPUTED_VALUE"""),45113.7059019097)</f>
        <v>45113.7059019097</v>
      </c>
      <c r="B899" s="1" t="str">
        <f ca="1">IFERROR(__xludf.DUMMYFUNCTION("""COMPUTED_VALUE"""),"spmittalmumbai@gmail.com")</f>
        <v>spmittalmumbai@gmail.com</v>
      </c>
      <c r="C899" s="1" t="str">
        <f ca="1">IFERROR(__xludf.DUMMYFUNCTION("""COMPUTED_VALUE"""),"SPMittal")</f>
        <v>SPMittal</v>
      </c>
      <c r="D899" s="1">
        <f ca="1">IFERROR(__xludf.DUMMYFUNCTION("""COMPUTED_VALUE"""),7045537099)</f>
        <v>7045537099</v>
      </c>
      <c r="E899" s="1" t="str">
        <f ca="1">IFERROR(__xludf.DUMMYFUNCTION("""COMPUTED_VALUE"""),"Yes")</f>
        <v>Yes</v>
      </c>
      <c r="F899" s="1" t="str">
        <f ca="1">IFERROR(__xludf.DUMMYFUNCTION("""COMPUTED_VALUE"""),"हिन्दी")</f>
        <v>हिन्दी</v>
      </c>
      <c r="G899" s="1" t="str">
        <f ca="1">IFERROR(__xludf.DUMMYFUNCTION("""COMPUTED_VALUE"""),"समग्र स्वास्थ्य")</f>
        <v>समग्र स्वास्थ्य</v>
      </c>
      <c r="H899" s="1"/>
      <c r="I899" s="1"/>
      <c r="J899" s="1"/>
      <c r="K899" s="1"/>
      <c r="L899" s="1"/>
      <c r="M899" s="1"/>
      <c r="N899" s="1"/>
      <c r="O899" s="1"/>
      <c r="P899" s="1"/>
      <c r="Q899" s="1"/>
      <c r="R899" s="1"/>
      <c r="S899" s="1"/>
      <c r="T899" s="1"/>
      <c r="U899" s="1" t="str">
        <f ca="1">IFERROR(__xludf.DUMMYFUNCTION("""COMPUTED_VALUE"""),"स्वास्थ्य संवर्धन")</f>
        <v>स्वास्थ्य संवर्धन</v>
      </c>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f ca="1">IFERROR(__xludf.DUMMYFUNCTION("""COMPUTED_VALUE"""),39)</f>
        <v>39</v>
      </c>
      <c r="BX899" s="1">
        <f ca="1">IFERROR(__xludf.DUMMYFUNCTION("""COMPUTED_VALUE"""),32)</f>
        <v>32</v>
      </c>
      <c r="BY899" s="1">
        <f ca="1">IFERROR(__xludf.DUMMYFUNCTION("""COMPUTED_VALUE"""),11)</f>
        <v>11</v>
      </c>
      <c r="BZ899" s="1">
        <f ca="1">IFERROR(__xludf.DUMMYFUNCTION("""COMPUTED_VALUE"""),23)</f>
        <v>23</v>
      </c>
      <c r="CA899" s="1" t="str">
        <f ca="1">IFERROR(__xludf.DUMMYFUNCTION("""COMPUTED_VALUE"""),"Yes")</f>
        <v>Yes</v>
      </c>
      <c r="CB899" s="5">
        <f ca="1">IFERROR(__xludf.DUMMYFUNCTION("""COMPUTED_VALUE"""),45123.7059019097)</f>
        <v>45123.7059019097</v>
      </c>
      <c r="CC899" s="1" t="str">
        <f ca="1">IFERROR(__xludf.DUMMYFUNCTION("""COMPUTED_VALUE"""),"प्रायश्चित एक समग्र मन:चिकित्सा : Rare Book")</f>
        <v>प्रायश्चित एक समग्र मन:चिकित्सा : Rare Book</v>
      </c>
      <c r="CD899" s="3" t="str">
        <f ca="1">IFERROR(__xludf.DUMMYFUNCTION("""COMPUTED_VALUE"""),"https://vicharkrantibooks.org/productdetail?book_name=HINP0685_PRAYASHCHIT_EK_SAMAGR_MANASHCHIKITSA_xxyyyy&amp;product_id=1250")</f>
        <v>https://vicharkrantibooks.org/productdetail?book_name=HINP0685_PRAYASHCHIT_EK_SAMAGR_MANASHCHIKITSA_xxyyyy&amp;product_id=1250</v>
      </c>
      <c r="CE899" s="1" t="str">
        <f ca="1">IFERROR(__xludf.DUMMYFUNCTION("""COMPUTED_VALUE"""),"Audiobook : प्रायश्चित एक समग्र मन:चिकित्सा : Rare Book : spmittalmumbai@gmail.com : Recorded")</f>
        <v>Audiobook : प्रायश्चित एक समग्र मन:चिकित्सा : Rare Book : spmittalmumbai@gmail.com : Recorded</v>
      </c>
      <c r="CF899" s="1" t="str">
        <f ca="1">IFERROR(__xludf.DUMMYFUNCTION("""COMPUTED_VALUE"""),"#N/A")</f>
        <v>#N/A</v>
      </c>
      <c r="CG899" s="1" t="str">
        <f ca="1">IFERROR(__xludf.DUMMYFUNCTION("""COMPUTED_VALUE"""),"Adarniya SPMittal ji प्रायश्चित एक समग्र मन:चिकित्सा : Rare Book : Allocated on 06-Jul-23 Contact Number  7045537099")</f>
        <v>Adarniya SPMittal ji प्रायश्चित एक समग्र मन:चिकित्सा : Rare Book : Allocated on 06-Jul-23 Contact Number  7045537099</v>
      </c>
      <c r="CH899" s="1"/>
      <c r="CI899" s="1"/>
    </row>
    <row r="900" spans="1:87" x14ac:dyDescent="0.25">
      <c r="A900" s="5">
        <f ca="1">IFERROR(__xludf.DUMMYFUNCTION("""COMPUTED_VALUE"""),45113.6063520254)</f>
        <v>45113.606352025403</v>
      </c>
      <c r="B900" s="1" t="str">
        <f ca="1">IFERROR(__xludf.DUMMYFUNCTION("""COMPUTED_VALUE"""),"rbbansalriya@gmail.com")</f>
        <v>rbbansalriya@gmail.com</v>
      </c>
      <c r="C900" s="1" t="str">
        <f ca="1">IFERROR(__xludf.DUMMYFUNCTION("""COMPUTED_VALUE"""),"Riya bansal ")</f>
        <v xml:space="preserve">Riya bansal </v>
      </c>
      <c r="D900" s="1">
        <f ca="1">IFERROR(__xludf.DUMMYFUNCTION("""COMPUTED_VALUE"""),9176361023)</f>
        <v>9176361023</v>
      </c>
      <c r="E900" s="1" t="str">
        <f ca="1">IFERROR(__xludf.DUMMYFUNCTION("""COMPUTED_VALUE"""),"Yes")</f>
        <v>Yes</v>
      </c>
      <c r="F900" s="1" t="str">
        <f ca="1">IFERROR(__xludf.DUMMYFUNCTION("""COMPUTED_VALUE"""),"हिन्दी")</f>
        <v>हिन्दी</v>
      </c>
      <c r="G900" s="1" t="str">
        <f ca="1">IFERROR(__xludf.DUMMYFUNCTION("""COMPUTED_VALUE"""),"समाज निर्माण")</f>
        <v>समाज निर्माण</v>
      </c>
      <c r="H900" s="1"/>
      <c r="I900" s="1"/>
      <c r="J900" s="1"/>
      <c r="K900" s="1"/>
      <c r="L900" s="1"/>
      <c r="M900" s="1"/>
      <c r="N900" s="1"/>
      <c r="O900" s="1"/>
      <c r="P900" s="1"/>
      <c r="Q900" s="1"/>
      <c r="R900" s="1"/>
      <c r="S900" s="1"/>
      <c r="T900" s="1"/>
      <c r="U900" s="1"/>
      <c r="V900" s="1" t="str">
        <f ca="1">IFERROR(__xludf.DUMMYFUNCTION("""COMPUTED_VALUE"""),"आदर्श विवाहों का प्रचलन")</f>
        <v>आदर्श विवाहों का प्रचलन</v>
      </c>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f ca="1">IFERROR(__xludf.DUMMYFUNCTION("""COMPUTED_VALUE"""),54)</f>
        <v>54</v>
      </c>
      <c r="BX900" s="1">
        <f ca="1">IFERROR(__xludf.DUMMYFUNCTION("""COMPUTED_VALUE"""),55)</f>
        <v>55</v>
      </c>
      <c r="BY900" s="1">
        <f ca="1">IFERROR(__xludf.DUMMYFUNCTION("""COMPUTED_VALUE"""),9)</f>
        <v>9</v>
      </c>
      <c r="BZ900" s="1">
        <f ca="1">IFERROR(__xludf.DUMMYFUNCTION("""COMPUTED_VALUE"""),43)</f>
        <v>43</v>
      </c>
      <c r="CA900" s="1" t="str">
        <f ca="1">IFERROR(__xludf.DUMMYFUNCTION("""COMPUTED_VALUE"""),"Yes")</f>
        <v>Yes</v>
      </c>
      <c r="CB900" s="5">
        <f ca="1">IFERROR(__xludf.DUMMYFUNCTION("""COMPUTED_VALUE"""),45123.6063520254)</f>
        <v>45123.606352025403</v>
      </c>
      <c r="CC900" s="1" t="str">
        <f ca="1">IFERROR(__xludf.DUMMYFUNCTION("""COMPUTED_VALUE"""),"अवांछनीयताओं के आगे सिर न झुकाएँ : Rare Book")</f>
        <v>अवांछनीयताओं के आगे सिर न झुकाएँ : Rare Book</v>
      </c>
      <c r="CD900" s="3" t="str">
        <f ca="1">IFERROR(__xludf.DUMMYFUNCTION("""COMPUTED_VALUE"""),"https://vicharkrantibooks.org/productdetail?book_name=HINP0114_AVANCHHANIYATAON_KE_AGE_SIR_NA_JHUKAEN_xxyyyy&amp;product_id=679")</f>
        <v>https://vicharkrantibooks.org/productdetail?book_name=HINP0114_AVANCHHANIYATAON_KE_AGE_SIR_NA_JHUKAEN_xxyyyy&amp;product_id=679</v>
      </c>
      <c r="CE900" s="1" t="str">
        <f ca="1">IFERROR(__xludf.DUMMYFUNCTION("""COMPUTED_VALUE"""),"Audiobook : अवांछनीयताओं के आगे सिर न झुकाएँ : Rare Book : rbbansalriya@gmail.com : Recorded")</f>
        <v>Audiobook : अवांछनीयताओं के आगे सिर न झुकाएँ : Rare Book : rbbansalriya@gmail.com : Recorded</v>
      </c>
      <c r="CF900" s="1" t="str">
        <f ca="1">IFERROR(__xludf.DUMMYFUNCTION("""COMPUTED_VALUE"""),"Audiobook : अवांछनीयताओं के आगे सिर न झुकाएँ : Rare Book : rbbansalriya@gmail.com : Recorded")</f>
        <v>Audiobook : अवांछनीयताओं के आगे सिर न झुकाएँ : Rare Book : rbbansalriya@gmail.com : Recorded</v>
      </c>
      <c r="CG900" s="1" t="str">
        <f ca="1">IFERROR(__xludf.DUMMYFUNCTION("""COMPUTED_VALUE"""),"Adarniya Riya bansal  ji अवांछनीयताओं के आगे सिर न झुकाएँ : Rare Book : Allocated on 06-Jul-23 Contact Number  9176361023")</f>
        <v>Adarniya Riya bansal  ji अवांछनीयताओं के आगे सिर न झुकाएँ : Rare Book : Allocated on 06-Jul-23 Contact Number  9176361023</v>
      </c>
      <c r="CH900" s="1"/>
      <c r="CI900" s="1"/>
    </row>
    <row r="901" spans="1:87" x14ac:dyDescent="0.25">
      <c r="A901" s="5">
        <f ca="1">IFERROR(__xludf.DUMMYFUNCTION("""COMPUTED_VALUE"""),45112.7540899421)</f>
        <v>45112.7540899421</v>
      </c>
      <c r="B901" s="1" t="str">
        <f ca="1">IFERROR(__xludf.DUMMYFUNCTION("""COMPUTED_VALUE"""),"rajnivarma24.vns@gmail.com")</f>
        <v>rajnivarma24.vns@gmail.com</v>
      </c>
      <c r="C901" s="1" t="str">
        <f ca="1">IFERROR(__xludf.DUMMYFUNCTION("""COMPUTED_VALUE"""),"Rajni varma")</f>
        <v>Rajni varma</v>
      </c>
      <c r="D901" s="1">
        <f ca="1">IFERROR(__xludf.DUMMYFUNCTION("""COMPUTED_VALUE"""),9335661433)</f>
        <v>9335661433</v>
      </c>
      <c r="E901" s="1" t="str">
        <f ca="1">IFERROR(__xludf.DUMMYFUNCTION("""COMPUTED_VALUE"""),"No")</f>
        <v>No</v>
      </c>
      <c r="F901" s="1" t="str">
        <f ca="1">IFERROR(__xludf.DUMMYFUNCTION("""COMPUTED_VALUE"""),"हिन्दी")</f>
        <v>हिन्दी</v>
      </c>
      <c r="G901" s="1" t="str">
        <f ca="1">IFERROR(__xludf.DUMMYFUNCTION("""COMPUTED_VALUE"""),"युग परिवर्तन-विचार क्रांति")</f>
        <v>युग परिवर्तन-विचार क्रांति</v>
      </c>
      <c r="H901" s="1"/>
      <c r="I901" s="1"/>
      <c r="J901" s="1"/>
      <c r="K901" s="1"/>
      <c r="L901" s="1"/>
      <c r="M901" s="1"/>
      <c r="N901" s="1"/>
      <c r="O901" s="1"/>
      <c r="P901" s="1"/>
      <c r="Q901" s="1" t="str">
        <f ca="1">IFERROR(__xludf.DUMMYFUNCTION("""COMPUTED_VALUE"""),"युग निर्माण योजना एवं युग परिवर्तन")</f>
        <v>युग निर्माण योजना एवं युग परिवर्तन</v>
      </c>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f ca="1">IFERROR(__xludf.DUMMYFUNCTION("""COMPUTED_VALUE"""),30)</f>
        <v>30</v>
      </c>
      <c r="BX901" s="1">
        <f ca="1">IFERROR(__xludf.DUMMYFUNCTION("""COMPUTED_VALUE"""),25)</f>
        <v>25</v>
      </c>
      <c r="BY901" s="1">
        <f ca="1">IFERROR(__xludf.DUMMYFUNCTION("""COMPUTED_VALUE"""),7)</f>
        <v>7</v>
      </c>
      <c r="BZ901" s="1">
        <f ca="1">IFERROR(__xludf.DUMMYFUNCTION("""COMPUTED_VALUE"""),7)</f>
        <v>7</v>
      </c>
      <c r="CA901" s="1" t="str">
        <f ca="1">IFERROR(__xludf.DUMMYFUNCTION("""COMPUTED_VALUE"""),"Yes")</f>
        <v>Yes</v>
      </c>
      <c r="CB901" s="5">
        <f ca="1">IFERROR(__xludf.DUMMYFUNCTION("""COMPUTED_VALUE"""),45122.7540899421)</f>
        <v>45122.7540899421</v>
      </c>
      <c r="CC901" s="1" t="str">
        <f ca="1">IFERROR(__xludf.DUMMYFUNCTION("""COMPUTED_VALUE"""),"पुस्तकालय सच्चे देवालय : H_SS_33")</f>
        <v>पुस्तकालय सच्चे देवालय : H_SS_33</v>
      </c>
      <c r="CD901" s="3" t="str">
        <f ca="1">IFERROR(__xludf.DUMMYFUNCTION("""COMPUTED_VALUE"""),"https://vicharkrantibooks.org/productdetail?book_name=HINP0694_PUSTAKALAY_SACHCHE_DEVALAY_xxyyyy&amp;product_id=1259")</f>
        <v>https://vicharkrantibooks.org/productdetail?book_name=HINP0694_PUSTAKALAY_SACHCHE_DEVALAY_xxyyyy&amp;product_id=1259</v>
      </c>
      <c r="CE901" s="1" t="str">
        <f ca="1">IFERROR(__xludf.DUMMYFUNCTION("""COMPUTED_VALUE"""),"Audiobook : पुस्तकालय सच्चे देवालय : H_SS_33 : rajnivarma24.vns@gmail.com : Recorded")</f>
        <v>Audiobook : पुस्तकालय सच्चे देवालय : H_SS_33 : rajnivarma24.vns@gmail.com : Recorded</v>
      </c>
      <c r="CF901" s="1" t="str">
        <f ca="1">IFERROR(__xludf.DUMMYFUNCTION("""COMPUTED_VALUE"""),"Audiobook : पुस्तकालय सच्चे देवालय : H_SS_33 : rajnivarma24.vns@gmail.com : Recorded")</f>
        <v>Audiobook : पुस्तकालय सच्चे देवालय : H_SS_33 : rajnivarma24.vns@gmail.com : Recorded</v>
      </c>
      <c r="CG901" s="1" t="str">
        <f ca="1">IFERROR(__xludf.DUMMYFUNCTION("""COMPUTED_VALUE"""),"Adarniya Rajni varma ji पुस्तकालय सच्चे देवालय : H_SS_33 : Allocated on 05-Jul-23 Contact Number  9335661433")</f>
        <v>Adarniya Rajni varma ji पुस्तकालय सच्चे देवालय : H_SS_33 : Allocated on 05-Jul-23 Contact Number  9335661433</v>
      </c>
      <c r="CH901" s="1"/>
      <c r="CI901" s="1"/>
    </row>
    <row r="902" spans="1:87" x14ac:dyDescent="0.25">
      <c r="A902" s="5">
        <f ca="1">IFERROR(__xludf.DUMMYFUNCTION("""COMPUTED_VALUE"""),45112.7367552314)</f>
        <v>45112.736755231403</v>
      </c>
      <c r="B902" s="1" t="str">
        <f ca="1">IFERROR(__xludf.DUMMYFUNCTION("""COMPUTED_VALUE"""),"amrita_dube@yahoo.com")</f>
        <v>amrita_dube@yahoo.com</v>
      </c>
      <c r="C902" s="1" t="str">
        <f ca="1">IFERROR(__xludf.DUMMYFUNCTION("""COMPUTED_VALUE"""),"Amrita")</f>
        <v>Amrita</v>
      </c>
      <c r="D902" s="1"/>
      <c r="E902" s="1" t="str">
        <f ca="1">IFERROR(__xludf.DUMMYFUNCTION("""COMPUTED_VALUE"""),"No")</f>
        <v>No</v>
      </c>
      <c r="F902" s="1" t="str">
        <f ca="1">IFERROR(__xludf.DUMMYFUNCTION("""COMPUTED_VALUE"""),"English")</f>
        <v>English</v>
      </c>
      <c r="G902" s="1" t="str">
        <f ca="1">IFERROR(__xludf.DUMMYFUNCTION("""COMPUTED_VALUE"""),"व्यक्ति निर्माण, युवा/विद्यार्थी एवं शिक्षक")</f>
        <v>व्यक्ति निर्माण, युवा/विद्यार्थी एवं शिक्षक</v>
      </c>
      <c r="H902" s="1"/>
      <c r="I902" s="1"/>
      <c r="J902" s="1"/>
      <c r="K902" s="1"/>
      <c r="L902" s="1"/>
      <c r="M902" s="1"/>
      <c r="N902" s="1"/>
      <c r="O902" s="1"/>
      <c r="P902" s="1"/>
      <c r="Q902" s="1"/>
      <c r="R902" s="1"/>
      <c r="S902" s="1"/>
      <c r="T902" s="1" t="str">
        <f ca="1">IFERROR(__xludf.DUMMYFUNCTION("""COMPUTED_VALUE"""),"व्यक्तित्व परिष्कार")</f>
        <v>व्यक्तित्व परिष्कार</v>
      </c>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f ca="1">IFERROR(__xludf.DUMMYFUNCTION("""COMPUTED_VALUE"""),17)</f>
        <v>17</v>
      </c>
      <c r="BX902" s="1">
        <f ca="1">IFERROR(__xludf.DUMMYFUNCTION("""COMPUTED_VALUE"""),14)</f>
        <v>14</v>
      </c>
      <c r="BY902" s="1">
        <f ca="1">IFERROR(__xludf.DUMMYFUNCTION("""COMPUTED_VALUE"""),6)</f>
        <v>6</v>
      </c>
      <c r="BZ902" s="1">
        <f ca="1">IFERROR(__xludf.DUMMYFUNCTION("""COMPUTED_VALUE"""),5)</f>
        <v>5</v>
      </c>
      <c r="CA902" s="1" t="str">
        <f ca="1">IFERROR(__xludf.DUMMYFUNCTION("""COMPUTED_VALUE"""),"Yes")</f>
        <v>Yes</v>
      </c>
      <c r="CB902" s="5">
        <f ca="1">IFERROR(__xludf.DUMMYFUNCTION("""COMPUTED_VALUE"""),45122.7367552314)</f>
        <v>45122.736755231403</v>
      </c>
      <c r="CC902" s="1" t="str">
        <f ca="1">IFERROR(__xludf.DUMMYFUNCTION("""COMPUTED_VALUE"""),"Applied Science Of Yagya For Health And Environment : EP_92")</f>
        <v>Applied Science Of Yagya For Health And Environment : EP_92</v>
      </c>
      <c r="CD902" s="3" t="str">
        <f ca="1">IFERROR(__xludf.DUMMYFUNCTION("""COMPUTED_VALUE"""),"https://vicharkrantibooks.org/productdetail?book_name=ENGRE092_APPLIED_SCIENCE_OF_YAGYA_FOR_HEALTH_AND_ENVIRONMENT_RE2011&amp;product_id=3484")</f>
        <v>https://vicharkrantibooks.org/productdetail?book_name=ENGRE092_APPLIED_SCIENCE_OF_YAGYA_FOR_HEALTH_AND_ENVIRONMENT_RE2011&amp;product_id=3484</v>
      </c>
      <c r="CE902" s="1" t="str">
        <f ca="1">IFERROR(__xludf.DUMMYFUNCTION("""COMPUTED_VALUE"""),"Audiobook : Applied Science Of Yagya For Health And Environment : EP_92 : amrita_dube@yahoo.com : Recorded")</f>
        <v>Audiobook : Applied Science Of Yagya For Health And Environment : EP_92 : amrita_dube@yahoo.com : Recorded</v>
      </c>
      <c r="CF902" s="1" t="str">
        <f ca="1">IFERROR(__xludf.DUMMYFUNCTION("""COMPUTED_VALUE"""),"Audiobook : Applied Science Of Yagya For Health And Environment : EP_92 : amrita_dube@yahoo.com : Recorded")</f>
        <v>Audiobook : Applied Science Of Yagya For Health And Environment : EP_92 : amrita_dube@yahoo.com : Recorded</v>
      </c>
      <c r="CG902" s="1" t="str">
        <f ca="1">IFERROR(__xludf.DUMMYFUNCTION("""COMPUTED_VALUE"""),"Adarniya Amrita ji Applied Science Of Yagya For Health And Environment : EP_92 : Allocated on 05-Jul-23 Contact Number  ")</f>
        <v xml:space="preserve">Adarniya Amrita ji Applied Science Of Yagya For Health And Environment : EP_92 : Allocated on 05-Jul-23 Contact Number  </v>
      </c>
      <c r="CH902" s="1"/>
      <c r="CI902" s="1"/>
    </row>
    <row r="903" spans="1:87" x14ac:dyDescent="0.25">
      <c r="A903" s="5">
        <f ca="1">IFERROR(__xludf.DUMMYFUNCTION("""COMPUTED_VALUE"""),45111.7432591666)</f>
        <v>45111.7432591666</v>
      </c>
      <c r="B903" s="1" t="str">
        <f ca="1">IFERROR(__xludf.DUMMYFUNCTION("""COMPUTED_VALUE"""),"csprasad108@gmail.com")</f>
        <v>csprasad108@gmail.com</v>
      </c>
      <c r="C903" s="1" t="str">
        <f ca="1">IFERROR(__xludf.DUMMYFUNCTION("""COMPUTED_VALUE"""),"Kumkum prasad")</f>
        <v>Kumkum prasad</v>
      </c>
      <c r="D903" s="1">
        <f ca="1">IFERROR(__xludf.DUMMYFUNCTION("""COMPUTED_VALUE"""),7978055621)</f>
        <v>7978055621</v>
      </c>
      <c r="E903" s="1" t="str">
        <f ca="1">IFERROR(__xludf.DUMMYFUNCTION("""COMPUTED_VALUE"""),"Yes")</f>
        <v>Yes</v>
      </c>
      <c r="F903" s="1" t="str">
        <f ca="1">IFERROR(__xludf.DUMMYFUNCTION("""COMPUTED_VALUE"""),"हिन्दी")</f>
        <v>हिन्दी</v>
      </c>
      <c r="G903" s="1" t="str">
        <f ca="1">IFERROR(__xludf.DUMMYFUNCTION("""COMPUTED_VALUE"""),"संस्कार, कर्मकाण्ड, पाठ, पूजा, गीत-संगीत")</f>
        <v>संस्कार, कर्मकाण्ड, पाठ, पूजा, गीत-संगीत</v>
      </c>
      <c r="H903" s="1"/>
      <c r="I903" s="1"/>
      <c r="J903" s="1"/>
      <c r="K903" s="1"/>
      <c r="L903" s="1"/>
      <c r="M903" s="1"/>
      <c r="N903" s="1"/>
      <c r="O903" s="1"/>
      <c r="P903" s="1"/>
      <c r="Q903" s="1"/>
      <c r="R903" s="1"/>
      <c r="S903" s="1"/>
      <c r="T903" s="1"/>
      <c r="U903" s="1"/>
      <c r="V903" s="1"/>
      <c r="W903" s="1" t="str">
        <f ca="1">IFERROR(__xludf.DUMMYFUNCTION("""COMPUTED_VALUE"""),"पाठ, पूजा, चालीसा, प्रार्थना,")</f>
        <v>पाठ, पूजा, चालीसा, प्रार्थना,</v>
      </c>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t="str">
        <f ca="1">IFERROR(__xludf.DUMMYFUNCTION("""COMPUTED_VALUE"""),"गायत्री चालीसा")</f>
        <v>गायत्री चालीसा</v>
      </c>
      <c r="BI903" s="1"/>
      <c r="BJ903" s="1"/>
      <c r="BK903" s="1"/>
      <c r="BL903" s="1"/>
      <c r="BM903" s="1"/>
      <c r="BN903" s="1"/>
      <c r="BO903" s="1"/>
      <c r="BP903" s="1"/>
      <c r="BQ903" s="1"/>
      <c r="BR903" s="1"/>
      <c r="BS903" s="1"/>
      <c r="BT903" s="1"/>
      <c r="BU903" s="1"/>
      <c r="BV903" s="1"/>
      <c r="BW903" s="1">
        <f ca="1">IFERROR(__xludf.DUMMYFUNCTION("""COMPUTED_VALUE"""),52)</f>
        <v>52</v>
      </c>
      <c r="BX903" s="1">
        <f ca="1">IFERROR(__xludf.DUMMYFUNCTION("""COMPUTED_VALUE"""),54)</f>
        <v>54</v>
      </c>
      <c r="BY903" s="1">
        <f ca="1">IFERROR(__xludf.DUMMYFUNCTION("""COMPUTED_VALUE"""),3)</f>
        <v>3</v>
      </c>
      <c r="BZ903" s="1">
        <f ca="1">IFERROR(__xludf.DUMMYFUNCTION("""COMPUTED_VALUE"""),24)</f>
        <v>24</v>
      </c>
      <c r="CA903" s="1" t="str">
        <f ca="1">IFERROR(__xludf.DUMMYFUNCTION("""COMPUTED_VALUE"""),"Yes")</f>
        <v>Yes</v>
      </c>
      <c r="CB903" s="5">
        <f ca="1">IFERROR(__xludf.DUMMYFUNCTION("""COMPUTED_VALUE"""),45121.7432591666)</f>
        <v>45121.7432591666</v>
      </c>
      <c r="CC903" s="1" t="str">
        <f ca="1">IFERROR(__xludf.DUMMYFUNCTION("""COMPUTED_VALUE"""),"अपने ब्राह्मण एवं संत को जिंदा रखें : H_JS_03")</f>
        <v>अपने ब्राह्मण एवं संत को जिंदा रखें : H_JS_03</v>
      </c>
      <c r="CD903" s="3" t="str">
        <f ca="1">IFERROR(__xludf.DUMMYFUNCTION("""COMPUTED_VALUE"""),"https://vicharkrantibooks.org/productdetail?book_name=HINP0063_APANE_BHRAHAMAN_EVAM_SANT_KO_JINDA_RAKHEN_xx2011&amp;product_id=628")</f>
        <v>https://vicharkrantibooks.org/productdetail?book_name=HINP0063_APANE_BHRAHAMAN_EVAM_SANT_KO_JINDA_RAKHEN_xx2011&amp;product_id=628</v>
      </c>
      <c r="CE903" s="1" t="str">
        <f ca="1">IFERROR(__xludf.DUMMYFUNCTION("""COMPUTED_VALUE"""),"Audiobook : अपने ब्राह्मण एवं संत को जिंदा रखें : H_JS_03 : csprasad108@gmail.com : Recorded")</f>
        <v>Audiobook : अपने ब्राह्मण एवं संत को जिंदा रखें : H_JS_03 : csprasad108@gmail.com : Recorded</v>
      </c>
      <c r="CF903" s="1" t="str">
        <f ca="1">IFERROR(__xludf.DUMMYFUNCTION("""COMPUTED_VALUE"""),"Audiobook : अपने ब्राह्मण एवं संत को जिंदा रखें : H_JS_03 : csprasad108@gmail.com : Recorded")</f>
        <v>Audiobook : अपने ब्राह्मण एवं संत को जिंदा रखें : H_JS_03 : csprasad108@gmail.com : Recorded</v>
      </c>
      <c r="CG903" s="1" t="str">
        <f ca="1">IFERROR(__xludf.DUMMYFUNCTION("""COMPUTED_VALUE"""),"Adarniya Kumkum prasad ji अपने ब्राह्मण एवं संत को जिंदा रखें : H_JS_03 : Allocated on 04-Jul-23 Contact Number  7978055621")</f>
        <v>Adarniya Kumkum prasad ji अपने ब्राह्मण एवं संत को जिंदा रखें : H_JS_03 : Allocated on 04-Jul-23 Contact Number  7978055621</v>
      </c>
      <c r="CH903" s="1"/>
      <c r="CI903" s="1"/>
    </row>
    <row r="904" spans="1:87" x14ac:dyDescent="0.25">
      <c r="A904" s="5">
        <f ca="1">IFERROR(__xludf.DUMMYFUNCTION("""COMPUTED_VALUE"""),45111.3210384027)</f>
        <v>45111.321038402697</v>
      </c>
      <c r="B904" s="1" t="str">
        <f ca="1">IFERROR(__xludf.DUMMYFUNCTION("""COMPUTED_VALUE"""),"shubhra1306@gmail.com")</f>
        <v>shubhra1306@gmail.com</v>
      </c>
      <c r="C904" s="1" t="str">
        <f ca="1">IFERROR(__xludf.DUMMYFUNCTION("""COMPUTED_VALUE"""),"Mrs Shubhra Amitabh saraf")</f>
        <v>Mrs Shubhra Amitabh saraf</v>
      </c>
      <c r="D904" s="1">
        <f ca="1">IFERROR(__xludf.DUMMYFUNCTION("""COMPUTED_VALUE"""),8217496018)</f>
        <v>8217496018</v>
      </c>
      <c r="E904" s="1" t="str">
        <f ca="1">IFERROR(__xludf.DUMMYFUNCTION("""COMPUTED_VALUE"""),"No")</f>
        <v>No</v>
      </c>
      <c r="F904" s="1" t="str">
        <f ca="1">IFERROR(__xludf.DUMMYFUNCTION("""COMPUTED_VALUE"""),"हिन्दी")</f>
        <v>हिन्दी</v>
      </c>
      <c r="G904" s="1" t="str">
        <f ca="1">IFERROR(__xludf.DUMMYFUNCTION("""COMPUTED_VALUE"""),"समग्र स्वास्थ्य")</f>
        <v>समग्र स्वास्थ्य</v>
      </c>
      <c r="H904" s="1"/>
      <c r="I904" s="1"/>
      <c r="J904" s="1"/>
      <c r="K904" s="1"/>
      <c r="L904" s="1"/>
      <c r="M904" s="1"/>
      <c r="N904" s="1"/>
      <c r="O904" s="1"/>
      <c r="P904" s="1"/>
      <c r="Q904" s="1"/>
      <c r="R904" s="1"/>
      <c r="S904" s="1"/>
      <c r="T904" s="1"/>
      <c r="U904" s="1" t="str">
        <f ca="1">IFERROR(__xludf.DUMMYFUNCTION("""COMPUTED_VALUE"""),"आहार-विहार एवं उपवास")</f>
        <v>आहार-विहार एवं उपवास</v>
      </c>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f ca="1">IFERROR(__xludf.DUMMYFUNCTION("""COMPUTED_VALUE"""),2)</f>
        <v>2</v>
      </c>
      <c r="BX904" s="1">
        <f ca="1">IFERROR(__xludf.DUMMYFUNCTION("""COMPUTED_VALUE"""),1)</f>
        <v>1</v>
      </c>
      <c r="BY904" s="1">
        <f ca="1">IFERROR(__xludf.DUMMYFUNCTION("""COMPUTED_VALUE"""),1)</f>
        <v>1</v>
      </c>
      <c r="BZ904" s="1">
        <f ca="1">IFERROR(__xludf.DUMMYFUNCTION("""COMPUTED_VALUE"""),1)</f>
        <v>1</v>
      </c>
      <c r="CA904" s="1" t="str">
        <f ca="1">IFERROR(__xludf.DUMMYFUNCTION("""COMPUTED_VALUE"""),"Yes")</f>
        <v>Yes</v>
      </c>
      <c r="CB904" s="5">
        <f ca="1">IFERROR(__xludf.DUMMYFUNCTION("""COMPUTED_VALUE"""),45121.3210384027)</f>
        <v>45121.321038402697</v>
      </c>
      <c r="CC904" s="1" t="str">
        <f ca="1">IFERROR(__xludf.DUMMYFUNCTION("""COMPUTED_VALUE"""),"मानसिक संतुलन बनाए रखें : H_PP_24")</f>
        <v>मानसिक संतुलन बनाए रखें : H_PP_24</v>
      </c>
      <c r="CD904" s="3" t="str">
        <f ca="1">IFERROR(__xludf.DUMMYFUNCTION("""COMPUTED_VALUE"""),"https://vicharkrantibooks.org/productdetail?book_name=HINP0495_MANASIK_SANTULAN_BANAE_RAKHE_xxyyyy&amp;product_id=1060")</f>
        <v>https://vicharkrantibooks.org/productdetail?book_name=HINP0495_MANASIK_SANTULAN_BANAE_RAKHE_xxyyyy&amp;product_id=1060</v>
      </c>
      <c r="CE904" s="1" t="str">
        <f ca="1">IFERROR(__xludf.DUMMYFUNCTION("""COMPUTED_VALUE"""),"Audiobook : मानसिक संतुलन बनाए रखें : H_PP_24 : shubhra1306@gmail.com : Recorded")</f>
        <v>Audiobook : मानसिक संतुलन बनाए रखें : H_PP_24 : shubhra1306@gmail.com : Recorded</v>
      </c>
      <c r="CF904" s="1" t="str">
        <f ca="1">IFERROR(__xludf.DUMMYFUNCTION("""COMPUTED_VALUE"""),"Audiobook : मानसिक संतुलन बनाए रखें : H_PP_24 : shubhra1306@gmail.com : Recorded")</f>
        <v>Audiobook : मानसिक संतुलन बनाए रखें : H_PP_24 : shubhra1306@gmail.com : Recorded</v>
      </c>
      <c r="CG904" s="1" t="str">
        <f ca="1">IFERROR(__xludf.DUMMYFUNCTION("""COMPUTED_VALUE"""),"Adarniya Mrs Shubhra Amitabh saraf ji मानसिक संतुलन बनाए रखें : H_PP_24 : Allocated on 04-Jul-23 Contact Number  8217496018")</f>
        <v>Adarniya Mrs Shubhra Amitabh saraf ji मानसिक संतुलन बनाए रखें : H_PP_24 : Allocated on 04-Jul-23 Contact Number  8217496018</v>
      </c>
      <c r="CH904" s="1"/>
      <c r="CI904" s="1"/>
    </row>
    <row r="905" spans="1:87" x14ac:dyDescent="0.25">
      <c r="A905" s="5">
        <f ca="1">IFERROR(__xludf.DUMMYFUNCTION("""COMPUTED_VALUE"""),45105.8565840046)</f>
        <v>45105.856584004599</v>
      </c>
      <c r="B905" s="1" t="str">
        <f ca="1">IFERROR(__xludf.DUMMYFUNCTION("""COMPUTED_VALUE"""),"amrita_dube@yahoo.com")</f>
        <v>amrita_dube@yahoo.com</v>
      </c>
      <c r="C905" s="1" t="str">
        <f ca="1">IFERROR(__xludf.DUMMYFUNCTION("""COMPUTED_VALUE"""),"Amrita")</f>
        <v>Amrita</v>
      </c>
      <c r="D905" s="1"/>
      <c r="E905" s="1" t="str">
        <f ca="1">IFERROR(__xludf.DUMMYFUNCTION("""COMPUTED_VALUE"""),"No")</f>
        <v>No</v>
      </c>
      <c r="F905" s="1" t="str">
        <f ca="1">IFERROR(__xludf.DUMMYFUNCTION("""COMPUTED_VALUE"""),"English")</f>
        <v>English</v>
      </c>
      <c r="G905" s="1" t="str">
        <f ca="1">IFERROR(__xludf.DUMMYFUNCTION("""COMPUTED_VALUE"""),"व्यक्ति निर्माण, युवा/विद्यार्थी एवं शिक्षक")</f>
        <v>व्यक्ति निर्माण, युवा/विद्यार्थी एवं शिक्षक</v>
      </c>
      <c r="H905" s="1"/>
      <c r="I905" s="1"/>
      <c r="J905" s="1"/>
      <c r="K905" s="1"/>
      <c r="L905" s="1"/>
      <c r="M905" s="1"/>
      <c r="N905" s="1"/>
      <c r="O905" s="1"/>
      <c r="P905" s="1"/>
      <c r="Q905" s="1"/>
      <c r="R905" s="1"/>
      <c r="S905" s="1"/>
      <c r="T905" s="1" t="str">
        <f ca="1">IFERROR(__xludf.DUMMYFUNCTION("""COMPUTED_VALUE"""),"व्यक्तित्व परिष्कार")</f>
        <v>व्यक्तित्व परिष्कार</v>
      </c>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f ca="1">IFERROR(__xludf.DUMMYFUNCTION("""COMPUTED_VALUE"""),17)</f>
        <v>17</v>
      </c>
      <c r="BX905" s="1">
        <f ca="1">IFERROR(__xludf.DUMMYFUNCTION("""COMPUTED_VALUE"""),14)</f>
        <v>14</v>
      </c>
      <c r="BY905" s="1">
        <f ca="1">IFERROR(__xludf.DUMMYFUNCTION("""COMPUTED_VALUE"""),6)</f>
        <v>6</v>
      </c>
      <c r="BZ905" s="1">
        <f ca="1">IFERROR(__xludf.DUMMYFUNCTION("""COMPUTED_VALUE"""),5)</f>
        <v>5</v>
      </c>
      <c r="CA905" s="1" t="str">
        <f ca="1">IFERROR(__xludf.DUMMYFUNCTION("""COMPUTED_VALUE"""),"Yes")</f>
        <v>Yes</v>
      </c>
      <c r="CB905" s="5">
        <f ca="1">IFERROR(__xludf.DUMMYFUNCTION("""COMPUTED_VALUE"""),45115.8565840046)</f>
        <v>45115.856584004599</v>
      </c>
      <c r="CC905" s="1" t="str">
        <f ca="1">IFERROR(__xludf.DUMMYFUNCTION("""COMPUTED_VALUE"""),"The Great Moments Of Change : EP_28")</f>
        <v>The Great Moments Of Change : EP_28</v>
      </c>
      <c r="CD905" s="3" t="str">
        <f ca="1">IFERROR(__xludf.DUMMYFUNCTION("""COMPUTED_VALUE"""),"http://literature.awgp.org/book/The_Great_Momentsof_Change/v2")</f>
        <v>http://literature.awgp.org/book/The_Great_Momentsof_Change/v2</v>
      </c>
      <c r="CE905" s="1" t="str">
        <f ca="1">IFERROR(__xludf.DUMMYFUNCTION("""COMPUTED_VALUE"""),"Audiobook : The Great Moments Of Change : EP_28 : amrita_dube@yahoo.com : Recorded")</f>
        <v>Audiobook : The Great Moments Of Change : EP_28 : amrita_dube@yahoo.com : Recorded</v>
      </c>
      <c r="CF905" s="1" t="str">
        <f ca="1">IFERROR(__xludf.DUMMYFUNCTION("""COMPUTED_VALUE"""),"Audiobook : The Great Moments Of Change : EP_28 : amrita_dube@yahoo.com : Recorded")</f>
        <v>Audiobook : The Great Moments Of Change : EP_28 : amrita_dube@yahoo.com : Recorded</v>
      </c>
      <c r="CG905" s="1" t="str">
        <f ca="1">IFERROR(__xludf.DUMMYFUNCTION("""COMPUTED_VALUE"""),"Adarniya Amrita ji The Great Moments Of Change : EP_28 : Allocated on 28-Jun-23 Contact Number  ")</f>
        <v xml:space="preserve">Adarniya Amrita ji The Great Moments Of Change : EP_28 : Allocated on 28-Jun-23 Contact Number  </v>
      </c>
      <c r="CH905" s="1"/>
      <c r="CI905" s="1"/>
    </row>
    <row r="906" spans="1:87" x14ac:dyDescent="0.25">
      <c r="A906" s="5">
        <f ca="1">IFERROR(__xludf.DUMMYFUNCTION("""COMPUTED_VALUE"""),45104.954917662)</f>
        <v>45104.954917661998</v>
      </c>
      <c r="B906" s="1" t="str">
        <f ca="1">IFERROR(__xludf.DUMMYFUNCTION("""COMPUTED_VALUE"""),"csprasad108@gmail.com")</f>
        <v>csprasad108@gmail.com</v>
      </c>
      <c r="C906" s="1" t="str">
        <f ca="1">IFERROR(__xludf.DUMMYFUNCTION("""COMPUTED_VALUE"""),"Kumkum prasad")</f>
        <v>Kumkum prasad</v>
      </c>
      <c r="D906" s="1">
        <f ca="1">IFERROR(__xludf.DUMMYFUNCTION("""COMPUTED_VALUE"""),7978055621)</f>
        <v>7978055621</v>
      </c>
      <c r="E906" s="1"/>
      <c r="F906" s="1" t="str">
        <f ca="1">IFERROR(__xludf.DUMMYFUNCTION("""COMPUTED_VALUE"""),"हिन्दी")</f>
        <v>हिन्दी</v>
      </c>
      <c r="G906" s="1" t="str">
        <f ca="1">IFERROR(__xludf.DUMMYFUNCTION("""COMPUTED_VALUE"""),"संस्कार, कर्मकाण्ड, पाठ, पूजा, गीत-संगीत")</f>
        <v>संस्कार, कर्मकाण्ड, पाठ, पूजा, गीत-संगीत</v>
      </c>
      <c r="H906" s="1"/>
      <c r="I906" s="1"/>
      <c r="J906" s="1"/>
      <c r="K906" s="1"/>
      <c r="L906" s="1"/>
      <c r="M906" s="1"/>
      <c r="N906" s="1"/>
      <c r="O906" s="1"/>
      <c r="P906" s="1"/>
      <c r="Q906" s="1"/>
      <c r="R906" s="1"/>
      <c r="S906" s="1"/>
      <c r="T906" s="1"/>
      <c r="U906" s="1"/>
      <c r="V906" s="1"/>
      <c r="W906" s="1" t="str">
        <f ca="1">IFERROR(__xludf.DUMMYFUNCTION("""COMPUTED_VALUE"""),"पाठ, पूजा, चालीसा, प्रार्थना,")</f>
        <v>पाठ, पूजा, चालीसा, प्रार्थना,</v>
      </c>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f ca="1">IFERROR(__xludf.DUMMYFUNCTION("""COMPUTED_VALUE"""),52)</f>
        <v>52</v>
      </c>
      <c r="BX906" s="1">
        <f ca="1">IFERROR(__xludf.DUMMYFUNCTION("""COMPUTED_VALUE"""),54)</f>
        <v>54</v>
      </c>
      <c r="BY906" s="1">
        <f ca="1">IFERROR(__xludf.DUMMYFUNCTION("""COMPUTED_VALUE"""),3)</f>
        <v>3</v>
      </c>
      <c r="BZ906" s="1">
        <f ca="1">IFERROR(__xludf.DUMMYFUNCTION("""COMPUTED_VALUE"""),24)</f>
        <v>24</v>
      </c>
      <c r="CA906" s="1" t="str">
        <f ca="1">IFERROR(__xludf.DUMMYFUNCTION("""COMPUTED_VALUE"""),"Yes")</f>
        <v>Yes</v>
      </c>
      <c r="CB906" s="5">
        <f ca="1">IFERROR(__xludf.DUMMYFUNCTION("""COMPUTED_VALUE"""),45114.954917662)</f>
        <v>45114.954917661998</v>
      </c>
      <c r="CC906" s="1" t="str">
        <f ca="1">IFERROR(__xludf.DUMMYFUNCTION("""COMPUTED_VALUE"""),"अवांछनीयता के विरुद्ध संघर्ष जारी रहे : Rare Book")</f>
        <v>अवांछनीयता के विरुद्ध संघर्ष जारी रहे : Rare Book</v>
      </c>
      <c r="CD906" s="3" t="str">
        <f ca="1">IFERROR(__xludf.DUMMYFUNCTION("""COMPUTED_VALUE"""),"https://vicharkrantibooks.org/productdetail?book_name=HINP0113_AVANCHHANIYATA_KE_VIRUDDH_SANGHARSH_JARI_RAHEN_xx1981&amp;product_id=678")</f>
        <v>https://vicharkrantibooks.org/productdetail?book_name=HINP0113_AVANCHHANIYATA_KE_VIRUDDH_SANGHARSH_JARI_RAHEN_xx1981&amp;product_id=678</v>
      </c>
      <c r="CE906" s="1" t="str">
        <f ca="1">IFERROR(__xludf.DUMMYFUNCTION("""COMPUTED_VALUE"""),"Audiobook : अवांछनीयता के विरुद्ध संघर्ष जारी रहे : Rare Book : csprasad108@gmail.com : Recorded")</f>
        <v>Audiobook : अवांछनीयता के विरुद्ध संघर्ष जारी रहे : Rare Book : csprasad108@gmail.com : Recorded</v>
      </c>
      <c r="CF906" s="1" t="str">
        <f ca="1">IFERROR(__xludf.DUMMYFUNCTION("""COMPUTED_VALUE"""),"Audiobook : अवांछनीयता के विरुद्ध संघर्ष जारी रहे : Rare Book : csprasad108@gmail.com : Recorded")</f>
        <v>Audiobook : अवांछनीयता के विरुद्ध संघर्ष जारी रहे : Rare Book : csprasad108@gmail.com : Recorded</v>
      </c>
      <c r="CG906" s="1" t="str">
        <f ca="1">IFERROR(__xludf.DUMMYFUNCTION("""COMPUTED_VALUE"""),"Adarniya Kumkum prasad ji अवांछनीयता के विरुद्ध संघर्ष जारी रहे : Rare Book : Allocated on 27-Jun-23 Contact Number  7978055621")</f>
        <v>Adarniya Kumkum prasad ji अवांछनीयता के विरुद्ध संघर्ष जारी रहे : Rare Book : Allocated on 27-Jun-23 Contact Number  7978055621</v>
      </c>
      <c r="CH906" s="1"/>
      <c r="CI906" s="1"/>
    </row>
    <row r="907" spans="1:87" x14ac:dyDescent="0.25">
      <c r="A907" s="5">
        <f ca="1">IFERROR(__xludf.DUMMYFUNCTION("""COMPUTED_VALUE"""),45104.7278164004)</f>
        <v>45104.727816400402</v>
      </c>
      <c r="B907" s="1" t="str">
        <f ca="1">IFERROR(__xludf.DUMMYFUNCTION("""COMPUTED_VALUE"""),"jamunashukla17@gmail.com")</f>
        <v>jamunashukla17@gmail.com</v>
      </c>
      <c r="C907" s="1" t="str">
        <f ca="1">IFERROR(__xludf.DUMMYFUNCTION("""COMPUTED_VALUE"""),"smt J S Shukla ")</f>
        <v xml:space="preserve">smt J S Shukla </v>
      </c>
      <c r="D907" s="1">
        <f ca="1">IFERROR(__xludf.DUMMYFUNCTION("""COMPUTED_VALUE"""),8390353167)</f>
        <v>8390353167</v>
      </c>
      <c r="E907" s="1" t="str">
        <f ca="1">IFERROR(__xludf.DUMMYFUNCTION("""COMPUTED_VALUE"""),"Yes")</f>
        <v>Yes</v>
      </c>
      <c r="F907" s="1" t="str">
        <f ca="1">IFERROR(__xludf.DUMMYFUNCTION("""COMPUTED_VALUE"""),"हिन्दी")</f>
        <v>हिन्दी</v>
      </c>
      <c r="G907" s="1" t="str">
        <f ca="1">IFERROR(__xludf.DUMMYFUNCTION("""COMPUTED_VALUE"""),"युग द्रष्टा पं. श्रीराम शर्मा आचार्यजी")</f>
        <v>युग द्रष्टा पं. श्रीराम शर्मा आचार्यजी</v>
      </c>
      <c r="H907" s="1"/>
      <c r="I907" s="1"/>
      <c r="J907" s="1"/>
      <c r="K907" s="1"/>
      <c r="L907" s="1"/>
      <c r="M907" s="1"/>
      <c r="N907" s="1"/>
      <c r="O907" s="1"/>
      <c r="P907" s="1" t="str">
        <f ca="1">IFERROR(__xludf.DUMMYFUNCTION("""COMPUTED_VALUE"""),"युगॠषी की अमृतवाणी")</f>
        <v>युगॠषी की अमृतवाणी</v>
      </c>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f ca="1">IFERROR(__xludf.DUMMYFUNCTION("""COMPUTED_VALUE"""),53)</f>
        <v>53</v>
      </c>
      <c r="BX907" s="1">
        <f ca="1">IFERROR(__xludf.DUMMYFUNCTION("""COMPUTED_VALUE"""),53)</f>
        <v>53</v>
      </c>
      <c r="BY907" s="1">
        <f ca="1">IFERROR(__xludf.DUMMYFUNCTION("""COMPUTED_VALUE"""),9)</f>
        <v>9</v>
      </c>
      <c r="BZ907" s="1">
        <f ca="1">IFERROR(__xludf.DUMMYFUNCTION("""COMPUTED_VALUE"""),25)</f>
        <v>25</v>
      </c>
      <c r="CA907" s="1" t="str">
        <f ca="1">IFERROR(__xludf.DUMMYFUNCTION("""COMPUTED_VALUE"""),"Yes")</f>
        <v>Yes</v>
      </c>
      <c r="CB907" s="5">
        <f ca="1">IFERROR(__xludf.DUMMYFUNCTION("""COMPUTED_VALUE"""),45114.7278164004)</f>
        <v>45114.727816400402</v>
      </c>
      <c r="CC907" s="1" t="str">
        <f ca="1">IFERROR(__xludf.DUMMYFUNCTION("""COMPUTED_VALUE"""),"बुढ़ापा मिटाया नहीं जा सकता, घटाया जा सकता है : H_SC_06")</f>
        <v>बुढ़ापा मिटाया नहीं जा सकता, घटाया जा सकता है : H_SC_06</v>
      </c>
      <c r="CD907" s="3" t="str">
        <f ca="1">IFERROR(__xludf.DUMMYFUNCTION("""COMPUTED_VALUE"""),"https://vicharkrantibooks.org/productdetail?book_name=HINP0183_BUDHAPA_MITAYA_NAHIN_JA_SAKATA_GHATAYA_JA_SAKATA_HAI_xxyyyy&amp;product_id=748")</f>
        <v>https://vicharkrantibooks.org/productdetail?book_name=HINP0183_BUDHAPA_MITAYA_NAHIN_JA_SAKATA_GHATAYA_JA_SAKATA_HAI_xxyyyy&amp;product_id=748</v>
      </c>
      <c r="CE907" s="1" t="str">
        <f ca="1">IFERROR(__xludf.DUMMYFUNCTION("""COMPUTED_VALUE"""),"Audiobook : बुढ़ापा मिटाया नहीं जा सकता, घटाया जा सकता है : H_SC_06 : jamunashukla17@gmail.com : Recorded")</f>
        <v>Audiobook : बुढ़ापा मिटाया नहीं जा सकता, घटाया जा सकता है : H_SC_06 : jamunashukla17@gmail.com : Recorded</v>
      </c>
      <c r="CF907" s="1" t="str">
        <f ca="1">IFERROR(__xludf.DUMMYFUNCTION("""COMPUTED_VALUE"""),"Audiobook : बुढ़ापा मिटाया नहीं जा सकता, घटाया जा सकता है : H_SC_06 : jamunashukla17@gmail.com : Recorded")</f>
        <v>Audiobook : बुढ़ापा मिटाया नहीं जा सकता, घटाया जा सकता है : H_SC_06 : jamunashukla17@gmail.com : Recorded</v>
      </c>
      <c r="CG907" s="1" t="str">
        <f ca="1">IFERROR(__xludf.DUMMYFUNCTION("""COMPUTED_VALUE"""),"Adarniya smt J S Shukla  ji बुढ़ापा मिटाया नहीं जा सकता, घटाया जा सकता है : H_SC_06 : Allocated on 27-Jun-23 Contact Number  8390353167")</f>
        <v>Adarniya smt J S Shukla  ji बुढ़ापा मिटाया नहीं जा सकता, घटाया जा सकता है : H_SC_06 : Allocated on 27-Jun-23 Contact Number  8390353167</v>
      </c>
      <c r="CH907" s="1"/>
      <c r="CI907" s="1"/>
    </row>
    <row r="908" spans="1:87" x14ac:dyDescent="0.25">
      <c r="A908" s="5">
        <f ca="1">IFERROR(__xludf.DUMMYFUNCTION("""COMPUTED_VALUE"""),45103.5444879745)</f>
        <v>45103.544487974497</v>
      </c>
      <c r="B908" s="1" t="str">
        <f ca="1">IFERROR(__xludf.DUMMYFUNCTION("""COMPUTED_VALUE"""),"druma4107@gmail.com")</f>
        <v>druma4107@gmail.com</v>
      </c>
      <c r="C908" s="1" t="str">
        <f ca="1">IFERROR(__xludf.DUMMYFUNCTION("""COMPUTED_VALUE"""),"Dr Uma Agrawal")</f>
        <v>Dr Uma Agrawal</v>
      </c>
      <c r="D908" s="1">
        <f ca="1">IFERROR(__xludf.DUMMYFUNCTION("""COMPUTED_VALUE"""),9410861182)</f>
        <v>9410861182</v>
      </c>
      <c r="E908" s="1" t="str">
        <f ca="1">IFERROR(__xludf.DUMMYFUNCTION("""COMPUTED_VALUE"""),"Yes")</f>
        <v>Yes</v>
      </c>
      <c r="F908" s="1" t="str">
        <f ca="1">IFERROR(__xludf.DUMMYFUNCTION("""COMPUTED_VALUE"""),"हिन्दी")</f>
        <v>हिन्दी</v>
      </c>
      <c r="G908" s="1" t="str">
        <f ca="1">IFERROR(__xludf.DUMMYFUNCTION("""COMPUTED_VALUE"""),"समग्र स्वास्थ्य")</f>
        <v>समग्र स्वास्थ्य</v>
      </c>
      <c r="H908" s="1"/>
      <c r="I908" s="1"/>
      <c r="J908" s="1"/>
      <c r="K908" s="1"/>
      <c r="L908" s="1"/>
      <c r="M908" s="1"/>
      <c r="N908" s="1"/>
      <c r="O908" s="1"/>
      <c r="P908" s="1"/>
      <c r="Q908" s="1"/>
      <c r="R908" s="1"/>
      <c r="S908" s="1"/>
      <c r="T908" s="1"/>
      <c r="U908" s="1" t="str">
        <f ca="1">IFERROR(__xludf.DUMMYFUNCTION("""COMPUTED_VALUE"""),"स्वास्थ्य संवर्धन")</f>
        <v>स्वास्थ्य संवर्धन</v>
      </c>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f ca="1">IFERROR(__xludf.DUMMYFUNCTION("""COMPUTED_VALUE"""),104)</f>
        <v>104</v>
      </c>
      <c r="BX908" s="1">
        <f ca="1">IFERROR(__xludf.DUMMYFUNCTION("""COMPUTED_VALUE"""),106)</f>
        <v>106</v>
      </c>
      <c r="BY908" s="1">
        <f ca="1">IFERROR(__xludf.DUMMYFUNCTION("""COMPUTED_VALUE"""),9)</f>
        <v>9</v>
      </c>
      <c r="BZ908" s="1">
        <f ca="1">IFERROR(__xludf.DUMMYFUNCTION("""COMPUTED_VALUE"""),43)</f>
        <v>43</v>
      </c>
      <c r="CA908" s="1" t="str">
        <f ca="1">IFERROR(__xludf.DUMMYFUNCTION("""COMPUTED_VALUE"""),"Yes")</f>
        <v>Yes</v>
      </c>
      <c r="CB908" s="5">
        <f ca="1">IFERROR(__xludf.DUMMYFUNCTION("""COMPUTED_VALUE"""),45113.5444879745)</f>
        <v>45113.544487974497</v>
      </c>
      <c r="CC908" s="1" t="str">
        <f ca="1">IFERROR(__xludf.DUMMYFUNCTION("""COMPUTED_VALUE"""),"अध्यात्मवादी मन: शास्त्र की उपयोगिता समझी जाय : Rare Book")</f>
        <v>अध्यात्मवादी मन: शास्त्र की उपयोगिता समझी जाय : Rare Book</v>
      </c>
      <c r="CD908" s="3" t="str">
        <f ca="1">IFERROR(__xludf.DUMMYFUNCTION("""COMPUTED_VALUE"""),"https://vicharkrantibooks.org/productdetail?book_name=HINP0029_ADHYATMVADI_MANAH_SHASTR_KI_UPAYOGITA_SAMAJHI_JAE_xx1982&amp;product_id=594")</f>
        <v>https://vicharkrantibooks.org/productdetail?book_name=HINP0029_ADHYATMVADI_MANAH_SHASTR_KI_UPAYOGITA_SAMAJHI_JAE_xx1982&amp;product_id=594</v>
      </c>
      <c r="CE908" s="1" t="str">
        <f ca="1">IFERROR(__xludf.DUMMYFUNCTION("""COMPUTED_VALUE"""),"Audiobook : अध्यात्मवादी मन: शास्त्र की उपयोगिता समझी जाय : Rare Book : druma4107@gmail.com : Recorded")</f>
        <v>Audiobook : अध्यात्मवादी मन: शास्त्र की उपयोगिता समझी जाय : Rare Book : druma4107@gmail.com : Recorded</v>
      </c>
      <c r="CF908" s="1" t="str">
        <f ca="1">IFERROR(__xludf.DUMMYFUNCTION("""COMPUTED_VALUE"""),"Audiobook : अध्यात्मवादी मन: शास्त्र की उपयोगिता समझी जाय : Rare Book : druma4107@gmail.com : Recorded")</f>
        <v>Audiobook : अध्यात्मवादी मन: शास्त्र की उपयोगिता समझी जाय : Rare Book : druma4107@gmail.com : Recorded</v>
      </c>
      <c r="CG908" s="1" t="str">
        <f ca="1">IFERROR(__xludf.DUMMYFUNCTION("""COMPUTED_VALUE"""),"Adarniya Dr Uma Agrawal ji अध्यात्मवादी मन: शास्त्र की उपयोगिता समझी जाय : Rare Book : Allocated on 26-Jun-23 Contact Number  9410861182")</f>
        <v>Adarniya Dr Uma Agrawal ji अध्यात्मवादी मन: शास्त्र की उपयोगिता समझी जाय : Rare Book : Allocated on 26-Jun-23 Contact Number  9410861182</v>
      </c>
      <c r="CH908" s="1"/>
      <c r="CI908" s="1"/>
    </row>
    <row r="909" spans="1:87" x14ac:dyDescent="0.25">
      <c r="A909" s="5">
        <f ca="1">IFERROR(__xludf.DUMMYFUNCTION("""COMPUTED_VALUE"""),45102.9515411111)</f>
        <v>45102.951541111099</v>
      </c>
      <c r="B909" s="1" t="str">
        <f ca="1">IFERROR(__xludf.DUMMYFUNCTION("""COMPUTED_VALUE"""),"csprasad108@gmail.com")</f>
        <v>csprasad108@gmail.com</v>
      </c>
      <c r="C909" s="1" t="str">
        <f ca="1">IFERROR(__xludf.DUMMYFUNCTION("""COMPUTED_VALUE"""),"Kumkum pradad")</f>
        <v>Kumkum pradad</v>
      </c>
      <c r="D909" s="1">
        <f ca="1">IFERROR(__xludf.DUMMYFUNCTION("""COMPUTED_VALUE"""),7978055621)</f>
        <v>7978055621</v>
      </c>
      <c r="E909" s="1"/>
      <c r="F909" s="1" t="str">
        <f ca="1">IFERROR(__xludf.DUMMYFUNCTION("""COMPUTED_VALUE"""),"हिन्दी")</f>
        <v>हिन्दी</v>
      </c>
      <c r="G909" s="1" t="str">
        <f ca="1">IFERROR(__xludf.DUMMYFUNCTION("""COMPUTED_VALUE"""),"युग द्रष्टा पं. श्रीराम शर्मा आचार्यजी")</f>
        <v>युग द्रष्टा पं. श्रीराम शर्मा आचार्यजी</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f ca="1">IFERROR(__xludf.DUMMYFUNCTION("""COMPUTED_VALUE"""),52)</f>
        <v>52</v>
      </c>
      <c r="BX909" s="1">
        <f ca="1">IFERROR(__xludf.DUMMYFUNCTION("""COMPUTED_VALUE"""),54)</f>
        <v>54</v>
      </c>
      <c r="BY909" s="1">
        <f ca="1">IFERROR(__xludf.DUMMYFUNCTION("""COMPUTED_VALUE"""),3)</f>
        <v>3</v>
      </c>
      <c r="BZ909" s="1">
        <f ca="1">IFERROR(__xludf.DUMMYFUNCTION("""COMPUTED_VALUE"""),24)</f>
        <v>24</v>
      </c>
      <c r="CA909" s="1" t="str">
        <f ca="1">IFERROR(__xludf.DUMMYFUNCTION("""COMPUTED_VALUE"""),"Yes")</f>
        <v>Yes</v>
      </c>
      <c r="CB909" s="5">
        <f ca="1">IFERROR(__xludf.DUMMYFUNCTION("""COMPUTED_VALUE"""),45112.9515411111)</f>
        <v>45112.951541111099</v>
      </c>
      <c r="CC909" s="1" t="str">
        <f ca="1">IFERROR(__xludf.DUMMYFUNCTION("""COMPUTED_VALUE"""),"युग ऋषि की अमर वाणी भाग २ : Rare Book")</f>
        <v>युग ऋषि की अमर वाणी भाग २ : Rare Book</v>
      </c>
      <c r="CD909" s="3" t="str">
        <f ca="1">IFERROR(__xludf.DUMMYFUNCTION("""COMPUTED_VALUE"""),"https://vicharkrantibooks.org/productdetail?book_name=HINP1060_YUG_RUSHI_KI_AMAR_VANI_BHAG_2_xxyyyy&amp;product_id=1625")</f>
        <v>https://vicharkrantibooks.org/productdetail?book_name=HINP1060_YUG_RUSHI_KI_AMAR_VANI_BHAG_2_xxyyyy&amp;product_id=1625</v>
      </c>
      <c r="CE909" s="1" t="str">
        <f ca="1">IFERROR(__xludf.DUMMYFUNCTION("""COMPUTED_VALUE"""),"Audiobook : युग ऋषि की अमर वाणी भाग २ : Rare Book : csprasad108@gmail.com : Recorded")</f>
        <v>Audiobook : युग ऋषि की अमर वाणी भाग २ : Rare Book : csprasad108@gmail.com : Recorded</v>
      </c>
      <c r="CF909" s="1" t="str">
        <f ca="1">IFERROR(__xludf.DUMMYFUNCTION("""COMPUTED_VALUE"""),"Audiobook : युग ऋषि की अमर वाणी भाग २ : Rare Book : csprasad108@gmail.com : Recorded")</f>
        <v>Audiobook : युग ऋषि की अमर वाणी भाग २ : Rare Book : csprasad108@gmail.com : Recorded</v>
      </c>
      <c r="CG909" s="1" t="str">
        <f ca="1">IFERROR(__xludf.DUMMYFUNCTION("""COMPUTED_VALUE"""),"Adarniya Kumkum pradad ji युग ऋषि की अमर वाणी भाग २ : Rare Book : Allocated on 25-Jun-23 Contact Number  7978055621")</f>
        <v>Adarniya Kumkum pradad ji युग ऋषि की अमर वाणी भाग २ : Rare Book : Allocated on 25-Jun-23 Contact Number  7978055621</v>
      </c>
      <c r="CH909" s="1"/>
      <c r="CI909" s="1"/>
    </row>
    <row r="910" spans="1:87" x14ac:dyDescent="0.25">
      <c r="A910" s="5">
        <f ca="1">IFERROR(__xludf.DUMMYFUNCTION("""COMPUTED_VALUE"""),45102.8115304976)</f>
        <v>45102.811530497602</v>
      </c>
      <c r="B910" s="1" t="str">
        <f ca="1">IFERROR(__xludf.DUMMYFUNCTION("""COMPUTED_VALUE"""),"jvanshika36@gmail.com")</f>
        <v>jvanshika36@gmail.com</v>
      </c>
      <c r="C910" s="1" t="str">
        <f ca="1">IFERROR(__xludf.DUMMYFUNCTION("""COMPUTED_VALUE"""),"Vanshika")</f>
        <v>Vanshika</v>
      </c>
      <c r="D910" s="1">
        <f ca="1">IFERROR(__xludf.DUMMYFUNCTION("""COMPUTED_VALUE"""),9873444794)</f>
        <v>9873444794</v>
      </c>
      <c r="E910" s="1" t="str">
        <f ca="1">IFERROR(__xludf.DUMMYFUNCTION("""COMPUTED_VALUE"""),"No")</f>
        <v>No</v>
      </c>
      <c r="F910" s="1" t="str">
        <f ca="1">IFERROR(__xludf.DUMMYFUNCTION("""COMPUTED_VALUE"""),"English")</f>
        <v>English</v>
      </c>
      <c r="G910" s="1" t="str">
        <f ca="1">IFERROR(__xludf.DUMMYFUNCTION("""COMPUTED_VALUE"""),"English")</f>
        <v>English</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f ca="1">IFERROR(__xludf.DUMMYFUNCTION("""COMPUTED_VALUE"""),1)</f>
        <v>1</v>
      </c>
      <c r="BX910" s="1">
        <f ca="1">IFERROR(__xludf.DUMMYFUNCTION("""COMPUTED_VALUE"""),0)</f>
        <v>0</v>
      </c>
      <c r="BY910" s="1">
        <f ca="1">IFERROR(__xludf.DUMMYFUNCTION("""COMPUTED_VALUE"""),1)</f>
        <v>1</v>
      </c>
      <c r="BZ910" s="1">
        <f ca="1">IFERROR(__xludf.DUMMYFUNCTION("""COMPUTED_VALUE"""),0)</f>
        <v>0</v>
      </c>
      <c r="CA910" s="1" t="str">
        <f ca="1">IFERROR(__xludf.DUMMYFUNCTION("""COMPUTED_VALUE"""),"Yes")</f>
        <v>Yes</v>
      </c>
      <c r="CB910" s="5">
        <f ca="1">IFERROR(__xludf.DUMMYFUNCTION("""COMPUTED_VALUE"""),45112.8115304976)</f>
        <v>45112.811530497602</v>
      </c>
      <c r="CC910" s="1" t="str">
        <f ca="1">IFERROR(__xludf.DUMMYFUNCTION("""COMPUTED_VALUE"""),"A Manual Of Hindu Marriage : EP_03")</f>
        <v>A Manual Of Hindu Marriage : EP_03</v>
      </c>
      <c r="CD910" s="3" t="str">
        <f ca="1">IFERROR(__xludf.DUMMYFUNCTION("""COMPUTED_VALUE"""),"http://literature.awgp.org/book/a_manual_of_hindu_marriage/v1")</f>
        <v>http://literature.awgp.org/book/a_manual_of_hindu_marriage/v1</v>
      </c>
      <c r="CE910" s="1" t="str">
        <f ca="1">IFERROR(__xludf.DUMMYFUNCTION("""COMPUTED_VALUE"""),"Audiobook : A Manual Of Hindu Marriage : EP_03 : jvanshika36@gmail.com : Recorded")</f>
        <v>Audiobook : A Manual Of Hindu Marriage : EP_03 : jvanshika36@gmail.com : Recorded</v>
      </c>
      <c r="CF910" s="1" t="str">
        <f ca="1">IFERROR(__xludf.DUMMYFUNCTION("""COMPUTED_VALUE"""),"#N/A")</f>
        <v>#N/A</v>
      </c>
      <c r="CG910" s="1" t="str">
        <f ca="1">IFERROR(__xludf.DUMMYFUNCTION("""COMPUTED_VALUE"""),"Adarniya Vanshika ji A Manual Of Hindu Marriage : EP_03 : Allocated on 25-Jun-23 Contact Number  9873444794")</f>
        <v>Adarniya Vanshika ji A Manual Of Hindu Marriage : EP_03 : Allocated on 25-Jun-23 Contact Number  9873444794</v>
      </c>
      <c r="CH910" s="1"/>
      <c r="CI910" s="1"/>
    </row>
    <row r="911" spans="1:87" x14ac:dyDescent="0.25">
      <c r="A911" s="5">
        <f ca="1">IFERROR(__xludf.DUMMYFUNCTION("""COMPUTED_VALUE"""),45102.7314732291)</f>
        <v>45102.731473229098</v>
      </c>
      <c r="B911" s="1" t="str">
        <f ca="1">IFERROR(__xludf.DUMMYFUNCTION("""COMPUTED_VALUE"""),"keyukapadia@gmail.com")</f>
        <v>keyukapadia@gmail.com</v>
      </c>
      <c r="C911" s="1" t="str">
        <f ca="1">IFERROR(__xludf.DUMMYFUNCTION("""COMPUTED_VALUE"""),"Keyuri Bhagat ")</f>
        <v xml:space="preserve">Keyuri Bhagat </v>
      </c>
      <c r="D911" s="1">
        <f ca="1">IFERROR(__xludf.DUMMYFUNCTION("""COMPUTED_VALUE"""),9665212432)</f>
        <v>9665212432</v>
      </c>
      <c r="E911" s="1" t="str">
        <f ca="1">IFERROR(__xludf.DUMMYFUNCTION("""COMPUTED_VALUE"""),"No")</f>
        <v>No</v>
      </c>
      <c r="F911" s="1" t="str">
        <f ca="1">IFERROR(__xludf.DUMMYFUNCTION("""COMPUTED_VALUE"""),"English")</f>
        <v>English</v>
      </c>
      <c r="G911" s="1" t="str">
        <f ca="1">IFERROR(__xludf.DUMMYFUNCTION("""COMPUTED_VALUE"""),"English")</f>
        <v>English</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f ca="1">IFERROR(__xludf.DUMMYFUNCTION("""COMPUTED_VALUE"""),2)</f>
        <v>2</v>
      </c>
      <c r="BX911" s="1">
        <f ca="1">IFERROR(__xludf.DUMMYFUNCTION("""COMPUTED_VALUE"""),1)</f>
        <v>1</v>
      </c>
      <c r="BY911" s="1">
        <f ca="1">IFERROR(__xludf.DUMMYFUNCTION("""COMPUTED_VALUE"""),1)</f>
        <v>1</v>
      </c>
      <c r="BZ911" s="1">
        <f ca="1">IFERROR(__xludf.DUMMYFUNCTION("""COMPUTED_VALUE"""),0)</f>
        <v>0</v>
      </c>
      <c r="CA911" s="1" t="str">
        <f ca="1">IFERROR(__xludf.DUMMYFUNCTION("""COMPUTED_VALUE"""),"Yes")</f>
        <v>Yes</v>
      </c>
      <c r="CB911" s="5">
        <f ca="1">IFERROR(__xludf.DUMMYFUNCTION("""COMPUTED_VALUE"""),45112.7314732291)</f>
        <v>45112.731473229098</v>
      </c>
      <c r="CC911" s="1" t="str">
        <f ca="1">IFERROR(__xludf.DUMMYFUNCTION("""COMPUTED_VALUE"""),"A Glimpse Of The Golden Future : EP_71")</f>
        <v>A Glimpse Of The Golden Future : EP_71</v>
      </c>
      <c r="CD911" s="3" t="str">
        <f ca="1">IFERROR(__xludf.DUMMYFUNCTION("""COMPUTED_VALUE"""),"http://literature.awgp.org/book/glimpse_of_golden_future/v2")</f>
        <v>http://literature.awgp.org/book/glimpse_of_golden_future/v2</v>
      </c>
      <c r="CE911" s="1" t="str">
        <f ca="1">IFERROR(__xludf.DUMMYFUNCTION("""COMPUTED_VALUE"""),"Audiobook : A Glimpse Of The Golden Future : EP_71 : keyukapadia@gmail.com : Recorded")</f>
        <v>Audiobook : A Glimpse Of The Golden Future : EP_71 : keyukapadia@gmail.com : Recorded</v>
      </c>
      <c r="CF911" s="1" t="str">
        <f ca="1">IFERROR(__xludf.DUMMYFUNCTION("""COMPUTED_VALUE"""),"#N/A")</f>
        <v>#N/A</v>
      </c>
      <c r="CG911" s="1" t="str">
        <f ca="1">IFERROR(__xludf.DUMMYFUNCTION("""COMPUTED_VALUE"""),"Adarniya Keyuri Bhagat  ji A Glimpse Of The Golden Future : EP_71 : Allocated on 25-Jun-23 Contact Number  9665212432")</f>
        <v>Adarniya Keyuri Bhagat  ji A Glimpse Of The Golden Future : EP_71 : Allocated on 25-Jun-23 Contact Number  9665212432</v>
      </c>
      <c r="CH911" s="1"/>
      <c r="CI911" s="1"/>
    </row>
    <row r="912" spans="1:87" x14ac:dyDescent="0.25">
      <c r="A912" s="5">
        <f ca="1">IFERROR(__xludf.DUMMYFUNCTION("""COMPUTED_VALUE"""),45102.4168147685)</f>
        <v>45102.416814768498</v>
      </c>
      <c r="B912" s="1" t="str">
        <f ca="1">IFERROR(__xludf.DUMMYFUNCTION("""COMPUTED_VALUE"""),"nsparmar_15_04@yahoo.com")</f>
        <v>nsparmar_15_04@yahoo.com</v>
      </c>
      <c r="C912" s="1" t="str">
        <f ca="1">IFERROR(__xludf.DUMMYFUNCTION("""COMPUTED_VALUE"""),"Neeta Parmar")</f>
        <v>Neeta Parmar</v>
      </c>
      <c r="D912" s="1" t="str">
        <f ca="1">IFERROR(__xludf.DUMMYFUNCTION("""COMPUTED_VALUE"""),"1-416-558-4338")</f>
        <v>1-416-558-4338</v>
      </c>
      <c r="E912" s="1" t="str">
        <f ca="1">IFERROR(__xludf.DUMMYFUNCTION("""COMPUTED_VALUE"""),"Yes")</f>
        <v>Yes</v>
      </c>
      <c r="F912" s="1" t="str">
        <f ca="1">IFERROR(__xludf.DUMMYFUNCTION("""COMPUTED_VALUE"""),"हिन्दी")</f>
        <v>हिन्दी</v>
      </c>
      <c r="G912" s="1" t="str">
        <f ca="1">IFERROR(__xludf.DUMMYFUNCTION("""COMPUTED_VALUE"""),"समग्र स्वास्थ्य")</f>
        <v>समग्र स्वास्थ्य</v>
      </c>
      <c r="H912" s="1"/>
      <c r="I912" s="1"/>
      <c r="J912" s="1"/>
      <c r="K912" s="1"/>
      <c r="L912" s="1"/>
      <c r="M912" s="1"/>
      <c r="N912" s="1"/>
      <c r="O912" s="1"/>
      <c r="P912" s="1"/>
      <c r="Q912" s="1"/>
      <c r="R912" s="1"/>
      <c r="S912" s="1"/>
      <c r="T912" s="1"/>
      <c r="U912" s="1" t="str">
        <f ca="1">IFERROR(__xludf.DUMMYFUNCTION("""COMPUTED_VALUE"""),"स्वास्थ्य संवर्धन")</f>
        <v>स्वास्थ्य संवर्धन</v>
      </c>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f ca="1">IFERROR(__xludf.DUMMYFUNCTION("""COMPUTED_VALUE"""),3)</f>
        <v>3</v>
      </c>
      <c r="BX912" s="1">
        <f ca="1">IFERROR(__xludf.DUMMYFUNCTION("""COMPUTED_VALUE"""),2)</f>
        <v>2</v>
      </c>
      <c r="BY912" s="1">
        <f ca="1">IFERROR(__xludf.DUMMYFUNCTION("""COMPUTED_VALUE"""),1)</f>
        <v>1</v>
      </c>
      <c r="BZ912" s="1">
        <f ca="1">IFERROR(__xludf.DUMMYFUNCTION("""COMPUTED_VALUE"""),1)</f>
        <v>1</v>
      </c>
      <c r="CA912" s="1" t="str">
        <f ca="1">IFERROR(__xludf.DUMMYFUNCTION("""COMPUTED_VALUE"""),"Yes")</f>
        <v>Yes</v>
      </c>
      <c r="CB912" s="5">
        <f ca="1">IFERROR(__xludf.DUMMYFUNCTION("""COMPUTED_VALUE"""),45112.4168147685)</f>
        <v>45112.416814768498</v>
      </c>
      <c r="CC912" s="1" t="str">
        <f ca="1">IFERROR(__xludf.DUMMYFUNCTION("""COMPUTED_VALUE"""),"प्राण शक्ति से स्वास्थ्य संवर्धन : Rare Book")</f>
        <v>प्राण शक्ति से स्वास्थ्य संवर्धन : Rare Book</v>
      </c>
      <c r="CD912" s="3" t="str">
        <f ca="1">IFERROR(__xludf.DUMMYFUNCTION("""COMPUTED_VALUE"""),"https://vicharkrantibooks.org/productdetail?book_name=HINP0665_PRAN_SHAKTI_SE_SWASTHY_SANVARDHAN_xxyyyy&amp;product_id=1230")</f>
        <v>https://vicharkrantibooks.org/productdetail?book_name=HINP0665_PRAN_SHAKTI_SE_SWASTHY_SANVARDHAN_xxyyyy&amp;product_id=1230</v>
      </c>
      <c r="CE912" s="1" t="str">
        <f ca="1">IFERROR(__xludf.DUMMYFUNCTION("""COMPUTED_VALUE"""),"Audiobook : प्राण शक्ति से स्वास्थ्य संवर्धन : Rare Book : nsparmar_15_04@yahoo.com : Recorded")</f>
        <v>Audiobook : प्राण शक्ति से स्वास्थ्य संवर्धन : Rare Book : nsparmar_15_04@yahoo.com : Recorded</v>
      </c>
      <c r="CF912" s="1" t="str">
        <f ca="1">IFERROR(__xludf.DUMMYFUNCTION("""COMPUTED_VALUE"""),"Audiobook : प्राण शक्ति से स्वास्थ्य संवर्धन : Rare Book : nsparmar_15_04@yahoo.com : Recorded")</f>
        <v>Audiobook : प्राण शक्ति से स्वास्थ्य संवर्धन : Rare Book : nsparmar_15_04@yahoo.com : Recorded</v>
      </c>
      <c r="CG912" s="1" t="str">
        <f ca="1">IFERROR(__xludf.DUMMYFUNCTION("""COMPUTED_VALUE"""),"Adarniya Neeta Parmar ji प्राण शक्ति से स्वास्थ्य संवर्धन : Rare Book : Allocated on 25-Jun-23 Contact Number  1-416-558-4338")</f>
        <v>Adarniya Neeta Parmar ji प्राण शक्ति से स्वास्थ्य संवर्धन : Rare Book : Allocated on 25-Jun-23 Contact Number  1-416-558-4338</v>
      </c>
      <c r="CH912" s="1"/>
      <c r="CI912" s="1"/>
    </row>
    <row r="913" spans="1:87" x14ac:dyDescent="0.25">
      <c r="A913" s="5">
        <f ca="1">IFERROR(__xludf.DUMMYFUNCTION("""COMPUTED_VALUE"""),45101.5844215046)</f>
        <v>45101.584421504602</v>
      </c>
      <c r="B913" s="1" t="str">
        <f ca="1">IFERROR(__xludf.DUMMYFUNCTION("""COMPUTED_VALUE"""),"rajnivarma24.vns@gmail.com")</f>
        <v>rajnivarma24.vns@gmail.com</v>
      </c>
      <c r="C913" s="1" t="str">
        <f ca="1">IFERROR(__xludf.DUMMYFUNCTION("""COMPUTED_VALUE"""),"Rajni varma")</f>
        <v>Rajni varma</v>
      </c>
      <c r="D913" s="1">
        <f ca="1">IFERROR(__xludf.DUMMYFUNCTION("""COMPUTED_VALUE"""),9335661433)</f>
        <v>9335661433</v>
      </c>
      <c r="E913" s="1" t="str">
        <f ca="1">IFERROR(__xludf.DUMMYFUNCTION("""COMPUTED_VALUE"""),"No")</f>
        <v>No</v>
      </c>
      <c r="F913" s="1" t="str">
        <f ca="1">IFERROR(__xludf.DUMMYFUNCTION("""COMPUTED_VALUE"""),"हिन्दी")</f>
        <v>हिन्दी</v>
      </c>
      <c r="G913" s="1" t="str">
        <f ca="1">IFERROR(__xludf.DUMMYFUNCTION("""COMPUTED_VALUE"""),"परिवार निर्माण")</f>
        <v>परिवार निर्माण</v>
      </c>
      <c r="H913" s="1"/>
      <c r="I913" s="1"/>
      <c r="J913" s="1"/>
      <c r="K913" s="1"/>
      <c r="L913" s="1"/>
      <c r="M913" s="1" t="str">
        <f ca="1">IFERROR(__xludf.DUMMYFUNCTION("""COMPUTED_VALUE"""),"परिवार")</f>
        <v>परिवार</v>
      </c>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f ca="1">IFERROR(__xludf.DUMMYFUNCTION("""COMPUTED_VALUE"""),30)</f>
        <v>30</v>
      </c>
      <c r="BX913" s="1">
        <f ca="1">IFERROR(__xludf.DUMMYFUNCTION("""COMPUTED_VALUE"""),25)</f>
        <v>25</v>
      </c>
      <c r="BY913" s="1">
        <f ca="1">IFERROR(__xludf.DUMMYFUNCTION("""COMPUTED_VALUE"""),7)</f>
        <v>7</v>
      </c>
      <c r="BZ913" s="1">
        <f ca="1">IFERROR(__xludf.DUMMYFUNCTION("""COMPUTED_VALUE"""),7)</f>
        <v>7</v>
      </c>
      <c r="CA913" s="1" t="str">
        <f ca="1">IFERROR(__xludf.DUMMYFUNCTION("""COMPUTED_VALUE"""),"Yes")</f>
        <v>Yes</v>
      </c>
      <c r="CB913" s="5">
        <f ca="1">IFERROR(__xludf.DUMMYFUNCTION("""COMPUTED_VALUE"""),45111.5844215046)</f>
        <v>45111.584421504602</v>
      </c>
      <c r="CC913" s="1" t="str">
        <f ca="1">IFERROR(__xludf.DUMMYFUNCTION("""COMPUTED_VALUE"""),"धरती सत्य पर टिकी है : Rare Book")</f>
        <v>धरती सत्य पर टिकी है : Rare Book</v>
      </c>
      <c r="CD913" s="3" t="str">
        <f ca="1">IFERROR(__xludf.DUMMYFUNCTION("""COMPUTED_VALUE"""),"https://vicharkrantibooks.org/productdetail?book_name=HINP0228_DHARATI_SATY_PAR_TIKI_HAI_xx1978&amp;product_id=793")</f>
        <v>https://vicharkrantibooks.org/productdetail?book_name=HINP0228_DHARATI_SATY_PAR_TIKI_HAI_xx1978&amp;product_id=793</v>
      </c>
      <c r="CE913" s="1" t="str">
        <f ca="1">IFERROR(__xludf.DUMMYFUNCTION("""COMPUTED_VALUE"""),"Audiobook : धरती सत्य पर टिकी है : Rare Book : rajnivarma24.vns@gmail.com : Recorded")</f>
        <v>Audiobook : धरती सत्य पर टिकी है : Rare Book : rajnivarma24.vns@gmail.com : Recorded</v>
      </c>
      <c r="CF913" s="1" t="str">
        <f ca="1">IFERROR(__xludf.DUMMYFUNCTION("""COMPUTED_VALUE"""),"Audiobook : धरती सत्य पर टिकी है : Rare Book : rajnivarma24.vns@gmail.com : Recorded")</f>
        <v>Audiobook : धरती सत्य पर टिकी है : Rare Book : rajnivarma24.vns@gmail.com : Recorded</v>
      </c>
      <c r="CG913" s="1" t="str">
        <f ca="1">IFERROR(__xludf.DUMMYFUNCTION("""COMPUTED_VALUE"""),"Adarniya Rajni varma ji धरती सत्य पर टिकी है : Rare Book : Allocated on 24-Jun-23 Contact Number  9335661433")</f>
        <v>Adarniya Rajni varma ji धरती सत्य पर टिकी है : Rare Book : Allocated on 24-Jun-23 Contact Number  9335661433</v>
      </c>
      <c r="CH913" s="1"/>
      <c r="CI913" s="1"/>
    </row>
    <row r="914" spans="1:87" x14ac:dyDescent="0.25">
      <c r="A914" s="5">
        <f ca="1">IFERROR(__xludf.DUMMYFUNCTION("""COMPUTED_VALUE"""),45101.0380793981)</f>
        <v>45101.038079398102</v>
      </c>
      <c r="B914" s="1" t="str">
        <f ca="1">IFERROR(__xludf.DUMMYFUNCTION("""COMPUTED_VALUE"""),"sanjayneha1@yahoo.com")</f>
        <v>sanjayneha1@yahoo.com</v>
      </c>
      <c r="C914" s="1" t="str">
        <f ca="1">IFERROR(__xludf.DUMMYFUNCTION("""COMPUTED_VALUE"""),"Neha Manocha")</f>
        <v>Neha Manocha</v>
      </c>
      <c r="D914" s="1">
        <f ca="1">IFERROR(__xludf.DUMMYFUNCTION("""COMPUTED_VALUE"""),16174130446)</f>
        <v>16174130446</v>
      </c>
      <c r="E914" s="1" t="str">
        <f ca="1">IFERROR(__xludf.DUMMYFUNCTION("""COMPUTED_VALUE"""),"Yes")</f>
        <v>Yes</v>
      </c>
      <c r="F914" s="1" t="str">
        <f ca="1">IFERROR(__xludf.DUMMYFUNCTION("""COMPUTED_VALUE"""),"हिन्दी or English")</f>
        <v>हिन्दी or English</v>
      </c>
      <c r="G914" s="1" t="str">
        <f ca="1">IFERROR(__xludf.DUMMYFUNCTION("""COMPUTED_VALUE"""),"युग द्रष्टा पं. श्रीराम शर्मा आचार्यजी")</f>
        <v>युग द्रष्टा पं. श्रीराम शर्मा आचार्यजी</v>
      </c>
      <c r="H914" s="1"/>
      <c r="I914" s="1"/>
      <c r="J914" s="1"/>
      <c r="K914" s="1"/>
      <c r="L914" s="1"/>
      <c r="M914" s="1"/>
      <c r="N914" s="1"/>
      <c r="O914" s="1"/>
      <c r="P914" s="1" t="str">
        <f ca="1">IFERROR(__xludf.DUMMYFUNCTION("""COMPUTED_VALUE"""),"युगॠषी का जीवनदर्शन")</f>
        <v>युगॠषी का जीवनदर्शन</v>
      </c>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f ca="1">IFERROR(__xludf.DUMMYFUNCTION("""COMPUTED_VALUE"""),33)</f>
        <v>33</v>
      </c>
      <c r="BX914" s="1">
        <f ca="1">IFERROR(__xludf.DUMMYFUNCTION("""COMPUTED_VALUE"""),40)</f>
        <v>40</v>
      </c>
      <c r="BY914" s="1">
        <f ca="1">IFERROR(__xludf.DUMMYFUNCTION("""COMPUTED_VALUE"""),3)</f>
        <v>3</v>
      </c>
      <c r="BZ914" s="1">
        <f ca="1">IFERROR(__xludf.DUMMYFUNCTION("""COMPUTED_VALUE"""),22)</f>
        <v>22</v>
      </c>
      <c r="CA914" s="1" t="str">
        <f ca="1">IFERROR(__xludf.DUMMYFUNCTION("""COMPUTED_VALUE"""),"Yes")</f>
        <v>Yes</v>
      </c>
      <c r="CB914" s="5">
        <f ca="1">IFERROR(__xludf.DUMMYFUNCTION("""COMPUTED_VALUE"""),45111.0380793981)</f>
        <v>45111.038079398102</v>
      </c>
      <c r="CC914" s="1" t="str">
        <f ca="1">IFERROR(__xludf.DUMMYFUNCTION("""COMPUTED_VALUE"""),"Support Is Needed For Self Evolution : EP_20")</f>
        <v>Support Is Needed For Self Evolution : EP_20</v>
      </c>
      <c r="CD914" s="3" t="str">
        <f ca="1">IFERROR(__xludf.DUMMYFUNCTION("""COMPUTED_VALUE"""),"http://literature.awgp.org/book/support_is_needed_for_self_evolution/v1")</f>
        <v>http://literature.awgp.org/book/support_is_needed_for_self_evolution/v1</v>
      </c>
      <c r="CE914" s="1" t="str">
        <f ca="1">IFERROR(__xludf.DUMMYFUNCTION("""COMPUTED_VALUE"""),"Audiobook : Support Is Needed For Self Evolution : EP_20 : sanjayneha1@yahoo.com : Recorded")</f>
        <v>Audiobook : Support Is Needed For Self Evolution : EP_20 : sanjayneha1@yahoo.com : Recorded</v>
      </c>
      <c r="CF914" s="1" t="str">
        <f ca="1">IFERROR(__xludf.DUMMYFUNCTION("""COMPUTED_VALUE"""),"Audiobook : Support Is Needed For Self Evolution : EP_20 : sanjayneha1@yahoo.com : Recorded")</f>
        <v>Audiobook : Support Is Needed For Self Evolution : EP_20 : sanjayneha1@yahoo.com : Recorded</v>
      </c>
      <c r="CG914" s="1" t="str">
        <f ca="1">IFERROR(__xludf.DUMMYFUNCTION("""COMPUTED_VALUE"""),"Adarniya Neha Manocha ji Support Is Needed For Self Evolution : EP_20 : Allocated on 24-Jun-23 Contact Number  16174130446")</f>
        <v>Adarniya Neha Manocha ji Support Is Needed For Self Evolution : EP_20 : Allocated on 24-Jun-23 Contact Number  16174130446</v>
      </c>
      <c r="CH914" s="1"/>
      <c r="CI914" s="1"/>
    </row>
    <row r="915" spans="1:87" x14ac:dyDescent="0.25">
      <c r="A915" s="5">
        <f ca="1">IFERROR(__xludf.DUMMYFUNCTION("""COMPUTED_VALUE"""),45100.7934619328)</f>
        <v>45100.793461932801</v>
      </c>
      <c r="B915" s="1" t="str">
        <f ca="1">IFERROR(__xludf.DUMMYFUNCTION("""COMPUTED_VALUE"""),"csprasad108@gmail.com")</f>
        <v>csprasad108@gmail.com</v>
      </c>
      <c r="C915" s="1" t="str">
        <f ca="1">IFERROR(__xludf.DUMMYFUNCTION("""COMPUTED_VALUE"""),"Kumkum prasad")</f>
        <v>Kumkum prasad</v>
      </c>
      <c r="D915" s="1">
        <f ca="1">IFERROR(__xludf.DUMMYFUNCTION("""COMPUTED_VALUE"""),7978055621)</f>
        <v>7978055621</v>
      </c>
      <c r="E915" s="1"/>
      <c r="F915" s="1"/>
      <c r="G915" s="1" t="str">
        <f ca="1">IFERROR(__xludf.DUMMYFUNCTION("""COMPUTED_VALUE"""),"अध्यात्म, धर्म एवं दर्शन")</f>
        <v>अध्यात्म, धर्म एवं दर्शन</v>
      </c>
      <c r="H915" s="1" t="str">
        <f ca="1">IFERROR(__xludf.DUMMYFUNCTION("""COMPUTED_VALUE"""),"अध्यात्म, धर्म एवं आस्तिकता")</f>
        <v>अध्यात्म, धर्म एवं आस्तिकता</v>
      </c>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f ca="1">IFERROR(__xludf.DUMMYFUNCTION("""COMPUTED_VALUE"""),52)</f>
        <v>52</v>
      </c>
      <c r="BX915" s="1">
        <f ca="1">IFERROR(__xludf.DUMMYFUNCTION("""COMPUTED_VALUE"""),54)</f>
        <v>54</v>
      </c>
      <c r="BY915" s="1">
        <f ca="1">IFERROR(__xludf.DUMMYFUNCTION("""COMPUTED_VALUE"""),3)</f>
        <v>3</v>
      </c>
      <c r="BZ915" s="1">
        <f ca="1">IFERROR(__xludf.DUMMYFUNCTION("""COMPUTED_VALUE"""),24)</f>
        <v>24</v>
      </c>
      <c r="CA915" s="1" t="str">
        <f ca="1">IFERROR(__xludf.DUMMYFUNCTION("""COMPUTED_VALUE"""),"Yes")</f>
        <v>Yes</v>
      </c>
      <c r="CB915" s="5">
        <f ca="1">IFERROR(__xludf.DUMMYFUNCTION("""COMPUTED_VALUE"""),45110.7934619328)</f>
        <v>45110.793461932801</v>
      </c>
      <c r="CC915" s="1" t="str">
        <f ca="1">IFERROR(__xludf.DUMMYFUNCTION("""COMPUTED_VALUE"""),"ज्ञान की सार्थकता कर्म से : Rare Book")</f>
        <v>ज्ञान की सार्थकता कर्म से : Rare Book</v>
      </c>
      <c r="CD915" s="3" t="str">
        <f ca="1">IFERROR(__xludf.DUMMYFUNCTION("""COMPUTED_VALUE"""),"https://vicharkrantibooks.org/productdetail?book_name=HINP0321_GYAN_KI_SARTHAKATA_KARM_SE_xxyyyy&amp;product_id=886")</f>
        <v>https://vicharkrantibooks.org/productdetail?book_name=HINP0321_GYAN_KI_SARTHAKATA_KARM_SE_xxyyyy&amp;product_id=886</v>
      </c>
      <c r="CE915" s="1" t="str">
        <f ca="1">IFERROR(__xludf.DUMMYFUNCTION("""COMPUTED_VALUE"""),"Audiobook : ज्ञान की सार्थकता कर्म से : Rare Book : csprasad108@gmail.com : Recorded")</f>
        <v>Audiobook : ज्ञान की सार्थकता कर्म से : Rare Book : csprasad108@gmail.com : Recorded</v>
      </c>
      <c r="CF915" s="1" t="str">
        <f ca="1">IFERROR(__xludf.DUMMYFUNCTION("""COMPUTED_VALUE"""),"Audiobook : ज्ञान की सार्थकता कर्म से : Rare Book : csprasad108@gmail.com : Recorded")</f>
        <v>Audiobook : ज्ञान की सार्थकता कर्म से : Rare Book : csprasad108@gmail.com : Recorded</v>
      </c>
      <c r="CG915" s="1" t="str">
        <f ca="1">IFERROR(__xludf.DUMMYFUNCTION("""COMPUTED_VALUE"""),"Adarniya Kumkum prasad ji ज्ञान की सार्थकता कर्म से : Rare Book : Allocated on 23-Jun-23 Contact Number  7978055621")</f>
        <v>Adarniya Kumkum prasad ji ज्ञान की सार्थकता कर्म से : Rare Book : Allocated on 23-Jun-23 Contact Number  7978055621</v>
      </c>
      <c r="CH915" s="1"/>
      <c r="CI915" s="1"/>
    </row>
    <row r="916" spans="1:87" x14ac:dyDescent="0.25">
      <c r="A916" s="5">
        <f ca="1">IFERROR(__xludf.DUMMYFUNCTION("""COMPUTED_VALUE"""),45100.6969551157)</f>
        <v>45100.696955115702</v>
      </c>
      <c r="B916" s="1" t="str">
        <f ca="1">IFERROR(__xludf.DUMMYFUNCTION("""COMPUTED_VALUE"""),"amrita_dube@yahoo.com")</f>
        <v>amrita_dube@yahoo.com</v>
      </c>
      <c r="C916" s="1" t="str">
        <f ca="1">IFERROR(__xludf.DUMMYFUNCTION("""COMPUTED_VALUE"""),"Amrita")</f>
        <v>Amrita</v>
      </c>
      <c r="D916" s="1"/>
      <c r="E916" s="1" t="str">
        <f ca="1">IFERROR(__xludf.DUMMYFUNCTION("""COMPUTED_VALUE"""),"No")</f>
        <v>No</v>
      </c>
      <c r="F916" s="1" t="str">
        <f ca="1">IFERROR(__xludf.DUMMYFUNCTION("""COMPUTED_VALUE"""),"English")</f>
        <v>English</v>
      </c>
      <c r="G916" s="1" t="str">
        <f ca="1">IFERROR(__xludf.DUMMYFUNCTION("""COMPUTED_VALUE"""),"अध्यात्म, धर्म एवं दर्शन")</f>
        <v>अध्यात्म, धर्म एवं दर्शन</v>
      </c>
      <c r="H916" s="1" t="str">
        <f ca="1">IFERROR(__xludf.DUMMYFUNCTION("""COMPUTED_VALUE"""),"आत्मज्ञान एवं आत्मनिर्माण")</f>
        <v>आत्मज्ञान एवं आत्मनिर्माण</v>
      </c>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f ca="1">IFERROR(__xludf.DUMMYFUNCTION("""COMPUTED_VALUE"""),17)</f>
        <v>17</v>
      </c>
      <c r="BX916" s="1">
        <f ca="1">IFERROR(__xludf.DUMMYFUNCTION("""COMPUTED_VALUE"""),14)</f>
        <v>14</v>
      </c>
      <c r="BY916" s="1">
        <f ca="1">IFERROR(__xludf.DUMMYFUNCTION("""COMPUTED_VALUE"""),6)</f>
        <v>6</v>
      </c>
      <c r="BZ916" s="1">
        <f ca="1">IFERROR(__xludf.DUMMYFUNCTION("""COMPUTED_VALUE"""),5)</f>
        <v>5</v>
      </c>
      <c r="CA916" s="1" t="str">
        <f ca="1">IFERROR(__xludf.DUMMYFUNCTION("""COMPUTED_VALUE"""),"Yes")</f>
        <v>Yes</v>
      </c>
      <c r="CB916" s="5">
        <f ca="1">IFERROR(__xludf.DUMMYFUNCTION("""COMPUTED_VALUE"""),45110.6969551157)</f>
        <v>45110.696955115702</v>
      </c>
      <c r="CC916" s="1" t="str">
        <f ca="1">IFERROR(__xludf.DUMMYFUNCTION("""COMPUTED_VALUE"""),"The Integrated Science Of Yagya : EP_25")</f>
        <v>The Integrated Science Of Yagya : EP_25</v>
      </c>
      <c r="CD916" s="3" t="str">
        <f ca="1">IFERROR(__xludf.DUMMYFUNCTION("""COMPUTED_VALUE"""),"http://literature.awgp.org/book/the_integrated_science_of_yagna/v1")</f>
        <v>http://literature.awgp.org/book/the_integrated_science_of_yagna/v1</v>
      </c>
      <c r="CE916" s="1" t="str">
        <f ca="1">IFERROR(__xludf.DUMMYFUNCTION("""COMPUTED_VALUE"""),"Audiobook : The Integrated Science Of Yagya : EP_25 : amrita_dube@yahoo.com : Recorded")</f>
        <v>Audiobook : The Integrated Science Of Yagya : EP_25 : amrita_dube@yahoo.com : Recorded</v>
      </c>
      <c r="CF916" s="1" t="str">
        <f ca="1">IFERROR(__xludf.DUMMYFUNCTION("""COMPUTED_VALUE"""),"Audiobook : The Integrated Science Of Yagya : EP_25 : amrita_dube@yahoo.com : Recorded")</f>
        <v>Audiobook : The Integrated Science Of Yagya : EP_25 : amrita_dube@yahoo.com : Recorded</v>
      </c>
      <c r="CG916" s="1" t="str">
        <f ca="1">IFERROR(__xludf.DUMMYFUNCTION("""COMPUTED_VALUE"""),"Adarniya Amrita ji The Integrated Science Of Yagya : EP_25 : Allocated on 23-Jun-23 Contact Number  ")</f>
        <v xml:space="preserve">Adarniya Amrita ji The Integrated Science Of Yagya : EP_25 : Allocated on 23-Jun-23 Contact Number  </v>
      </c>
      <c r="CH916" s="1"/>
      <c r="CI916" s="1"/>
    </row>
    <row r="917" spans="1:87" x14ac:dyDescent="0.25">
      <c r="A917" s="5">
        <f ca="1">IFERROR(__xludf.DUMMYFUNCTION("""COMPUTED_VALUE"""),45099.7580252546)</f>
        <v>45099.758025254603</v>
      </c>
      <c r="B917" s="1" t="str">
        <f ca="1">IFERROR(__xludf.DUMMYFUNCTION("""COMPUTED_VALUE"""),"amrita_dube@yahoo.com")</f>
        <v>amrita_dube@yahoo.com</v>
      </c>
      <c r="C917" s="1" t="str">
        <f ca="1">IFERROR(__xludf.DUMMYFUNCTION("""COMPUTED_VALUE"""),"Amrita")</f>
        <v>Amrita</v>
      </c>
      <c r="D917" s="1"/>
      <c r="E917" s="1" t="str">
        <f ca="1">IFERROR(__xludf.DUMMYFUNCTION("""COMPUTED_VALUE"""),"No")</f>
        <v>No</v>
      </c>
      <c r="F917" s="1" t="str">
        <f ca="1">IFERROR(__xludf.DUMMYFUNCTION("""COMPUTED_VALUE"""),"English")</f>
        <v>English</v>
      </c>
      <c r="G917" s="1" t="str">
        <f ca="1">IFERROR(__xludf.DUMMYFUNCTION("""COMPUTED_VALUE"""),"व्यक्ति निर्माण, युवा/विद्यार्थी एवं शिक्षक")</f>
        <v>व्यक्ति निर्माण, युवा/विद्यार्थी एवं शिक्षक</v>
      </c>
      <c r="H917" s="1"/>
      <c r="I917" s="1"/>
      <c r="J917" s="1"/>
      <c r="K917" s="1"/>
      <c r="L917" s="1"/>
      <c r="M917" s="1"/>
      <c r="N917" s="1"/>
      <c r="O917" s="1"/>
      <c r="P917" s="1"/>
      <c r="Q917" s="1"/>
      <c r="R917" s="1"/>
      <c r="S917" s="1"/>
      <c r="T917" s="1" t="str">
        <f ca="1">IFERROR(__xludf.DUMMYFUNCTION("""COMPUTED_VALUE"""),"व्यक्तित्व परिष्कार")</f>
        <v>व्यक्तित्व परिष्कार</v>
      </c>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f ca="1">IFERROR(__xludf.DUMMYFUNCTION("""COMPUTED_VALUE"""),17)</f>
        <v>17</v>
      </c>
      <c r="BX917" s="1">
        <f ca="1">IFERROR(__xludf.DUMMYFUNCTION("""COMPUTED_VALUE"""),14)</f>
        <v>14</v>
      </c>
      <c r="BY917" s="1">
        <f ca="1">IFERROR(__xludf.DUMMYFUNCTION("""COMPUTED_VALUE"""),6)</f>
        <v>6</v>
      </c>
      <c r="BZ917" s="1">
        <f ca="1">IFERROR(__xludf.DUMMYFUNCTION("""COMPUTED_VALUE"""),5)</f>
        <v>5</v>
      </c>
      <c r="CA917" s="1" t="str">
        <f ca="1">IFERROR(__xludf.DUMMYFUNCTION("""COMPUTED_VALUE"""),"Yes")</f>
        <v>Yes</v>
      </c>
      <c r="CB917" s="5">
        <f ca="1">IFERROR(__xludf.DUMMYFUNCTION("""COMPUTED_VALUE"""),45109.7580252546)</f>
        <v>45109.758025254603</v>
      </c>
      <c r="CC917" s="1" t="str">
        <f ca="1">IFERROR(__xludf.DUMMYFUNCTION("""COMPUTED_VALUE"""),"Revival Of Satyug The Golden Age Towards A Bright Future : EP_01")</f>
        <v>Revival Of Satyug The Golden Age Towards A Bright Future : EP_01</v>
      </c>
      <c r="CD917" s="3" t="str">
        <f ca="1">IFERROR(__xludf.DUMMYFUNCTION("""COMPUTED_VALUE"""),"http://literature.awgp.org/book/The_Revival_of_Satyug_The_Golden_Age/v1")</f>
        <v>http://literature.awgp.org/book/The_Revival_of_Satyug_The_Golden_Age/v1</v>
      </c>
      <c r="CE917" s="1" t="str">
        <f ca="1">IFERROR(__xludf.DUMMYFUNCTION("""COMPUTED_VALUE"""),"Audiobook : Revival Of Satyug The Golden Age Towards A Bright Future : EP_01 : amrita_dube@yahoo.com : Recorded")</f>
        <v>Audiobook : Revival Of Satyug The Golden Age Towards A Bright Future : EP_01 : amrita_dube@yahoo.com : Recorded</v>
      </c>
      <c r="CF917" s="1" t="str">
        <f ca="1">IFERROR(__xludf.DUMMYFUNCTION("""COMPUTED_VALUE"""),"#N/A")</f>
        <v>#N/A</v>
      </c>
      <c r="CG917" s="1" t="str">
        <f ca="1">IFERROR(__xludf.DUMMYFUNCTION("""COMPUTED_VALUE"""),"Adarniya Amrita ji Revival Of Satyug The Golden Age Towards A Bright Future : EP_01 : Allocated on 22-Jun-23 Contact Number  ")</f>
        <v xml:space="preserve">Adarniya Amrita ji Revival Of Satyug The Golden Age Towards A Bright Future : EP_01 : Allocated on 22-Jun-23 Contact Number  </v>
      </c>
      <c r="CH917" s="1"/>
      <c r="CI917" s="1"/>
    </row>
    <row r="918" spans="1:87" x14ac:dyDescent="0.25">
      <c r="A918" s="5">
        <f ca="1">IFERROR(__xludf.DUMMYFUNCTION("""COMPUTED_VALUE"""),45099.4497140972)</f>
        <v>45099.449714097202</v>
      </c>
      <c r="B918" s="1" t="str">
        <f ca="1">IFERROR(__xludf.DUMMYFUNCTION("""COMPUTED_VALUE"""),"vandana15rastogi@gmail.com")</f>
        <v>vandana15rastogi@gmail.com</v>
      </c>
      <c r="C918" s="1" t="str">
        <f ca="1">IFERROR(__xludf.DUMMYFUNCTION("""COMPUTED_VALUE"""),"Vandana Rastogi")</f>
        <v>Vandana Rastogi</v>
      </c>
      <c r="D918" s="1">
        <f ca="1">IFERROR(__xludf.DUMMYFUNCTION("""COMPUTED_VALUE"""),9359528684)</f>
        <v>9359528684</v>
      </c>
      <c r="E918" s="1" t="str">
        <f ca="1">IFERROR(__xludf.DUMMYFUNCTION("""COMPUTED_VALUE"""),"Yes")</f>
        <v>Yes</v>
      </c>
      <c r="F918" s="1" t="str">
        <f ca="1">IFERROR(__xludf.DUMMYFUNCTION("""COMPUTED_VALUE"""),"हिन्दी")</f>
        <v>हिन्दी</v>
      </c>
      <c r="G918" s="1" t="str">
        <f ca="1">IFERROR(__xludf.DUMMYFUNCTION("""COMPUTED_VALUE"""),"युग द्रष्टा पं. श्रीराम शर्मा आचार्यजी")</f>
        <v>युग द्रष्टा पं. श्रीराम शर्मा आचार्यजी</v>
      </c>
      <c r="H918" s="1"/>
      <c r="I918" s="1"/>
      <c r="J918" s="1"/>
      <c r="K918" s="1"/>
      <c r="L918" s="1"/>
      <c r="M918" s="1"/>
      <c r="N918" s="1"/>
      <c r="O918" s="1"/>
      <c r="P918" s="1" t="str">
        <f ca="1">IFERROR(__xludf.DUMMYFUNCTION("""COMPUTED_VALUE"""),"युगॠषी की अमृतवाणी")</f>
        <v>युगॠषी की अमृतवाणी</v>
      </c>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f ca="1">IFERROR(__xludf.DUMMYFUNCTION("""COMPUTED_VALUE"""),33)</f>
        <v>33</v>
      </c>
      <c r="BX918" s="1">
        <f ca="1">IFERROR(__xludf.DUMMYFUNCTION("""COMPUTED_VALUE"""),19)</f>
        <v>19</v>
      </c>
      <c r="BY918" s="1">
        <f ca="1">IFERROR(__xludf.DUMMYFUNCTION("""COMPUTED_VALUE"""),17)</f>
        <v>17</v>
      </c>
      <c r="BZ918" s="1">
        <f ca="1">IFERROR(__xludf.DUMMYFUNCTION("""COMPUTED_VALUE"""),14)</f>
        <v>14</v>
      </c>
      <c r="CA918" s="1" t="str">
        <f ca="1">IFERROR(__xludf.DUMMYFUNCTION("""COMPUTED_VALUE"""),"Yes")</f>
        <v>Yes</v>
      </c>
      <c r="CB918" s="5">
        <f ca="1">IFERROR(__xludf.DUMMYFUNCTION("""COMPUTED_VALUE"""),45109.4497140972)</f>
        <v>45109.449714097202</v>
      </c>
      <c r="CC918" s="1" t="str">
        <f ca="1">IFERROR(__xludf.DUMMYFUNCTION("""COMPUTED_VALUE"""),"मनीषी एवं ऋषि के रुप में हमारी परोक्ष भूमिका : Rare Book")</f>
        <v>मनीषी एवं ऋषि के रुप में हमारी परोक्ष भूमिका : Rare Book</v>
      </c>
      <c r="CD918" s="3" t="str">
        <f ca="1">IFERROR(__xludf.DUMMYFUNCTION("""COMPUTED_VALUE"""),"https://vicharkrantibooks.org/productdetail?book_name=HINP0512_MANISHI_EVAM_RUSHI_KE_RUP_MEIN_HAMARI_PAROKSH_BHUMIKA_xxyyyy&amp;product_id=1077")</f>
        <v>https://vicharkrantibooks.org/productdetail?book_name=HINP0512_MANISHI_EVAM_RUSHI_KE_RUP_MEIN_HAMARI_PAROKSH_BHUMIKA_xxyyyy&amp;product_id=1077</v>
      </c>
      <c r="CE918" s="1" t="str">
        <f ca="1">IFERROR(__xludf.DUMMYFUNCTION("""COMPUTED_VALUE"""),"Audiobook : मनीषी एवं ऋषि के रुप में हमारी परोक्ष भूमिका : Rare Book : vandana15rastogi@gmail.com : Recorded")</f>
        <v>Audiobook : मनीषी एवं ऋषि के रुप में हमारी परोक्ष भूमिका : Rare Book : vandana15rastogi@gmail.com : Recorded</v>
      </c>
      <c r="CF918" s="1" t="str">
        <f ca="1">IFERROR(__xludf.DUMMYFUNCTION("""COMPUTED_VALUE"""),"#N/A")</f>
        <v>#N/A</v>
      </c>
      <c r="CG918" s="1" t="str">
        <f ca="1">IFERROR(__xludf.DUMMYFUNCTION("""COMPUTED_VALUE"""),"Adarniya Vandana Rastogi ji मनीषी एवं ऋषि के रुप में हमारी परोक्ष भूमिका : Rare Book : Allocated on 22-Jun-23 Contact Number  9359528684")</f>
        <v>Adarniya Vandana Rastogi ji मनीषी एवं ऋषि के रुप में हमारी परोक्ष भूमिका : Rare Book : Allocated on 22-Jun-23 Contact Number  9359528684</v>
      </c>
      <c r="CH918" s="1"/>
      <c r="CI918" s="1"/>
    </row>
    <row r="919" spans="1:87" x14ac:dyDescent="0.25">
      <c r="A919" s="5">
        <f ca="1">IFERROR(__xludf.DUMMYFUNCTION("""COMPUTED_VALUE"""),45099.294605324)</f>
        <v>45099.294605324001</v>
      </c>
      <c r="B919" s="1" t="str">
        <f ca="1">IFERROR(__xludf.DUMMYFUNCTION("""COMPUTED_VALUE"""),"csprasad108@gmail.com")</f>
        <v>csprasad108@gmail.com</v>
      </c>
      <c r="C919" s="1" t="str">
        <f ca="1">IFERROR(__xludf.DUMMYFUNCTION("""COMPUTED_VALUE"""),"Kumkum prasad")</f>
        <v>Kumkum prasad</v>
      </c>
      <c r="D919" s="1">
        <f ca="1">IFERROR(__xludf.DUMMYFUNCTION("""COMPUTED_VALUE"""),7978055621)</f>
        <v>7978055621</v>
      </c>
      <c r="E919" s="1"/>
      <c r="F919" s="1" t="str">
        <f ca="1">IFERROR(__xludf.DUMMYFUNCTION("""COMPUTED_VALUE"""),"हिन्दी")</f>
        <v>हिन्दी</v>
      </c>
      <c r="G919" s="1" t="str">
        <f ca="1">IFERROR(__xludf.DUMMYFUNCTION("""COMPUTED_VALUE"""),"अध्यात्म, धर्म एवं दर्शन")</f>
        <v>अध्यात्म, धर्म एवं दर्शन</v>
      </c>
      <c r="H919" s="1" t="str">
        <f ca="1">IFERROR(__xludf.DUMMYFUNCTION("""COMPUTED_VALUE"""),"अध्यात्म, धर्म एवं आस्तिकता")</f>
        <v>अध्यात्म, धर्म एवं आस्तिकता</v>
      </c>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f ca="1">IFERROR(__xludf.DUMMYFUNCTION("""COMPUTED_VALUE"""),52)</f>
        <v>52</v>
      </c>
      <c r="BX919" s="1">
        <f ca="1">IFERROR(__xludf.DUMMYFUNCTION("""COMPUTED_VALUE"""),54)</f>
        <v>54</v>
      </c>
      <c r="BY919" s="1">
        <f ca="1">IFERROR(__xludf.DUMMYFUNCTION("""COMPUTED_VALUE"""),3)</f>
        <v>3</v>
      </c>
      <c r="BZ919" s="1">
        <f ca="1">IFERROR(__xludf.DUMMYFUNCTION("""COMPUTED_VALUE"""),24)</f>
        <v>24</v>
      </c>
      <c r="CA919" s="1" t="str">
        <f ca="1">IFERROR(__xludf.DUMMYFUNCTION("""COMPUTED_VALUE"""),"Yes")</f>
        <v>Yes</v>
      </c>
      <c r="CB919" s="5">
        <f ca="1">IFERROR(__xludf.DUMMYFUNCTION("""COMPUTED_VALUE"""),45109.294605324)</f>
        <v>45109.294605324001</v>
      </c>
      <c r="CC919" s="1" t="str">
        <f ca="1">IFERROR(__xludf.DUMMYFUNCTION("""COMPUTED_VALUE"""),"जो सत्य है वही शिव है सुन्दर है : Rare Book")</f>
        <v>जो सत्य है वही शिव है सुन्दर है : Rare Book</v>
      </c>
      <c r="CD919" s="3" t="str">
        <f ca="1">IFERROR(__xludf.DUMMYFUNCTION("""COMPUTED_VALUE"""),"https://vicharkrantibooks.org/productdetail?book_name=HINP0403_JO_SATY_HAI_VAHI_SHIV_HAI_SUNDAR_HAI_xx1982&amp;product_id=968")</f>
        <v>https://vicharkrantibooks.org/productdetail?book_name=HINP0403_JO_SATY_HAI_VAHI_SHIV_HAI_SUNDAR_HAI_xx1982&amp;product_id=968</v>
      </c>
      <c r="CE919" s="1" t="str">
        <f ca="1">IFERROR(__xludf.DUMMYFUNCTION("""COMPUTED_VALUE"""),"Audiobook : जो सत्य है वही शिव है सुन्दर है : Rare Book : csprasad108@gmail.com : Recorded")</f>
        <v>Audiobook : जो सत्य है वही शिव है सुन्दर है : Rare Book : csprasad108@gmail.com : Recorded</v>
      </c>
      <c r="CF919" s="1" t="str">
        <f ca="1">IFERROR(__xludf.DUMMYFUNCTION("""COMPUTED_VALUE"""),"Audiobook : जो सत्य है वही शिव है सुन्दर है : Rare Book : csprasad108@gmail.com : Recorded")</f>
        <v>Audiobook : जो सत्य है वही शिव है सुन्दर है : Rare Book : csprasad108@gmail.com : Recorded</v>
      </c>
      <c r="CG919" s="1" t="str">
        <f ca="1">IFERROR(__xludf.DUMMYFUNCTION("""COMPUTED_VALUE"""),"Adarniya Kumkum prasad ji जो सत्य है वही शिव है सुन्दर है : Rare Book : Allocated on 22-Jun-23 Contact Number  7978055621")</f>
        <v>Adarniya Kumkum prasad ji जो सत्य है वही शिव है सुन्दर है : Rare Book : Allocated on 22-Jun-23 Contact Number  7978055621</v>
      </c>
      <c r="CH919" s="1"/>
      <c r="CI919" s="1"/>
    </row>
    <row r="920" spans="1:87" x14ac:dyDescent="0.25">
      <c r="A920" s="5">
        <f ca="1">IFERROR(__xludf.DUMMYFUNCTION("""COMPUTED_VALUE"""),45096.9547198726)</f>
        <v>45096.9547198726</v>
      </c>
      <c r="B920" s="1" t="str">
        <f ca="1">IFERROR(__xludf.DUMMYFUNCTION("""COMPUTED_VALUE"""),"csprasad108@gmail.com")</f>
        <v>csprasad108@gmail.com</v>
      </c>
      <c r="C920" s="1" t="str">
        <f ca="1">IFERROR(__xludf.DUMMYFUNCTION("""COMPUTED_VALUE"""),"Kumkum prasad")</f>
        <v>Kumkum prasad</v>
      </c>
      <c r="D920" s="1">
        <f ca="1">IFERROR(__xludf.DUMMYFUNCTION("""COMPUTED_VALUE"""),7978055621)</f>
        <v>7978055621</v>
      </c>
      <c r="E920" s="1"/>
      <c r="F920" s="1" t="str">
        <f ca="1">IFERROR(__xludf.DUMMYFUNCTION("""COMPUTED_VALUE"""),"हिन्दी")</f>
        <v>हिन्दी</v>
      </c>
      <c r="G920" s="1" t="str">
        <f ca="1">IFERROR(__xludf.DUMMYFUNCTION("""COMPUTED_VALUE"""),"अध्यात्म, धर्म एवं दर्शन")</f>
        <v>अध्यात्म, धर्म एवं दर्शन</v>
      </c>
      <c r="H920" s="1" t="str">
        <f ca="1">IFERROR(__xludf.DUMMYFUNCTION("""COMPUTED_VALUE"""),"अध्यात्म, धर्म एवं आस्तिकता")</f>
        <v>अध्यात्म, धर्म एवं आस्तिकता</v>
      </c>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f ca="1">IFERROR(__xludf.DUMMYFUNCTION("""COMPUTED_VALUE"""),52)</f>
        <v>52</v>
      </c>
      <c r="BX920" s="1">
        <f ca="1">IFERROR(__xludf.DUMMYFUNCTION("""COMPUTED_VALUE"""),54)</f>
        <v>54</v>
      </c>
      <c r="BY920" s="1">
        <f ca="1">IFERROR(__xludf.DUMMYFUNCTION("""COMPUTED_VALUE"""),3)</f>
        <v>3</v>
      </c>
      <c r="BZ920" s="1">
        <f ca="1">IFERROR(__xludf.DUMMYFUNCTION("""COMPUTED_VALUE"""),24)</f>
        <v>24</v>
      </c>
      <c r="CA920" s="1" t="str">
        <f ca="1">IFERROR(__xludf.DUMMYFUNCTION("""COMPUTED_VALUE"""),"Yes")</f>
        <v>Yes</v>
      </c>
      <c r="CB920" s="5">
        <f ca="1">IFERROR(__xludf.DUMMYFUNCTION("""COMPUTED_VALUE"""),45106.9547198726)</f>
        <v>45106.9547198726</v>
      </c>
      <c r="CC920" s="1" t="str">
        <f ca="1">IFERROR(__xludf.DUMMYFUNCTION("""COMPUTED_VALUE"""),"कर्मफ़ल व्यवस्था के प्रति अनास्था ही नास्तिकता : Rare Book")</f>
        <v>कर्मफ़ल व्यवस्था के प्रति अनास्था ही नास्तिकता : Rare Book</v>
      </c>
      <c r="CD920" s="3" t="str">
        <f ca="1">IFERROR(__xludf.DUMMYFUNCTION("""COMPUTED_VALUE"""),"https://vicharkrantibooks.org/productdetail?book_name=HINP0427_KARMAPHAL_VYAVASTHA_KE_PRATI_ANASTHA_HI_NASTIKATA_xx1982&amp;product_id=992")</f>
        <v>https://vicharkrantibooks.org/productdetail?book_name=HINP0427_KARMAPHAL_VYAVASTHA_KE_PRATI_ANASTHA_HI_NASTIKATA_xx1982&amp;product_id=992</v>
      </c>
      <c r="CE920" s="1" t="str">
        <f ca="1">IFERROR(__xludf.DUMMYFUNCTION("""COMPUTED_VALUE"""),"Audiobook : कर्मफ़ल व्यवस्था के प्रति अनास्था ही नास्तिकता : Rare Book : csprasad108@gmail.com : Recorded")</f>
        <v>Audiobook : कर्मफ़ल व्यवस्था के प्रति अनास्था ही नास्तिकता : Rare Book : csprasad108@gmail.com : Recorded</v>
      </c>
      <c r="CF920" s="1" t="str">
        <f ca="1">IFERROR(__xludf.DUMMYFUNCTION("""COMPUTED_VALUE"""),"Audiobook : कर्मफ़ल व्यवस्था के प्रति अनास्था ही नास्तिकता : Rare Book : csprasad108@gmail.com : Recorded")</f>
        <v>Audiobook : कर्मफ़ल व्यवस्था के प्रति अनास्था ही नास्तिकता : Rare Book : csprasad108@gmail.com : Recorded</v>
      </c>
      <c r="CG920" s="1" t="str">
        <f ca="1">IFERROR(__xludf.DUMMYFUNCTION("""COMPUTED_VALUE"""),"Adarniya Kumkum prasad ji कर्मफ़ल व्यवस्था के प्रति अनास्था ही नास्तिकता : Rare Book : Allocated on 19-Jun-23 Contact Number  7978055621")</f>
        <v>Adarniya Kumkum prasad ji कर्मफ़ल व्यवस्था के प्रति अनास्था ही नास्तिकता : Rare Book : Allocated on 19-Jun-23 Contact Number  7978055621</v>
      </c>
      <c r="CH920" s="1"/>
      <c r="CI920" s="1"/>
    </row>
    <row r="921" spans="1:87" x14ac:dyDescent="0.25">
      <c r="A921" s="5">
        <f ca="1">IFERROR(__xludf.DUMMYFUNCTION("""COMPUTED_VALUE"""),45096.7621129398)</f>
        <v>45096.762112939803</v>
      </c>
      <c r="B921" s="1" t="str">
        <f ca="1">IFERROR(__xludf.DUMMYFUNCTION("""COMPUTED_VALUE"""),"daleshwary67@gmail.com")</f>
        <v>daleshwary67@gmail.com</v>
      </c>
      <c r="C921" s="1" t="str">
        <f ca="1">IFERROR(__xludf.DUMMYFUNCTION("""COMPUTED_VALUE"""),"daleshwary sharma ")</f>
        <v xml:space="preserve">daleshwary sharma </v>
      </c>
      <c r="D921" s="1">
        <f ca="1">IFERROR(__xludf.DUMMYFUNCTION("""COMPUTED_VALUE"""),8587900034)</f>
        <v>8587900034</v>
      </c>
      <c r="E921" s="1" t="str">
        <f ca="1">IFERROR(__xludf.DUMMYFUNCTION("""COMPUTED_VALUE"""),"No")</f>
        <v>No</v>
      </c>
      <c r="F921" s="1" t="str">
        <f ca="1">IFERROR(__xludf.DUMMYFUNCTION("""COMPUTED_VALUE"""),"हिन्दी")</f>
        <v>हिन्दी</v>
      </c>
      <c r="G921" s="1" t="str">
        <f ca="1">IFERROR(__xludf.DUMMYFUNCTION("""COMPUTED_VALUE"""),"गायत्री परिवार")</f>
        <v>गायत्री परिवार</v>
      </c>
      <c r="H921" s="1"/>
      <c r="I921" s="1"/>
      <c r="J921" s="1" t="str">
        <f ca="1">IFERROR(__xludf.DUMMYFUNCTION("""COMPUTED_VALUE"""),"प्रमुख संस्थान, प्रकाशन एवं आंदोलन")</f>
        <v>प्रमुख संस्थान, प्रकाशन एवं आंदोलन</v>
      </c>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f ca="1">IFERROR(__xludf.DUMMYFUNCTION("""COMPUTED_VALUE"""),15)</f>
        <v>15</v>
      </c>
      <c r="BX921" s="1">
        <f ca="1">IFERROR(__xludf.DUMMYFUNCTION("""COMPUTED_VALUE"""),9)</f>
        <v>9</v>
      </c>
      <c r="BY921" s="1">
        <f ca="1">IFERROR(__xludf.DUMMYFUNCTION("""COMPUTED_VALUE"""),5)</f>
        <v>5</v>
      </c>
      <c r="BZ921" s="1">
        <f ca="1">IFERROR(__xludf.DUMMYFUNCTION("""COMPUTED_VALUE"""),5)</f>
        <v>5</v>
      </c>
      <c r="CA921" s="1" t="str">
        <f ca="1">IFERROR(__xludf.DUMMYFUNCTION("""COMPUTED_VALUE"""),"Yes")</f>
        <v>Yes</v>
      </c>
      <c r="CB921" s="5">
        <f ca="1">IFERROR(__xludf.DUMMYFUNCTION("""COMPUTED_VALUE"""),45106.7621129398)</f>
        <v>45106.762112939803</v>
      </c>
      <c r="CC921" s="1" t="str">
        <f ca="1">IFERROR(__xludf.DUMMYFUNCTION("""COMPUTED_VALUE"""),"युग धर्म : Rare Book")</f>
        <v>युग धर्म : Rare Book</v>
      </c>
      <c r="CD921" s="3" t="str">
        <f ca="1">IFERROR(__xludf.DUMMYFUNCTION("""COMPUTED_VALUE"""),"https://vicharkrantibooks.org/productdetail?book_name=HINP1032_YUG_DHARM_xxyyyy&amp;product_id=1597")</f>
        <v>https://vicharkrantibooks.org/productdetail?book_name=HINP1032_YUG_DHARM_xxyyyy&amp;product_id=1597</v>
      </c>
      <c r="CE921" s="1" t="str">
        <f ca="1">IFERROR(__xludf.DUMMYFUNCTION("""COMPUTED_VALUE"""),"Audiobook : युग धर्म : Rare Book : daleshwary67@gmail.com : Recorded")</f>
        <v>Audiobook : युग धर्म : Rare Book : daleshwary67@gmail.com : Recorded</v>
      </c>
      <c r="CF921" s="1" t="str">
        <f ca="1">IFERROR(__xludf.DUMMYFUNCTION("""COMPUTED_VALUE"""),"#N/A")</f>
        <v>#N/A</v>
      </c>
      <c r="CG921" s="1" t="str">
        <f ca="1">IFERROR(__xludf.DUMMYFUNCTION("""COMPUTED_VALUE"""),"Adarniya daleshwary sharma  ji युग धर्म : Rare Book : Allocated on 19-Jun-23 Contact Number  8587900034")</f>
        <v>Adarniya daleshwary sharma  ji युग धर्म : Rare Book : Allocated on 19-Jun-23 Contact Number  8587900034</v>
      </c>
      <c r="CH921" s="1"/>
      <c r="CI921" s="1"/>
    </row>
    <row r="922" spans="1:87" x14ac:dyDescent="0.25">
      <c r="A922" s="5">
        <f ca="1">IFERROR(__xludf.DUMMYFUNCTION("""COMPUTED_VALUE"""),45095.9138104861)</f>
        <v>45095.913810486098</v>
      </c>
      <c r="B922" s="1" t="str">
        <f ca="1">IFERROR(__xludf.DUMMYFUNCTION("""COMPUTED_VALUE"""),"rekhabhagat2511@gmail.com")</f>
        <v>rekhabhagat2511@gmail.com</v>
      </c>
      <c r="C922" s="1" t="str">
        <f ca="1">IFERROR(__xludf.DUMMYFUNCTION("""COMPUTED_VALUE"""),"Rekha Bhagat ")</f>
        <v xml:space="preserve">Rekha Bhagat </v>
      </c>
      <c r="D922" s="1">
        <f ca="1">IFERROR(__xludf.DUMMYFUNCTION("""COMPUTED_VALUE"""),9424811235)</f>
        <v>9424811235</v>
      </c>
      <c r="E922" s="1" t="str">
        <f ca="1">IFERROR(__xludf.DUMMYFUNCTION("""COMPUTED_VALUE"""),"Yes")</f>
        <v>Yes</v>
      </c>
      <c r="F922" s="1" t="str">
        <f ca="1">IFERROR(__xludf.DUMMYFUNCTION("""COMPUTED_VALUE"""),"हिन्दी")</f>
        <v>हिन्दी</v>
      </c>
      <c r="G922" s="1" t="str">
        <f ca="1">IFERROR(__xludf.DUMMYFUNCTION("""COMPUTED_VALUE"""),"वैज्ञानिक अध्यात्मवाद का प्रतिपादन")</f>
        <v>वैज्ञानिक अध्यात्मवाद का प्रतिपादन</v>
      </c>
      <c r="H922" s="1"/>
      <c r="I922" s="1"/>
      <c r="J922" s="1"/>
      <c r="K922" s="1"/>
      <c r="L922" s="1"/>
      <c r="M922" s="1"/>
      <c r="N922" s="1"/>
      <c r="O922" s="1"/>
      <c r="P922" s="1"/>
      <c r="Q922" s="1"/>
      <c r="R922" s="1"/>
      <c r="S922" s="1" t="str">
        <f ca="1">IFERROR(__xludf.DUMMYFUNCTION("""COMPUTED_VALUE"""),"वैज्ञानिक अध्यात्मवाद का प्रतिपादन")</f>
        <v>वैज्ञानिक अध्यात्मवाद का प्रतिपादन</v>
      </c>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f ca="1">IFERROR(__xludf.DUMMYFUNCTION("""COMPUTED_VALUE"""),19)</f>
        <v>19</v>
      </c>
      <c r="BX922" s="1">
        <f ca="1">IFERROR(__xludf.DUMMYFUNCTION("""COMPUTED_VALUE"""),11)</f>
        <v>11</v>
      </c>
      <c r="BY922" s="1">
        <f ca="1">IFERROR(__xludf.DUMMYFUNCTION("""COMPUTED_VALUE"""),8)</f>
        <v>8</v>
      </c>
      <c r="BZ922" s="1">
        <f ca="1">IFERROR(__xludf.DUMMYFUNCTION("""COMPUTED_VALUE"""),4)</f>
        <v>4</v>
      </c>
      <c r="CA922" s="1" t="str">
        <f ca="1">IFERROR(__xludf.DUMMYFUNCTION("""COMPUTED_VALUE"""),"Yes")</f>
        <v>Yes</v>
      </c>
      <c r="CB922" s="5">
        <f ca="1">IFERROR(__xludf.DUMMYFUNCTION("""COMPUTED_VALUE"""),45105.9138104861)</f>
        <v>45105.913810486098</v>
      </c>
      <c r="CC922" s="1" t="str">
        <f ca="1">IFERROR(__xludf.DUMMYFUNCTION("""COMPUTED_VALUE"""),"सहअस्तित्व का नैसर्गिक नियम : Rare Book")</f>
        <v>सहअस्तित्व का नैसर्गिक नियम : Rare Book</v>
      </c>
      <c r="CD922" s="3" t="str">
        <f ca="1">IFERROR(__xludf.DUMMYFUNCTION("""COMPUTED_VALUE"""),"https://vicharkrantibooks.org/productdetail?book_name=HINP0749_SAHASTITV_KA_NAISARGIK_NIYAM_xx1982&amp;product_id=1314")</f>
        <v>https://vicharkrantibooks.org/productdetail?book_name=HINP0749_SAHASTITV_KA_NAISARGIK_NIYAM_xx1982&amp;product_id=1314</v>
      </c>
      <c r="CE922" s="1" t="str">
        <f ca="1">IFERROR(__xludf.DUMMYFUNCTION("""COMPUTED_VALUE"""),"Audiobook : सहअस्तित्व का नैसर्गिक नियम : Rare Book : rekhabhagat2511@gmail.com : Recorded")</f>
        <v>Audiobook : सहअस्तित्व का नैसर्गिक नियम : Rare Book : rekhabhagat2511@gmail.com : Recorded</v>
      </c>
      <c r="CF922" s="1" t="str">
        <f ca="1">IFERROR(__xludf.DUMMYFUNCTION("""COMPUTED_VALUE"""),"Audiobook : सहअस्तित्व का नैसर्गिक नियम : Rare Book : rekhabhagat2511@gmail.com : Recorded")</f>
        <v>Audiobook : सहअस्तित्व का नैसर्गिक नियम : Rare Book : rekhabhagat2511@gmail.com : Recorded</v>
      </c>
      <c r="CG922" s="1" t="str">
        <f ca="1">IFERROR(__xludf.DUMMYFUNCTION("""COMPUTED_VALUE"""),"Adarniya Rekha Bhagat  ji सहअस्तित्व का नैसर्गिक नियम : Rare Book : Allocated on 18-Jun-23 Contact Number  9424811235")</f>
        <v>Adarniya Rekha Bhagat  ji सहअस्तित्व का नैसर्गिक नियम : Rare Book : Allocated on 18-Jun-23 Contact Number  9424811235</v>
      </c>
      <c r="CH922" s="1"/>
      <c r="CI922" s="1"/>
    </row>
    <row r="923" spans="1:87" x14ac:dyDescent="0.25">
      <c r="A923" s="5">
        <f ca="1">IFERROR(__xludf.DUMMYFUNCTION("""COMPUTED_VALUE"""),45095.7479671412)</f>
        <v>45095.7479671412</v>
      </c>
      <c r="B923" s="1" t="str">
        <f ca="1">IFERROR(__xludf.DUMMYFUNCTION("""COMPUTED_VALUE"""),"rajnithakur9934@gmail.com")</f>
        <v>rajnithakur9934@gmail.com</v>
      </c>
      <c r="C923" s="1" t="str">
        <f ca="1">IFERROR(__xludf.DUMMYFUNCTION("""COMPUTED_VALUE"""),"Rajni ")</f>
        <v xml:space="preserve">Rajni </v>
      </c>
      <c r="D923" s="1">
        <f ca="1">IFERROR(__xludf.DUMMYFUNCTION("""COMPUTED_VALUE"""),6202048434)</f>
        <v>6202048434</v>
      </c>
      <c r="E923" s="1" t="str">
        <f ca="1">IFERROR(__xludf.DUMMYFUNCTION("""COMPUTED_VALUE"""),"Yes")</f>
        <v>Yes</v>
      </c>
      <c r="F923" s="1" t="str">
        <f ca="1">IFERROR(__xludf.DUMMYFUNCTION("""COMPUTED_VALUE"""),"English")</f>
        <v>English</v>
      </c>
      <c r="G923" s="1" t="str">
        <f ca="1">IFERROR(__xludf.DUMMYFUNCTION("""COMPUTED_VALUE"""),"व्यक्ति निर्माण, युवा/विद्यार्थी एवं शिक्षक")</f>
        <v>व्यक्ति निर्माण, युवा/विद्यार्थी एवं शिक्षक</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f ca="1">IFERROR(__xludf.DUMMYFUNCTION("""COMPUTED_VALUE"""),4)</f>
        <v>4</v>
      </c>
      <c r="BX923" s="1">
        <f ca="1">IFERROR(__xludf.DUMMYFUNCTION("""COMPUTED_VALUE"""),1)</f>
        <v>1</v>
      </c>
      <c r="BY923" s="1">
        <f ca="1">IFERROR(__xludf.DUMMYFUNCTION("""COMPUTED_VALUE"""),3)</f>
        <v>3</v>
      </c>
      <c r="BZ923" s="1">
        <f ca="1">IFERROR(__xludf.DUMMYFUNCTION("""COMPUTED_VALUE"""),0)</f>
        <v>0</v>
      </c>
      <c r="CA923" s="1" t="str">
        <f ca="1">IFERROR(__xludf.DUMMYFUNCTION("""COMPUTED_VALUE"""),"Yes")</f>
        <v>Yes</v>
      </c>
      <c r="CB923" s="5">
        <f ca="1">IFERROR(__xludf.DUMMYFUNCTION("""COMPUTED_VALUE"""),45105.7479671412)</f>
        <v>45105.7479671412</v>
      </c>
      <c r="CC923" s="1" t="str">
        <f ca="1">IFERROR(__xludf.DUMMYFUNCTION("""COMPUTED_VALUE"""),"Be Saved From Mental Tension : EP_60")</f>
        <v>Be Saved From Mental Tension : EP_60</v>
      </c>
      <c r="CD923" s="3" t="str">
        <f ca="1">IFERROR(__xludf.DUMMYFUNCTION("""COMPUTED_VALUE"""),"https://vicharkrantibooks.org/productdetail?book_name=ENGP0498_BE_SAVED_FROM_MENTAL_TENSION_xxyyyy&amp;product_id=3452")</f>
        <v>https://vicharkrantibooks.org/productdetail?book_name=ENGP0498_BE_SAVED_FROM_MENTAL_TENSION_xxyyyy&amp;product_id=3452</v>
      </c>
      <c r="CE923" s="1" t="str">
        <f ca="1">IFERROR(__xludf.DUMMYFUNCTION("""COMPUTED_VALUE"""),"Audiobook : Be Saved From Mental Tension : EP_60 : rajnithakur9934@gmail.com : Recorded")</f>
        <v>Audiobook : Be Saved From Mental Tension : EP_60 : rajnithakur9934@gmail.com : Recorded</v>
      </c>
      <c r="CF923" s="1" t="str">
        <f ca="1">IFERROR(__xludf.DUMMYFUNCTION("""COMPUTED_VALUE"""),"#N/A")</f>
        <v>#N/A</v>
      </c>
      <c r="CG923" s="1" t="str">
        <f ca="1">IFERROR(__xludf.DUMMYFUNCTION("""COMPUTED_VALUE"""),"Adarniya Rajni  ji Be Saved From Mental Tension : EP_60 : Allocated on 18-Jun-23 Contact Number  6202048434")</f>
        <v>Adarniya Rajni  ji Be Saved From Mental Tension : EP_60 : Allocated on 18-Jun-23 Contact Number  6202048434</v>
      </c>
      <c r="CH923" s="1"/>
      <c r="CI923" s="1"/>
    </row>
    <row r="924" spans="1:87" x14ac:dyDescent="0.25">
      <c r="A924" s="5">
        <f ca="1">IFERROR(__xludf.DUMMYFUNCTION("""COMPUTED_VALUE"""),45095.7460905439)</f>
        <v>45095.7460905439</v>
      </c>
      <c r="B924" s="1" t="str">
        <f ca="1">IFERROR(__xludf.DUMMYFUNCTION("""COMPUTED_VALUE"""),"surendrakumar9457@gmail.com")</f>
        <v>surendrakumar9457@gmail.com</v>
      </c>
      <c r="C924" s="1" t="str">
        <f ca="1">IFERROR(__xludf.DUMMYFUNCTION("""COMPUTED_VALUE"""),"Yashita Kashyap ")</f>
        <v xml:space="preserve">Yashita Kashyap </v>
      </c>
      <c r="D924" s="1">
        <f ca="1">IFERROR(__xludf.DUMMYFUNCTION("""COMPUTED_VALUE"""),9457436855)</f>
        <v>9457436855</v>
      </c>
      <c r="E924" s="1" t="str">
        <f ca="1">IFERROR(__xludf.DUMMYFUNCTION("""COMPUTED_VALUE"""),"Yes")</f>
        <v>Yes</v>
      </c>
      <c r="F924" s="1" t="str">
        <f ca="1">IFERROR(__xludf.DUMMYFUNCTION("""COMPUTED_VALUE"""),"हिन्दी")</f>
        <v>हिन्दी</v>
      </c>
      <c r="G924" s="1" t="str">
        <f ca="1">IFERROR(__xludf.DUMMYFUNCTION("""COMPUTED_VALUE"""),"गायत्री परिवार")</f>
        <v>गायत्री परिवार</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f ca="1">IFERROR(__xludf.DUMMYFUNCTION("""COMPUTED_VALUE"""),1)</f>
        <v>1</v>
      </c>
      <c r="BX924" s="1">
        <f ca="1">IFERROR(__xludf.DUMMYFUNCTION("""COMPUTED_VALUE"""),0)</f>
        <v>0</v>
      </c>
      <c r="BY924" s="1">
        <f ca="1">IFERROR(__xludf.DUMMYFUNCTION("""COMPUTED_VALUE"""),1)</f>
        <v>1</v>
      </c>
      <c r="BZ924" s="1">
        <f ca="1">IFERROR(__xludf.DUMMYFUNCTION("""COMPUTED_VALUE"""),0)</f>
        <v>0</v>
      </c>
      <c r="CA924" s="1" t="str">
        <f ca="1">IFERROR(__xludf.DUMMYFUNCTION("""COMPUTED_VALUE"""),"Yes")</f>
        <v>Yes</v>
      </c>
      <c r="CB924" s="5">
        <f ca="1">IFERROR(__xludf.DUMMYFUNCTION("""COMPUTED_VALUE"""),45105.7460905439)</f>
        <v>45105.7460905439</v>
      </c>
      <c r="CC924" s="1" t="str">
        <f ca="1">IFERROR(__xludf.DUMMYFUNCTION("""COMPUTED_VALUE"""),"महाकाल का घोंसला शांतिकुंज : H_SC_09")</f>
        <v>महाकाल का घोंसला शांतिकुंज : H_SC_09</v>
      </c>
      <c r="CD924" s="3" t="str">
        <f ca="1">IFERROR(__xludf.DUMMYFUNCTION("""COMPUTED_VALUE"""),"https://vicharkrantibooks.org/productdetail?book_name=HINP0465_MAHAKAL_KA_GHONSALA_SHANTIKUNJ_xxyyyy&amp;product_id=1030")</f>
        <v>https://vicharkrantibooks.org/productdetail?book_name=HINP0465_MAHAKAL_KA_GHONSALA_SHANTIKUNJ_xxyyyy&amp;product_id=1030</v>
      </c>
      <c r="CE924" s="1" t="str">
        <f ca="1">IFERROR(__xludf.DUMMYFUNCTION("""COMPUTED_VALUE"""),"Audiobook : महाकाल का घोंसला शांतिकुंज : H_SC_09 : surendrakumar9457@gmail.com : Recorded")</f>
        <v>Audiobook : महाकाल का घोंसला शांतिकुंज : H_SC_09 : surendrakumar9457@gmail.com : Recorded</v>
      </c>
      <c r="CF924" s="1" t="str">
        <f ca="1">IFERROR(__xludf.DUMMYFUNCTION("""COMPUTED_VALUE"""),"#N/A")</f>
        <v>#N/A</v>
      </c>
      <c r="CG924" s="1" t="str">
        <f ca="1">IFERROR(__xludf.DUMMYFUNCTION("""COMPUTED_VALUE"""),"Adarniya Yashita Kashyap  ji महाकाल का घोंसला शांतिकुंज : H_SC_09 : Allocated on 18-Jun-23 Contact Number  9457436855")</f>
        <v>Adarniya Yashita Kashyap  ji महाकाल का घोंसला शांतिकुंज : H_SC_09 : Allocated on 18-Jun-23 Contact Number  9457436855</v>
      </c>
      <c r="CH924" s="1"/>
      <c r="CI924" s="1"/>
    </row>
    <row r="925" spans="1:87" x14ac:dyDescent="0.25">
      <c r="A925" s="5">
        <f ca="1">IFERROR(__xludf.DUMMYFUNCTION("""COMPUTED_VALUE"""),45095.7457481828)</f>
        <v>45095.745748182802</v>
      </c>
      <c r="B925" s="1" t="str">
        <f ca="1">IFERROR(__xludf.DUMMYFUNCTION("""COMPUTED_VALUE"""),"ritu07smily@gmail.com")</f>
        <v>ritu07smily@gmail.com</v>
      </c>
      <c r="C925" s="1" t="str">
        <f ca="1">IFERROR(__xludf.DUMMYFUNCTION("""COMPUTED_VALUE"""),"Bhavya jain")</f>
        <v>Bhavya jain</v>
      </c>
      <c r="D925" s="1">
        <f ca="1">IFERROR(__xludf.DUMMYFUNCTION("""COMPUTED_VALUE"""),8169747387)</f>
        <v>8169747387</v>
      </c>
      <c r="E925" s="1" t="str">
        <f ca="1">IFERROR(__xludf.DUMMYFUNCTION("""COMPUTED_VALUE"""),"Yes")</f>
        <v>Yes</v>
      </c>
      <c r="F925" s="1" t="str">
        <f ca="1">IFERROR(__xludf.DUMMYFUNCTION("""COMPUTED_VALUE"""),"हिन्दी or English")</f>
        <v>हिन्दी or English</v>
      </c>
      <c r="G925" s="1" t="str">
        <f ca="1">IFERROR(__xludf.DUMMYFUNCTION("""COMPUTED_VALUE"""),"व्यक्ति निर्माण, युवा/विद्यार्थी एवं शिक्षक")</f>
        <v>व्यक्ति निर्माण, युवा/विद्यार्थी एवं शिक्षक</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f ca="1">IFERROR(__xludf.DUMMYFUNCTION("""COMPUTED_VALUE"""),1)</f>
        <v>1</v>
      </c>
      <c r="BX925" s="1">
        <f ca="1">IFERROR(__xludf.DUMMYFUNCTION("""COMPUTED_VALUE"""),0)</f>
        <v>0</v>
      </c>
      <c r="BY925" s="1">
        <f ca="1">IFERROR(__xludf.DUMMYFUNCTION("""COMPUTED_VALUE"""),1)</f>
        <v>1</v>
      </c>
      <c r="BZ925" s="1">
        <f ca="1">IFERROR(__xludf.DUMMYFUNCTION("""COMPUTED_VALUE"""),0)</f>
        <v>0</v>
      </c>
      <c r="CA925" s="1" t="str">
        <f ca="1">IFERROR(__xludf.DUMMYFUNCTION("""COMPUTED_VALUE"""),"Yes")</f>
        <v>Yes</v>
      </c>
      <c r="CB925" s="5">
        <f ca="1">IFERROR(__xludf.DUMMYFUNCTION("""COMPUTED_VALUE"""),45105.7457481828)</f>
        <v>45105.745748182802</v>
      </c>
      <c r="CC925" s="1" t="str">
        <f ca="1">IFERROR(__xludf.DUMMYFUNCTION("""COMPUTED_VALUE"""),"सफल जीवन की दिशाधारा (Pocket) : H_VP_42")</f>
        <v>सफल जीवन की दिशाधारा (Pocket) : H_VP_42</v>
      </c>
      <c r="CD925" s="3" t="str">
        <f ca="1">IFERROR(__xludf.DUMMYFUNCTION("""COMPUTED_VALUE"""),"https://vicharkrantibooks.org/productdetail?book_name=HINP0806_SAPHAL_JIVAN_KI_DISHADHARA_(POCKET)_xxyyyy&amp;product_id=1371")</f>
        <v>https://vicharkrantibooks.org/productdetail?book_name=HINP0806_SAPHAL_JIVAN_KI_DISHADHARA_(POCKET)_xxyyyy&amp;product_id=1371</v>
      </c>
      <c r="CE925" s="1" t="str">
        <f ca="1">IFERROR(__xludf.DUMMYFUNCTION("""COMPUTED_VALUE"""),"Audiobook : सफल जीवन की दिशाधारा (Pocket) : H_VP_42 : ritu07smily@gmail.com : Recorded")</f>
        <v>Audiobook : सफल जीवन की दिशाधारा (Pocket) : H_VP_42 : ritu07smily@gmail.com : Recorded</v>
      </c>
      <c r="CF925" s="1" t="str">
        <f ca="1">IFERROR(__xludf.DUMMYFUNCTION("""COMPUTED_VALUE"""),"#N/A")</f>
        <v>#N/A</v>
      </c>
      <c r="CG925" s="1" t="str">
        <f ca="1">IFERROR(__xludf.DUMMYFUNCTION("""COMPUTED_VALUE"""),"Adarniya Bhavya jain ji सफल जीवन की दिशाधारा (Pocket) : H_VP_42 : Allocated on 18-Jun-23 Contact Number  8169747387")</f>
        <v>Adarniya Bhavya jain ji सफल जीवन की दिशाधारा (Pocket) : H_VP_42 : Allocated on 18-Jun-23 Contact Number  8169747387</v>
      </c>
      <c r="CH925" s="1"/>
      <c r="CI925" s="1"/>
    </row>
    <row r="926" spans="1:87" x14ac:dyDescent="0.25">
      <c r="A926" s="5">
        <f ca="1">IFERROR(__xludf.DUMMYFUNCTION("""COMPUTED_VALUE"""),45095.7436977662)</f>
        <v>45095.7436977662</v>
      </c>
      <c r="B926" s="1" t="str">
        <f ca="1">IFERROR(__xludf.DUMMYFUNCTION("""COMPUTED_VALUE"""),"richa.bharall1@gmail.com")</f>
        <v>richa.bharall1@gmail.com</v>
      </c>
      <c r="C926" s="1" t="str">
        <f ca="1">IFERROR(__xludf.DUMMYFUNCTION("""COMPUTED_VALUE"""),"Bhavya jain and Riddhima Jain")</f>
        <v>Bhavya jain and Riddhima Jain</v>
      </c>
      <c r="D926" s="1">
        <f ca="1">IFERROR(__xludf.DUMMYFUNCTION("""COMPUTED_VALUE"""),8168747387)</f>
        <v>8168747387</v>
      </c>
      <c r="E926" s="1" t="str">
        <f ca="1">IFERROR(__xludf.DUMMYFUNCTION("""COMPUTED_VALUE"""),"Yes")</f>
        <v>Yes</v>
      </c>
      <c r="F926" s="1" t="str">
        <f ca="1">IFERROR(__xludf.DUMMYFUNCTION("""COMPUTED_VALUE"""),"हिन्दी or English")</f>
        <v>हिन्दी or English</v>
      </c>
      <c r="G926" s="1" t="str">
        <f ca="1">IFERROR(__xludf.DUMMYFUNCTION("""COMPUTED_VALUE"""),"संस्कार, कर्मकाण्ड, पाठ, पूजा, गीत-संगीत")</f>
        <v>संस्कार, कर्मकाण्ड, पाठ, पूजा, गीत-संगीत</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f ca="1">IFERROR(__xludf.DUMMYFUNCTION("""COMPUTED_VALUE"""),1)</f>
        <v>1</v>
      </c>
      <c r="BX926" s="1">
        <f ca="1">IFERROR(__xludf.DUMMYFUNCTION("""COMPUTED_VALUE"""),0)</f>
        <v>0</v>
      </c>
      <c r="BY926" s="1">
        <f ca="1">IFERROR(__xludf.DUMMYFUNCTION("""COMPUTED_VALUE"""),1)</f>
        <v>1</v>
      </c>
      <c r="BZ926" s="1">
        <f ca="1">IFERROR(__xludf.DUMMYFUNCTION("""COMPUTED_VALUE"""),0)</f>
        <v>0</v>
      </c>
      <c r="CA926" s="1" t="str">
        <f ca="1">IFERROR(__xludf.DUMMYFUNCTION("""COMPUTED_VALUE"""),"Yes")</f>
        <v>Yes</v>
      </c>
      <c r="CB926" s="5">
        <f ca="1">IFERROR(__xludf.DUMMYFUNCTION("""COMPUTED_VALUE"""),45105.7436977662)</f>
        <v>45105.7436977662</v>
      </c>
      <c r="CC926" s="1" t="str">
        <f ca="1">IFERROR(__xludf.DUMMYFUNCTION("""COMPUTED_VALUE"""),"अब बच्चे करेंगे युग निर्माण : H_SJ_31")</f>
        <v>अब बच्चे करेंगे युग निर्माण : H_SJ_31</v>
      </c>
      <c r="CD926" s="3" t="str">
        <f ca="1">IFERROR(__xludf.DUMMYFUNCTION("""COMPUTED_VALUE"""),"https://vicharkrantibooks.org/productdetail?book_name=HINP0002_AB_BACHCHE_KARENGE_YUG_NIRMAN_xxyyyy&amp;product_id=567")</f>
        <v>https://vicharkrantibooks.org/productdetail?book_name=HINP0002_AB_BACHCHE_KARENGE_YUG_NIRMAN_xxyyyy&amp;product_id=567</v>
      </c>
      <c r="CE926" s="1" t="str">
        <f ca="1">IFERROR(__xludf.DUMMYFUNCTION("""COMPUTED_VALUE"""),"Audiobook : अब बच्चे करेंगे युग निर्माण : H_SJ_31 : richa.bharall1@gmail.com : Recorded")</f>
        <v>Audiobook : अब बच्चे करेंगे युग निर्माण : H_SJ_31 : richa.bharall1@gmail.com : Recorded</v>
      </c>
      <c r="CF926" s="1" t="str">
        <f ca="1">IFERROR(__xludf.DUMMYFUNCTION("""COMPUTED_VALUE"""),"#N/A")</f>
        <v>#N/A</v>
      </c>
      <c r="CG926" s="1" t="str">
        <f ca="1">IFERROR(__xludf.DUMMYFUNCTION("""COMPUTED_VALUE"""),"Adarniya Bhavya jain and Riddhima Jain ji अब बच्चे करेंगे युग निर्माण : H_SJ_31 : Allocated on 18-Jun-23 Contact Number  8168747387")</f>
        <v>Adarniya Bhavya jain and Riddhima Jain ji अब बच्चे करेंगे युग निर्माण : H_SJ_31 : Allocated on 18-Jun-23 Contact Number  8168747387</v>
      </c>
      <c r="CH926" s="1"/>
      <c r="CI926" s="1"/>
    </row>
    <row r="927" spans="1:87" x14ac:dyDescent="0.25">
      <c r="A927" s="5">
        <f ca="1">IFERROR(__xludf.DUMMYFUNCTION("""COMPUTED_VALUE"""),45094.8550294791)</f>
        <v>45094.855029479098</v>
      </c>
      <c r="B927" s="1" t="str">
        <f ca="1">IFERROR(__xludf.DUMMYFUNCTION("""COMPUTED_VALUE"""),"devchouhan342@gmail.com")</f>
        <v>devchouhan342@gmail.com</v>
      </c>
      <c r="C927" s="1" t="str">
        <f ca="1">IFERROR(__xludf.DUMMYFUNCTION("""COMPUTED_VALUE"""),"YOGYATAM SAINI ")</f>
        <v xml:space="preserve">YOGYATAM SAINI </v>
      </c>
      <c r="D927" s="1">
        <f ca="1">IFERROR(__xludf.DUMMYFUNCTION("""COMPUTED_VALUE"""),8949374250)</f>
        <v>8949374250</v>
      </c>
      <c r="E927" s="1" t="str">
        <f ca="1">IFERROR(__xludf.DUMMYFUNCTION("""COMPUTED_VALUE"""),"No")</f>
        <v>No</v>
      </c>
      <c r="F927" s="1" t="str">
        <f ca="1">IFERROR(__xludf.DUMMYFUNCTION("""COMPUTED_VALUE"""),"हिन्दी")</f>
        <v>हिन्दी</v>
      </c>
      <c r="G927" s="1" t="str">
        <f ca="1">IFERROR(__xludf.DUMMYFUNCTION("""COMPUTED_VALUE"""),"Story ")</f>
        <v xml:space="preserve">Story </v>
      </c>
      <c r="H927" s="1" t="str">
        <f ca="1">IFERROR(__xludf.DUMMYFUNCTION("""COMPUTED_VALUE"""),"अध्यात्म, धर्म एवं आस्तिकता")</f>
        <v>अध्यात्म, धर्म एवं आस्तिकता</v>
      </c>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f ca="1">IFERROR(__xludf.DUMMYFUNCTION("""COMPUTED_VALUE"""),1)</f>
        <v>1</v>
      </c>
      <c r="BX927" s="1">
        <f ca="1">IFERROR(__xludf.DUMMYFUNCTION("""COMPUTED_VALUE"""),0)</f>
        <v>0</v>
      </c>
      <c r="BY927" s="1">
        <f ca="1">IFERROR(__xludf.DUMMYFUNCTION("""COMPUTED_VALUE"""),1)</f>
        <v>1</v>
      </c>
      <c r="BZ927" s="1">
        <f ca="1">IFERROR(__xludf.DUMMYFUNCTION("""COMPUTED_VALUE"""),0)</f>
        <v>0</v>
      </c>
      <c r="CA927" s="1"/>
      <c r="CB927" s="5">
        <f ca="1">IFERROR(__xludf.DUMMYFUNCTION("""COMPUTED_VALUE"""),45104.8550294791)</f>
        <v>45104.855029479098</v>
      </c>
      <c r="CC927" s="1" t="str">
        <f ca="1">IFERROR(__xludf.DUMMYFUNCTION("""COMPUTED_VALUE"""),"बाल निर्माण की कहानियाँ भाग  ९ : H_VP_01_9")</f>
        <v>बाल निर्माण की कहानियाँ भाग  ९ : H_VP_01_9</v>
      </c>
      <c r="CD927" s="1"/>
      <c r="CE927" s="1" t="str">
        <f ca="1">IFERROR(__xludf.DUMMYFUNCTION("""COMPUTED_VALUE"""),"Audiobook : बाल निर्माण की कहानियाँ भाग  ९ : H_VP_01_9 : devchouhan342@gmail.com : Recorded")</f>
        <v>Audiobook : बाल निर्माण की कहानियाँ भाग  ९ : H_VP_01_9 : devchouhan342@gmail.com : Recorded</v>
      </c>
      <c r="CF927" s="1" t="str">
        <f ca="1">IFERROR(__xludf.DUMMYFUNCTION("""COMPUTED_VALUE"""),"#N/A")</f>
        <v>#N/A</v>
      </c>
      <c r="CG927" s="1" t="str">
        <f ca="1">IFERROR(__xludf.DUMMYFUNCTION("""COMPUTED_VALUE"""),"Adarniya YOGYATAM SAINI  ji बाल निर्माण की कहानियाँ भाग  ९ : H_VP_01_9 : Allocated on 17-Jun-23 Contact Number  8949374250")</f>
        <v>Adarniya YOGYATAM SAINI  ji बाल निर्माण की कहानियाँ भाग  ९ : H_VP_01_9 : Allocated on 17-Jun-23 Contact Number  8949374250</v>
      </c>
      <c r="CH927" s="1"/>
      <c r="CI927" s="1"/>
    </row>
    <row r="928" spans="1:87" x14ac:dyDescent="0.25">
      <c r="A928" s="5">
        <f ca="1">IFERROR(__xludf.DUMMYFUNCTION("""COMPUTED_VALUE"""),45094.8511206018)</f>
        <v>45094.851120601801</v>
      </c>
      <c r="B928" s="1" t="str">
        <f ca="1">IFERROR(__xludf.DUMMYFUNCTION("""COMPUTED_VALUE"""),"navnikagupta777@gmail.com")</f>
        <v>navnikagupta777@gmail.com</v>
      </c>
      <c r="C928" s="1" t="str">
        <f ca="1">IFERROR(__xludf.DUMMYFUNCTION("""COMPUTED_VALUE"""),"Adhya Gupta ")</f>
        <v xml:space="preserve">Adhya Gupta </v>
      </c>
      <c r="D928" s="1">
        <f ca="1">IFERROR(__xludf.DUMMYFUNCTION("""COMPUTED_VALUE"""),8181082450)</f>
        <v>8181082450</v>
      </c>
      <c r="E928" s="1" t="str">
        <f ca="1">IFERROR(__xludf.DUMMYFUNCTION("""COMPUTED_VALUE"""),"Yes")</f>
        <v>Yes</v>
      </c>
      <c r="F928" s="1" t="str">
        <f ca="1">IFERROR(__xludf.DUMMYFUNCTION("""COMPUTED_VALUE"""),"हिन्दी or English")</f>
        <v>हिन्दी or English</v>
      </c>
      <c r="G928" s="1" t="str">
        <f ca="1">IFERROR(__xludf.DUMMYFUNCTION("""COMPUTED_VALUE"""),"युग द्रष्टा पं. श्रीराम शर्मा आचार्यजी")</f>
        <v>युग द्रष्टा पं. श्रीराम शर्मा आचार्यजी</v>
      </c>
      <c r="H928" s="1"/>
      <c r="I928" s="1"/>
      <c r="J928" s="1"/>
      <c r="K928" s="1"/>
      <c r="L928" s="1"/>
      <c r="M928" s="1"/>
      <c r="N928" s="1"/>
      <c r="O928" s="1"/>
      <c r="P928" s="1" t="str">
        <f ca="1">IFERROR(__xludf.DUMMYFUNCTION("""COMPUTED_VALUE"""),"युगॠषी का जीवनदर्शन")</f>
        <v>युगॠषी का जीवनदर्शन</v>
      </c>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f ca="1">IFERROR(__xludf.DUMMYFUNCTION("""COMPUTED_VALUE"""),1)</f>
        <v>1</v>
      </c>
      <c r="BX928" s="1">
        <f ca="1">IFERROR(__xludf.DUMMYFUNCTION("""COMPUTED_VALUE"""),0)</f>
        <v>0</v>
      </c>
      <c r="BY928" s="1">
        <f ca="1">IFERROR(__xludf.DUMMYFUNCTION("""COMPUTED_VALUE"""),1)</f>
        <v>1</v>
      </c>
      <c r="BZ928" s="1">
        <f ca="1">IFERROR(__xludf.DUMMYFUNCTION("""COMPUTED_VALUE"""),0)</f>
        <v>0</v>
      </c>
      <c r="CA928" s="1" t="str">
        <f ca="1">IFERROR(__xludf.DUMMYFUNCTION("""COMPUTED_VALUE"""),"Yes")</f>
        <v>Yes</v>
      </c>
      <c r="CB928" s="5">
        <f ca="1">IFERROR(__xludf.DUMMYFUNCTION("""COMPUTED_VALUE"""),45104.8511206018)</f>
        <v>45104.851120601801</v>
      </c>
      <c r="CC928" s="1" t="str">
        <f ca="1">IFERROR(__xludf.DUMMYFUNCTION("""COMPUTED_VALUE"""),"युग ऋषि की अमर वाणी भाग २ : Rare Book")</f>
        <v>युग ऋषि की अमर वाणी भाग २ : Rare Book</v>
      </c>
      <c r="CD928" s="3" t="str">
        <f ca="1">IFERROR(__xludf.DUMMYFUNCTION("""COMPUTED_VALUE"""),"https://vicharkrantibooks.org/productdetail?book_name=HINP1060_YUG_RUSHI_KI_AMAR_VANI_BHAG_2_xxyyyy&amp;product_id=1625")</f>
        <v>https://vicharkrantibooks.org/productdetail?book_name=HINP1060_YUG_RUSHI_KI_AMAR_VANI_BHAG_2_xxyyyy&amp;product_id=1625</v>
      </c>
      <c r="CE928" s="1" t="str">
        <f ca="1">IFERROR(__xludf.DUMMYFUNCTION("""COMPUTED_VALUE"""),"Audiobook : युग ऋषि की अमर वाणी भाग २ : Rare Book : navnikagupta777@gmail.com : Recorded")</f>
        <v>Audiobook : युग ऋषि की अमर वाणी भाग २ : Rare Book : navnikagupta777@gmail.com : Recorded</v>
      </c>
      <c r="CF928" s="1" t="str">
        <f ca="1">IFERROR(__xludf.DUMMYFUNCTION("""COMPUTED_VALUE"""),"#N/A")</f>
        <v>#N/A</v>
      </c>
      <c r="CG928" s="1" t="str">
        <f ca="1">IFERROR(__xludf.DUMMYFUNCTION("""COMPUTED_VALUE"""),"Adarniya Adhya Gupta  ji युग ऋषि की अमर वाणी भाग २ : Rare Book : Allocated on 17-Jun-23 Contact Number  8181082450")</f>
        <v>Adarniya Adhya Gupta  ji युग ऋषि की अमर वाणी भाग २ : Rare Book : Allocated on 17-Jun-23 Contact Number  8181082450</v>
      </c>
      <c r="CH928" s="1"/>
      <c r="CI928" s="1"/>
    </row>
    <row r="929" spans="1:87" x14ac:dyDescent="0.25">
      <c r="A929" s="5">
        <f ca="1">IFERROR(__xludf.DUMMYFUNCTION("""COMPUTED_VALUE"""),45094.8501634143)</f>
        <v>45094.850163414303</v>
      </c>
      <c r="B929" s="1" t="str">
        <f ca="1">IFERROR(__xludf.DUMMYFUNCTION("""COMPUTED_VALUE"""),"krishnalakshmionlineclass@gmail.com")</f>
        <v>krishnalakshmionlineclass@gmail.com</v>
      </c>
      <c r="C929" s="1" t="str">
        <f ca="1">IFERROR(__xludf.DUMMYFUNCTION("""COMPUTED_VALUE"""),"Krishna Lakshmi ")</f>
        <v xml:space="preserve">Krishna Lakshmi </v>
      </c>
      <c r="D929" s="1">
        <f ca="1">IFERROR(__xludf.DUMMYFUNCTION("""COMPUTED_VALUE"""),9939799858)</f>
        <v>9939799858</v>
      </c>
      <c r="E929" s="1" t="str">
        <f ca="1">IFERROR(__xludf.DUMMYFUNCTION("""COMPUTED_VALUE"""),"No")</f>
        <v>No</v>
      </c>
      <c r="F929" s="1" t="str">
        <f ca="1">IFERROR(__xludf.DUMMYFUNCTION("""COMPUTED_VALUE"""),"हिन्दी or English")</f>
        <v>हिन्दी or English</v>
      </c>
      <c r="G929" s="1" t="str">
        <f ca="1">IFERROR(__xludf.DUMMYFUNCTION("""COMPUTED_VALUE"""),"अध्यात्म, धर्म एवं दर्शन")</f>
        <v>अध्यात्म, धर्म एवं दर्शन</v>
      </c>
      <c r="H929" s="1" t="str">
        <f ca="1">IFERROR(__xludf.DUMMYFUNCTION("""COMPUTED_VALUE"""),"उपासना")</f>
        <v>उपासना</v>
      </c>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f ca="1">IFERROR(__xludf.DUMMYFUNCTION("""COMPUTED_VALUE"""),1)</f>
        <v>1</v>
      </c>
      <c r="BX929" s="1">
        <f ca="1">IFERROR(__xludf.DUMMYFUNCTION("""COMPUTED_VALUE"""),0)</f>
        <v>0</v>
      </c>
      <c r="BY929" s="1">
        <f ca="1">IFERROR(__xludf.DUMMYFUNCTION("""COMPUTED_VALUE"""),1)</f>
        <v>1</v>
      </c>
      <c r="BZ929" s="1">
        <f ca="1">IFERROR(__xludf.DUMMYFUNCTION("""COMPUTED_VALUE"""),0)</f>
        <v>0</v>
      </c>
      <c r="CA929" s="1" t="str">
        <f ca="1">IFERROR(__xludf.DUMMYFUNCTION("""COMPUTED_VALUE"""),"Yes")</f>
        <v>Yes</v>
      </c>
      <c r="CB929" s="5">
        <f ca="1">IFERROR(__xludf.DUMMYFUNCTION("""COMPUTED_VALUE"""),45104.8501634143)</f>
        <v>45104.850163414303</v>
      </c>
      <c r="CC929" s="1" t="str">
        <f ca="1">IFERROR(__xludf.DUMMYFUNCTION("""COMPUTED_VALUE"""),"अवतार का प्रयोजन और स्वरुप : Rare Book")</f>
        <v>अवतार का प्रयोजन और स्वरुप : Rare Book</v>
      </c>
      <c r="CD929" s="3" t="str">
        <f ca="1">IFERROR(__xludf.DUMMYFUNCTION("""COMPUTED_VALUE"""),"https://vicharkrantibooks.org/productdetail?book_name=HINP0116_AVATAR_KA_PRAYOJAN_AUR_SWARUP_xx1981&amp;product_id=681")</f>
        <v>https://vicharkrantibooks.org/productdetail?book_name=HINP0116_AVATAR_KA_PRAYOJAN_AUR_SWARUP_xx1981&amp;product_id=681</v>
      </c>
      <c r="CE929" s="1" t="str">
        <f ca="1">IFERROR(__xludf.DUMMYFUNCTION("""COMPUTED_VALUE"""),"Audiobook : अवतार का प्रयोजन और स्वरुप : Rare Book : krishnalakshmionlineclass@gmail.com : Recorded")</f>
        <v>Audiobook : अवतार का प्रयोजन और स्वरुप : Rare Book : krishnalakshmionlineclass@gmail.com : Recorded</v>
      </c>
      <c r="CF929" s="1" t="str">
        <f ca="1">IFERROR(__xludf.DUMMYFUNCTION("""COMPUTED_VALUE"""),"#N/A")</f>
        <v>#N/A</v>
      </c>
      <c r="CG929" s="1" t="str">
        <f ca="1">IFERROR(__xludf.DUMMYFUNCTION("""COMPUTED_VALUE"""),"Adarniya Krishna Lakshmi  ji अवतार का प्रयोजन और स्वरुप : Rare Book : Allocated on 17-Jun-23 Contact Number  9939799858")</f>
        <v>Adarniya Krishna Lakshmi  ji अवतार का प्रयोजन और स्वरुप : Rare Book : Allocated on 17-Jun-23 Contact Number  9939799858</v>
      </c>
      <c r="CH929" s="1"/>
      <c r="CI929" s="1"/>
    </row>
    <row r="930" spans="1:87" x14ac:dyDescent="0.25">
      <c r="A930" s="5">
        <f ca="1">IFERROR(__xludf.DUMMYFUNCTION("""COMPUTED_VALUE"""),45094.8496442013)</f>
        <v>45094.849644201298</v>
      </c>
      <c r="B930" s="1" t="str">
        <f ca="1">IFERROR(__xludf.DUMMYFUNCTION("""COMPUTED_VALUE"""),"premlata.chandrakar3316@gmail.com")</f>
        <v>premlata.chandrakar3316@gmail.com</v>
      </c>
      <c r="C930" s="1" t="str">
        <f ca="1">IFERROR(__xludf.DUMMYFUNCTION("""COMPUTED_VALUE"""),"Samriddhi chandrakar ")</f>
        <v xml:space="preserve">Samriddhi chandrakar </v>
      </c>
      <c r="D930" s="1">
        <f ca="1">IFERROR(__xludf.DUMMYFUNCTION("""COMPUTED_VALUE"""),9977212155)</f>
        <v>9977212155</v>
      </c>
      <c r="E930" s="1" t="str">
        <f ca="1">IFERROR(__xludf.DUMMYFUNCTION("""COMPUTED_VALUE"""),"No")</f>
        <v>No</v>
      </c>
      <c r="F930" s="1" t="str">
        <f ca="1">IFERROR(__xludf.DUMMYFUNCTION("""COMPUTED_VALUE"""),"हिन्दी")</f>
        <v>हिन्दी</v>
      </c>
      <c r="G930" s="1" t="str">
        <f ca="1">IFERROR(__xludf.DUMMYFUNCTION("""COMPUTED_VALUE"""),"गायत्री परिवार")</f>
        <v>गायत्री परिवार</v>
      </c>
      <c r="H930" s="1"/>
      <c r="I930" s="1"/>
      <c r="J930" s="1" t="str">
        <f ca="1">IFERROR(__xludf.DUMMYFUNCTION("""COMPUTED_VALUE"""),"सृजन शिल्पियों की योजनाबद्ध कार्य पद्धति")</f>
        <v>सृजन शिल्पियों की योजनाबद्ध कार्य पद्धति</v>
      </c>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f ca="1">IFERROR(__xludf.DUMMYFUNCTION("""COMPUTED_VALUE"""),1)</f>
        <v>1</v>
      </c>
      <c r="BX930" s="1">
        <f ca="1">IFERROR(__xludf.DUMMYFUNCTION("""COMPUTED_VALUE"""),0)</f>
        <v>0</v>
      </c>
      <c r="BY930" s="1">
        <f ca="1">IFERROR(__xludf.DUMMYFUNCTION("""COMPUTED_VALUE"""),1)</f>
        <v>1</v>
      </c>
      <c r="BZ930" s="1">
        <f ca="1">IFERROR(__xludf.DUMMYFUNCTION("""COMPUTED_VALUE"""),0)</f>
        <v>0</v>
      </c>
      <c r="CA930" s="1" t="str">
        <f ca="1">IFERROR(__xludf.DUMMYFUNCTION("""COMPUTED_VALUE"""),"Yes")</f>
        <v>Yes</v>
      </c>
      <c r="CB930" s="5">
        <f ca="1">IFERROR(__xludf.DUMMYFUNCTION("""COMPUTED_VALUE"""),45104.8496442013)</f>
        <v>45104.849644201298</v>
      </c>
      <c r="CC930" s="1" t="str">
        <f ca="1">IFERROR(__xludf.DUMMYFUNCTION("""COMPUTED_VALUE"""),"युग निर्माण मिशन के पांच प्रमुख संस्थान : Rare Book")</f>
        <v>युग निर्माण मिशन के पांच प्रमुख संस्थान : Rare Book</v>
      </c>
      <c r="CD930" s="3" t="str">
        <f ca="1">IFERROR(__xludf.DUMMYFUNCTION("""COMPUTED_VALUE"""),"https://vicharkrantibooks.org/productdetail?book_name=HINP1038_YUG_NIRMAN_MISHAN_KE_PANCH_PRAMUKH_SANSTHAN_xxyyyy&amp;product_id=1603")</f>
        <v>https://vicharkrantibooks.org/productdetail?book_name=HINP1038_YUG_NIRMAN_MISHAN_KE_PANCH_PRAMUKH_SANSTHAN_xxyyyy&amp;product_id=1603</v>
      </c>
      <c r="CE930" s="1" t="str">
        <f ca="1">IFERROR(__xludf.DUMMYFUNCTION("""COMPUTED_VALUE"""),"Audiobook : युग निर्माण मिशन के पांच प्रमुख संस्थान : Rare Book : premlata.chandrakar3316@gmail.com : Recorded")</f>
        <v>Audiobook : युग निर्माण मिशन के पांच प्रमुख संस्थान : Rare Book : premlata.chandrakar3316@gmail.com : Recorded</v>
      </c>
      <c r="CF930" s="1" t="str">
        <f ca="1">IFERROR(__xludf.DUMMYFUNCTION("""COMPUTED_VALUE"""),"#N/A")</f>
        <v>#N/A</v>
      </c>
      <c r="CG930" s="1" t="str">
        <f ca="1">IFERROR(__xludf.DUMMYFUNCTION("""COMPUTED_VALUE"""),"Adarniya Samriddhi chandrakar  ji युग निर्माण मिशन के पांच प्रमुख संस्थान : Rare Book : Allocated on 17-Jun-23 Contact Number  9977212155")</f>
        <v>Adarniya Samriddhi chandrakar  ji युग निर्माण मिशन के पांच प्रमुख संस्थान : Rare Book : Allocated on 17-Jun-23 Contact Number  9977212155</v>
      </c>
      <c r="CH930" s="1"/>
      <c r="CI930" s="1"/>
    </row>
    <row r="931" spans="1:87" x14ac:dyDescent="0.25">
      <c r="A931" s="5">
        <f ca="1">IFERROR(__xludf.DUMMYFUNCTION("""COMPUTED_VALUE"""),45094.8414599652)</f>
        <v>45094.841459965202</v>
      </c>
      <c r="B931" s="1" t="str">
        <f ca="1">IFERROR(__xludf.DUMMYFUNCTION("""COMPUTED_VALUE"""),"rekhaburnwal15@gmail.com")</f>
        <v>rekhaburnwal15@gmail.com</v>
      </c>
      <c r="C931" s="1" t="str">
        <f ca="1">IFERROR(__xludf.DUMMYFUNCTION("""COMPUTED_VALUE"""),"Gokul Burnwal")</f>
        <v>Gokul Burnwal</v>
      </c>
      <c r="D931" s="1">
        <f ca="1">IFERROR(__xludf.DUMMYFUNCTION("""COMPUTED_VALUE"""),7501585277)</f>
        <v>7501585277</v>
      </c>
      <c r="E931" s="1" t="str">
        <f ca="1">IFERROR(__xludf.DUMMYFUNCTION("""COMPUTED_VALUE"""),"No")</f>
        <v>No</v>
      </c>
      <c r="F931" s="1" t="str">
        <f ca="1">IFERROR(__xludf.DUMMYFUNCTION("""COMPUTED_VALUE"""),"हिन्दी or English")</f>
        <v>हिन्दी or English</v>
      </c>
      <c r="G931" s="1" t="str">
        <f ca="1">IFERROR(__xludf.DUMMYFUNCTION("""COMPUTED_VALUE"""),"भारतीय संस्कृति")</f>
        <v>भारतीय संस्कृति</v>
      </c>
      <c r="H931" s="1"/>
      <c r="I931" s="1"/>
      <c r="J931" s="1"/>
      <c r="K931" s="1"/>
      <c r="L931" s="1"/>
      <c r="M931" s="1"/>
      <c r="N931" s="1"/>
      <c r="O931" s="1" t="str">
        <f ca="1">IFERROR(__xludf.DUMMYFUNCTION("""COMPUTED_VALUE"""),"भारतीय संस्कृति")</f>
        <v>भारतीय संस्कृति</v>
      </c>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f ca="1">IFERROR(__xludf.DUMMYFUNCTION("""COMPUTED_VALUE"""),1)</f>
        <v>1</v>
      </c>
      <c r="BX931" s="1">
        <f ca="1">IFERROR(__xludf.DUMMYFUNCTION("""COMPUTED_VALUE"""),0)</f>
        <v>0</v>
      </c>
      <c r="BY931" s="1">
        <f ca="1">IFERROR(__xludf.DUMMYFUNCTION("""COMPUTED_VALUE"""),1)</f>
        <v>1</v>
      </c>
      <c r="BZ931" s="1">
        <f ca="1">IFERROR(__xludf.DUMMYFUNCTION("""COMPUTED_VALUE"""),0)</f>
        <v>0</v>
      </c>
      <c r="CA931" s="1" t="str">
        <f ca="1">IFERROR(__xludf.DUMMYFUNCTION("""COMPUTED_VALUE"""),"Yes")</f>
        <v>Yes</v>
      </c>
      <c r="CB931" s="5">
        <f ca="1">IFERROR(__xludf.DUMMYFUNCTION("""COMPUTED_VALUE"""),45104.8414599652)</f>
        <v>45104.841459965202</v>
      </c>
      <c r="CC931" s="1" t="str">
        <f ca="1">IFERROR(__xludf.DUMMYFUNCTION("""COMPUTED_VALUE"""),"गायत्री और यज्ञ : Rare Book")</f>
        <v>गायत्री और यज्ञ : Rare Book</v>
      </c>
      <c r="CD931" s="3" t="str">
        <f ca="1">IFERROR(__xludf.DUMMYFUNCTION("""COMPUTED_VALUE"""),"https://vicharkrantibooks.org/productdetail?book_name=HINP0277_GAYATRI_AUR_YAGY_xxyyyy&amp;product_id=842")</f>
        <v>https://vicharkrantibooks.org/productdetail?book_name=HINP0277_GAYATRI_AUR_YAGY_xxyyyy&amp;product_id=842</v>
      </c>
      <c r="CE931" s="1" t="str">
        <f ca="1">IFERROR(__xludf.DUMMYFUNCTION("""COMPUTED_VALUE"""),"Audiobook : गायत्री और यज्ञ : Rare Book : rekhaburnwal15@gmail.com : Recorded")</f>
        <v>Audiobook : गायत्री और यज्ञ : Rare Book : rekhaburnwal15@gmail.com : Recorded</v>
      </c>
      <c r="CF931" s="1" t="str">
        <f ca="1">IFERROR(__xludf.DUMMYFUNCTION("""COMPUTED_VALUE"""),"#N/A")</f>
        <v>#N/A</v>
      </c>
      <c r="CG931" s="1" t="str">
        <f ca="1">IFERROR(__xludf.DUMMYFUNCTION("""COMPUTED_VALUE"""),"Adarniya Gokul Burnwal ji गायत्री और यज्ञ : Rare Book : Allocated on 17-Jun-23 Contact Number  7501585277")</f>
        <v>Adarniya Gokul Burnwal ji गायत्री और यज्ञ : Rare Book : Allocated on 17-Jun-23 Contact Number  7501585277</v>
      </c>
      <c r="CH931" s="1"/>
      <c r="CI931" s="1"/>
    </row>
    <row r="932" spans="1:87" x14ac:dyDescent="0.25">
      <c r="A932" s="5">
        <f ca="1">IFERROR(__xludf.DUMMYFUNCTION("""COMPUTED_VALUE"""),45094.8352710301)</f>
        <v>45094.835271030097</v>
      </c>
      <c r="B932" s="1" t="str">
        <f ca="1">IFERROR(__xludf.DUMMYFUNCTION("""COMPUTED_VALUE"""),"nvyas6@gmail.com")</f>
        <v>nvyas6@gmail.com</v>
      </c>
      <c r="C932" s="1" t="str">
        <f ca="1">IFERROR(__xludf.DUMMYFUNCTION("""COMPUTED_VALUE"""),"Akshat Purohit ")</f>
        <v xml:space="preserve">Akshat Purohit </v>
      </c>
      <c r="D932" s="1" t="str">
        <f ca="1">IFERROR(__xludf.DUMMYFUNCTION("""COMPUTED_VALUE"""),"08560807035")</f>
        <v>08560807035</v>
      </c>
      <c r="E932" s="1" t="str">
        <f ca="1">IFERROR(__xludf.DUMMYFUNCTION("""COMPUTED_VALUE"""),"Yes")</f>
        <v>Yes</v>
      </c>
      <c r="F932" s="1" t="str">
        <f ca="1">IFERROR(__xludf.DUMMYFUNCTION("""COMPUTED_VALUE"""),"हिन्दी or English")</f>
        <v>हिन्दी or English</v>
      </c>
      <c r="G932" s="1" t="str">
        <f ca="1">IFERROR(__xludf.DUMMYFUNCTION("""COMPUTED_VALUE"""),"English")</f>
        <v>English</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f ca="1">IFERROR(__xludf.DUMMYFUNCTION("""COMPUTED_VALUE"""),2)</f>
        <v>2</v>
      </c>
      <c r="BX932" s="1">
        <f ca="1">IFERROR(__xludf.DUMMYFUNCTION("""COMPUTED_VALUE"""),0)</f>
        <v>0</v>
      </c>
      <c r="BY932" s="1">
        <f ca="1">IFERROR(__xludf.DUMMYFUNCTION("""COMPUTED_VALUE"""),1)</f>
        <v>1</v>
      </c>
      <c r="BZ932" s="1">
        <f ca="1">IFERROR(__xludf.DUMMYFUNCTION("""COMPUTED_VALUE"""),0)</f>
        <v>0</v>
      </c>
      <c r="CA932" s="1" t="str">
        <f ca="1">IFERROR(__xludf.DUMMYFUNCTION("""COMPUTED_VALUE"""),"Yes")</f>
        <v>Yes</v>
      </c>
      <c r="CB932" s="5">
        <f ca="1">IFERROR(__xludf.DUMMYFUNCTION("""COMPUTED_VALUE"""),45104.8352710301)</f>
        <v>45104.835271030097</v>
      </c>
      <c r="CC932" s="1" t="str">
        <f ca="1">IFERROR(__xludf.DUMMYFUNCTION("""COMPUTED_VALUE"""),"In The Angelic Light Of Rishi Thoughts 5 : EP_70_5")</f>
        <v>In The Angelic Light Of Rishi Thoughts 5 : EP_70_5</v>
      </c>
      <c r="CD932" s="3" t="str">
        <f ca="1">IFERROR(__xludf.DUMMYFUNCTION("""COMPUTED_VALUE"""),"https://vicharkrantibooks.org/productdetail?book_name=ENGP0716_IN_THE_ANGELIC_LIGHT_OF_RISHI_THOUGHTS_5_xxyyyy&amp;product_id=3464")</f>
        <v>https://vicharkrantibooks.org/productdetail?book_name=ENGP0716_IN_THE_ANGELIC_LIGHT_OF_RISHI_THOUGHTS_5_xxyyyy&amp;product_id=3464</v>
      </c>
      <c r="CE932" s="1" t="str">
        <f ca="1">IFERROR(__xludf.DUMMYFUNCTION("""COMPUTED_VALUE"""),"Audiobook : In The Angelic Light Of Rishi Thoughts 5 : EP_70_5 : nvyas6@gmail.com : Recorded")</f>
        <v>Audiobook : In The Angelic Light Of Rishi Thoughts 5 : EP_70_5 : nvyas6@gmail.com : Recorded</v>
      </c>
      <c r="CF932" s="1" t="str">
        <f ca="1">IFERROR(__xludf.DUMMYFUNCTION("""COMPUTED_VALUE"""),"#N/A")</f>
        <v>#N/A</v>
      </c>
      <c r="CG932" s="1" t="str">
        <f ca="1">IFERROR(__xludf.DUMMYFUNCTION("""COMPUTED_VALUE"""),"Adarniya Akshat Purohit  ji In The Angelic Light Of Rishi Thoughts 5 : EP_70_5 : Allocated on 17-Jun-23 Contact Number  08560807035")</f>
        <v>Adarniya Akshat Purohit  ji In The Angelic Light Of Rishi Thoughts 5 : EP_70_5 : Allocated on 17-Jun-23 Contact Number  08560807035</v>
      </c>
      <c r="CH932" s="1"/>
      <c r="CI932" s="1"/>
    </row>
    <row r="933" spans="1:87" x14ac:dyDescent="0.25">
      <c r="A933" s="5">
        <f ca="1">IFERROR(__xludf.DUMMYFUNCTION("""COMPUTED_VALUE"""),45094.687667199)</f>
        <v>45094.687667199003</v>
      </c>
      <c r="B933" s="1" t="str">
        <f ca="1">IFERROR(__xludf.DUMMYFUNCTION("""COMPUTED_VALUE"""),"indrajitkumaar@gmail.com")</f>
        <v>indrajitkumaar@gmail.com</v>
      </c>
      <c r="C933" s="1" t="str">
        <f ca="1">IFERROR(__xludf.DUMMYFUNCTION("""COMPUTED_VALUE"""),"Indrajit Kumar ")</f>
        <v xml:space="preserve">Indrajit Kumar </v>
      </c>
      <c r="D933" s="1">
        <f ca="1">IFERROR(__xludf.DUMMYFUNCTION("""COMPUTED_VALUE"""),6307059210)</f>
        <v>6307059210</v>
      </c>
      <c r="E933" s="1" t="str">
        <f ca="1">IFERROR(__xludf.DUMMYFUNCTION("""COMPUTED_VALUE"""),"No")</f>
        <v>No</v>
      </c>
      <c r="F933" s="1" t="str">
        <f ca="1">IFERROR(__xludf.DUMMYFUNCTION("""COMPUTED_VALUE"""),"हिन्दी or English")</f>
        <v>हिन्दी or English</v>
      </c>
      <c r="G933" s="1" t="str">
        <f ca="1">IFERROR(__xludf.DUMMYFUNCTION("""COMPUTED_VALUE"""),"योग ")</f>
        <v xml:space="preserve">योग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f ca="1">IFERROR(__xludf.DUMMYFUNCTION("""COMPUTED_VALUE"""),1)</f>
        <v>1</v>
      </c>
      <c r="BX933" s="1">
        <f ca="1">IFERROR(__xludf.DUMMYFUNCTION("""COMPUTED_VALUE"""),0)</f>
        <v>0</v>
      </c>
      <c r="BY933" s="1">
        <f ca="1">IFERROR(__xludf.DUMMYFUNCTION("""COMPUTED_VALUE"""),1)</f>
        <v>1</v>
      </c>
      <c r="BZ933" s="1">
        <f ca="1">IFERROR(__xludf.DUMMYFUNCTION("""COMPUTED_VALUE"""),0)</f>
        <v>0</v>
      </c>
      <c r="CA933" s="1" t="str">
        <f ca="1">IFERROR(__xludf.DUMMYFUNCTION("""COMPUTED_VALUE"""),"Yes")</f>
        <v>Yes</v>
      </c>
      <c r="CB933" s="5">
        <f ca="1">IFERROR(__xludf.DUMMYFUNCTION("""COMPUTED_VALUE"""),45104.687667199)</f>
        <v>45104.687667199003</v>
      </c>
      <c r="CC933" s="1" t="str">
        <f ca="1">IFERROR(__xludf.DUMMYFUNCTION("""COMPUTED_VALUE"""),"बाहरी योग से अंतर्योग अधिक श्रेयष्कर : H_SA_34")</f>
        <v>बाहरी योग से अंतर्योग अधिक श्रेयष्कर : H_SA_34</v>
      </c>
      <c r="CD933" s="3" t="str">
        <f ca="1">IFERROR(__xludf.DUMMYFUNCTION("""COMPUTED_VALUE"""),"https://vicharkrantibooks.org/productdetail?book_name=HINP0128_BAHARI_YOG_SE_ANTARYOG_ADHIK_SHREYASHAKAR_xxyyyy&amp;product_id=693")</f>
        <v>https://vicharkrantibooks.org/productdetail?book_name=HINP0128_BAHARI_YOG_SE_ANTARYOG_ADHIK_SHREYASHAKAR_xxyyyy&amp;product_id=693</v>
      </c>
      <c r="CE933" s="1" t="str">
        <f ca="1">IFERROR(__xludf.DUMMYFUNCTION("""COMPUTED_VALUE"""),"Audiobook : बाहरी योग से अंतर्योग अधिक श्रेयष्कर : H_SA_34 : indrajitkumaar@gmail.com : Recorded")</f>
        <v>Audiobook : बाहरी योग से अंतर्योग अधिक श्रेयष्कर : H_SA_34 : indrajitkumaar@gmail.com : Recorded</v>
      </c>
      <c r="CF933" s="1" t="str">
        <f ca="1">IFERROR(__xludf.DUMMYFUNCTION("""COMPUTED_VALUE"""),"#N/A")</f>
        <v>#N/A</v>
      </c>
      <c r="CG933" s="1" t="str">
        <f ca="1">IFERROR(__xludf.DUMMYFUNCTION("""COMPUTED_VALUE"""),"Adarniya Indrajit Kumar  ji बाहरी योग से अंतर्योग अधिक श्रेयष्कर : H_SA_34 : Allocated on 17-Jun-23 Contact Number  6307059210")</f>
        <v>Adarniya Indrajit Kumar  ji बाहरी योग से अंतर्योग अधिक श्रेयष्कर : H_SA_34 : Allocated on 17-Jun-23 Contact Number  6307059210</v>
      </c>
      <c r="CH933" s="1"/>
      <c r="CI933" s="1"/>
    </row>
    <row r="934" spans="1:87" x14ac:dyDescent="0.25">
      <c r="A934" s="5">
        <f ca="1">IFERROR(__xludf.DUMMYFUNCTION("""COMPUTED_VALUE"""),45093.8743554513)</f>
        <v>45093.874355451298</v>
      </c>
      <c r="B934" s="1" t="str">
        <f ca="1">IFERROR(__xludf.DUMMYFUNCTION("""COMPUTED_VALUE"""),"anirudhpurohit365@gmail.com")</f>
        <v>anirudhpurohit365@gmail.com</v>
      </c>
      <c r="C934" s="1" t="str">
        <f ca="1">IFERROR(__xludf.DUMMYFUNCTION("""COMPUTED_VALUE"""),"Anirudh Purohit ")</f>
        <v xml:space="preserve">Anirudh Purohit </v>
      </c>
      <c r="D934" s="1" t="str">
        <f ca="1">IFERROR(__xludf.DUMMYFUNCTION("""COMPUTED_VALUE"""),"90240 84451 ")</f>
        <v xml:space="preserve">90240 84451 </v>
      </c>
      <c r="E934" s="1" t="str">
        <f ca="1">IFERROR(__xludf.DUMMYFUNCTION("""COMPUTED_VALUE"""),"Yes")</f>
        <v>Yes</v>
      </c>
      <c r="F934" s="1" t="str">
        <f ca="1">IFERROR(__xludf.DUMMYFUNCTION("""COMPUTED_VALUE"""),"हिन्दी or English")</f>
        <v>हिन्दी or English</v>
      </c>
      <c r="G934" s="1" t="str">
        <f ca="1">IFERROR(__xludf.DUMMYFUNCTION("""COMPUTED_VALUE"""),"गायत्री परिवार")</f>
        <v>गायत्री परिवार</v>
      </c>
      <c r="H934" s="1"/>
      <c r="I934" s="1"/>
      <c r="J934" s="1" t="str">
        <f ca="1">IFERROR(__xludf.DUMMYFUNCTION("""COMPUTED_VALUE"""),"प्रमुख संस्थान, प्रकाशन एवं आंदोलन")</f>
        <v>प्रमुख संस्थान, प्रकाशन एवं आंदोलन</v>
      </c>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f ca="1">IFERROR(__xludf.DUMMYFUNCTION("""COMPUTED_VALUE"""),1)</f>
        <v>1</v>
      </c>
      <c r="BX934" s="1">
        <f ca="1">IFERROR(__xludf.DUMMYFUNCTION("""COMPUTED_VALUE"""),0)</f>
        <v>0</v>
      </c>
      <c r="BY934" s="1">
        <f ca="1">IFERROR(__xludf.DUMMYFUNCTION("""COMPUTED_VALUE"""),1)</f>
        <v>1</v>
      </c>
      <c r="BZ934" s="1">
        <f ca="1">IFERROR(__xludf.DUMMYFUNCTION("""COMPUTED_VALUE"""),0)</f>
        <v>0</v>
      </c>
      <c r="CA934" s="1" t="str">
        <f ca="1">IFERROR(__xludf.DUMMYFUNCTION("""COMPUTED_VALUE"""),"Yes")</f>
        <v>Yes</v>
      </c>
      <c r="CB934" s="5">
        <f ca="1">IFERROR(__xludf.DUMMYFUNCTION("""COMPUTED_VALUE"""),45103.8743554513)</f>
        <v>45103.874355451298</v>
      </c>
      <c r="CC934" s="1" t="str">
        <f ca="1">IFERROR(__xludf.DUMMYFUNCTION("""COMPUTED_VALUE"""),"अपने अंग अवयवों से : H_KD_47")</f>
        <v>अपने अंग अवयवों से : H_KD_47</v>
      </c>
      <c r="CD934" s="3" t="str">
        <f ca="1">IFERROR(__xludf.DUMMYFUNCTION("""COMPUTED_VALUE"""),"https://vicharkrantibooks.org/productdetail?book_name=HINP0059_APANE_ANG_AVAYAVON_SE_Re2015&amp;product_id=624")</f>
        <v>https://vicharkrantibooks.org/productdetail?book_name=HINP0059_APANE_ANG_AVAYAVON_SE_Re2015&amp;product_id=624</v>
      </c>
      <c r="CE934" s="1" t="str">
        <f ca="1">IFERROR(__xludf.DUMMYFUNCTION("""COMPUTED_VALUE"""),"Audiobook : अपने अंग अवयवों से : H_KD_47 : anirudhpurohit365@gmail.com : Recorded")</f>
        <v>Audiobook : अपने अंग अवयवों से : H_KD_47 : anirudhpurohit365@gmail.com : Recorded</v>
      </c>
      <c r="CF934" s="1" t="str">
        <f ca="1">IFERROR(__xludf.DUMMYFUNCTION("""COMPUTED_VALUE"""),"#N/A")</f>
        <v>#N/A</v>
      </c>
      <c r="CG934" s="1" t="str">
        <f ca="1">IFERROR(__xludf.DUMMYFUNCTION("""COMPUTED_VALUE"""),"Adarniya Anirudh Purohit  ji अपने अंग अवयवों से : H_KD_47 : Allocated on 16-Jun-23 Contact Number  90240 84451 ")</f>
        <v xml:space="preserve">Adarniya Anirudh Purohit  ji अपने अंग अवयवों से : H_KD_47 : Allocated on 16-Jun-23 Contact Number  90240 84451 </v>
      </c>
      <c r="CH934" s="1"/>
      <c r="CI934" s="1"/>
    </row>
    <row r="935" spans="1:87" x14ac:dyDescent="0.25">
      <c r="A935" s="5">
        <f ca="1">IFERROR(__xludf.DUMMYFUNCTION("""COMPUTED_VALUE"""),45093.8651815277)</f>
        <v>45093.865181527697</v>
      </c>
      <c r="B935" s="1" t="str">
        <f ca="1">IFERROR(__xludf.DUMMYFUNCTION("""COMPUTED_VALUE"""),"swarnimpandey001@gmail.com")</f>
        <v>swarnimpandey001@gmail.com</v>
      </c>
      <c r="C935" s="1" t="str">
        <f ca="1">IFERROR(__xludf.DUMMYFUNCTION("""COMPUTED_VALUE"""),"Swarnim Pandey")</f>
        <v>Swarnim Pandey</v>
      </c>
      <c r="D935" s="1">
        <f ca="1">IFERROR(__xludf.DUMMYFUNCTION("""COMPUTED_VALUE"""),8292579606)</f>
        <v>8292579606</v>
      </c>
      <c r="E935" s="1" t="str">
        <f ca="1">IFERROR(__xludf.DUMMYFUNCTION("""COMPUTED_VALUE"""),"Yes")</f>
        <v>Yes</v>
      </c>
      <c r="F935" s="1" t="str">
        <f ca="1">IFERROR(__xludf.DUMMYFUNCTION("""COMPUTED_VALUE"""),"हिन्दी or English")</f>
        <v>हिन्दी or English</v>
      </c>
      <c r="G935" s="1" t="str">
        <f ca="1">IFERROR(__xludf.DUMMYFUNCTION("""COMPUTED_VALUE"""),"भारतीय संस्कृति")</f>
        <v>भारतीय संस्कृति</v>
      </c>
      <c r="H935" s="1"/>
      <c r="I935" s="1"/>
      <c r="J935" s="1"/>
      <c r="K935" s="1"/>
      <c r="L935" s="1"/>
      <c r="M935" s="1"/>
      <c r="N935" s="1"/>
      <c r="O935" s="1" t="str">
        <f ca="1">IFERROR(__xludf.DUMMYFUNCTION("""COMPUTED_VALUE"""),"भारतीय संस्कृति")</f>
        <v>भारतीय संस्कृति</v>
      </c>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f ca="1">IFERROR(__xludf.DUMMYFUNCTION("""COMPUTED_VALUE"""),1)</f>
        <v>1</v>
      </c>
      <c r="BX935" s="1">
        <f ca="1">IFERROR(__xludf.DUMMYFUNCTION("""COMPUTED_VALUE"""),0)</f>
        <v>0</v>
      </c>
      <c r="BY935" s="1">
        <f ca="1">IFERROR(__xludf.DUMMYFUNCTION("""COMPUTED_VALUE"""),1)</f>
        <v>1</v>
      </c>
      <c r="BZ935" s="1">
        <f ca="1">IFERROR(__xludf.DUMMYFUNCTION("""COMPUTED_VALUE"""),0)</f>
        <v>0</v>
      </c>
      <c r="CA935" s="1" t="str">
        <f ca="1">IFERROR(__xludf.DUMMYFUNCTION("""COMPUTED_VALUE"""),"Yes")</f>
        <v>Yes</v>
      </c>
      <c r="CB935" s="5">
        <f ca="1">IFERROR(__xludf.DUMMYFUNCTION("""COMPUTED_VALUE"""),45103.8651815277)</f>
        <v>45103.865181527697</v>
      </c>
      <c r="CC935" s="1" t="str">
        <f ca="1">IFERROR(__xludf.DUMMYFUNCTION("""COMPUTED_VALUE"""),"गायत्री साधना की उपलब्धियाँ : H_JS_05")</f>
        <v>गायत्री साधना की उपलब्धियाँ : H_JS_05</v>
      </c>
      <c r="CD935" s="3" t="str">
        <f ca="1">IFERROR(__xludf.DUMMYFUNCTION("""COMPUTED_VALUE"""),"https://vicharkrantibooks.org/productdetail?book_name=HINP0291_GAYATRI_SADHANA_KI_UPALABDHIYAN_xx2011&amp;product_id=856")</f>
        <v>https://vicharkrantibooks.org/productdetail?book_name=HINP0291_GAYATRI_SADHANA_KI_UPALABDHIYAN_xx2011&amp;product_id=856</v>
      </c>
      <c r="CE935" s="1" t="str">
        <f ca="1">IFERROR(__xludf.DUMMYFUNCTION("""COMPUTED_VALUE"""),"Audiobook : गायत्री साधना की उपलब्धियाँ : H_JS_05 : swarnimpandey001@gmail.com : Recorded")</f>
        <v>Audiobook : गायत्री साधना की उपलब्धियाँ : H_JS_05 : swarnimpandey001@gmail.com : Recorded</v>
      </c>
      <c r="CF935" s="1" t="str">
        <f ca="1">IFERROR(__xludf.DUMMYFUNCTION("""COMPUTED_VALUE"""),"#N/A")</f>
        <v>#N/A</v>
      </c>
      <c r="CG935" s="1" t="str">
        <f ca="1">IFERROR(__xludf.DUMMYFUNCTION("""COMPUTED_VALUE"""),"Adarniya Swarnim Pandey ji गायत्री साधना की उपलब्धियाँ : H_JS_05 : Allocated on 16-Jun-23 Contact Number  8292579606")</f>
        <v>Adarniya Swarnim Pandey ji गायत्री साधना की उपलब्धियाँ : H_JS_05 : Allocated on 16-Jun-23 Contact Number  8292579606</v>
      </c>
      <c r="CH935" s="1"/>
      <c r="CI935" s="1"/>
    </row>
    <row r="936" spans="1:87" x14ac:dyDescent="0.25">
      <c r="A936" s="5">
        <f ca="1">IFERROR(__xludf.DUMMYFUNCTION("""COMPUTED_VALUE"""),45093.8613754513)</f>
        <v>45093.861375451299</v>
      </c>
      <c r="B936" s="1" t="str">
        <f ca="1">IFERROR(__xludf.DUMMYFUNCTION("""COMPUTED_VALUE"""),"stud7@ljps2.onmicrosoft.com")</f>
        <v>stud7@ljps2.onmicrosoft.com</v>
      </c>
      <c r="C936" s="1" t="str">
        <f ca="1">IFERROR(__xludf.DUMMYFUNCTION("""COMPUTED_VALUE"""),"Akshaj Saxena")</f>
        <v>Akshaj Saxena</v>
      </c>
      <c r="D936" s="1">
        <f ca="1">IFERROR(__xludf.DUMMYFUNCTION("""COMPUTED_VALUE"""),8383023591)</f>
        <v>8383023591</v>
      </c>
      <c r="E936" s="1" t="str">
        <f ca="1">IFERROR(__xludf.DUMMYFUNCTION("""COMPUTED_VALUE"""),"Yes")</f>
        <v>Yes</v>
      </c>
      <c r="F936" s="1" t="str">
        <f ca="1">IFERROR(__xludf.DUMMYFUNCTION("""COMPUTED_VALUE"""),"हिन्दी or English")</f>
        <v>हिन्दी or English</v>
      </c>
      <c r="G936" s="1" t="str">
        <f ca="1">IFERROR(__xludf.DUMMYFUNCTION("""COMPUTED_VALUE"""),"समग्र स्वास्थ्य")</f>
        <v>समग्र स्वास्थ्य</v>
      </c>
      <c r="H936" s="1"/>
      <c r="I936" s="1"/>
      <c r="J936" s="1"/>
      <c r="K936" s="1"/>
      <c r="L936" s="1"/>
      <c r="M936" s="1"/>
      <c r="N936" s="1"/>
      <c r="O936" s="1"/>
      <c r="P936" s="1"/>
      <c r="Q936" s="1"/>
      <c r="R936" s="1"/>
      <c r="S936" s="1"/>
      <c r="T936" s="1"/>
      <c r="U936" s="1" t="str">
        <f ca="1">IFERROR(__xludf.DUMMYFUNCTION("""COMPUTED_VALUE"""),"आहार-विहार एवं उपवास")</f>
        <v>आहार-विहार एवं उपवास</v>
      </c>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f ca="1">IFERROR(__xludf.DUMMYFUNCTION("""COMPUTED_VALUE"""),1)</f>
        <v>1</v>
      </c>
      <c r="BX936" s="1">
        <f ca="1">IFERROR(__xludf.DUMMYFUNCTION("""COMPUTED_VALUE"""),0)</f>
        <v>0</v>
      </c>
      <c r="BY936" s="1">
        <f ca="1">IFERROR(__xludf.DUMMYFUNCTION("""COMPUTED_VALUE"""),1)</f>
        <v>1</v>
      </c>
      <c r="BZ936" s="1">
        <f ca="1">IFERROR(__xludf.DUMMYFUNCTION("""COMPUTED_VALUE"""),0)</f>
        <v>0</v>
      </c>
      <c r="CA936" s="1" t="str">
        <f ca="1">IFERROR(__xludf.DUMMYFUNCTION("""COMPUTED_VALUE"""),"Yes")</f>
        <v>Yes</v>
      </c>
      <c r="CB936" s="5">
        <f ca="1">IFERROR(__xludf.DUMMYFUNCTION("""COMPUTED_VALUE"""),45103.8613754513)</f>
        <v>45103.861375451299</v>
      </c>
      <c r="CC936" s="1" t="str">
        <f ca="1">IFERROR(__xludf.DUMMYFUNCTION("""COMPUTED_VALUE"""),"अक्षय स्वास्थ्य कैसे पायें : Rare Book")</f>
        <v>अक्षय स्वास्थ्य कैसे पायें : Rare Book</v>
      </c>
      <c r="CD936" s="3" t="str">
        <f ca="1">IFERROR(__xludf.DUMMYFUNCTION("""COMPUTED_VALUE"""),"https://vicharkrantibooks.org/productdetail?book_name=HINP0038_AKSHAY_SWASTHY_KAISE_PAYEN_xx1982&amp;product_id=603")</f>
        <v>https://vicharkrantibooks.org/productdetail?book_name=HINP0038_AKSHAY_SWASTHY_KAISE_PAYEN_xx1982&amp;product_id=603</v>
      </c>
      <c r="CE936" s="1" t="str">
        <f ca="1">IFERROR(__xludf.DUMMYFUNCTION("""COMPUTED_VALUE"""),"Audiobook : अक्षय स्वास्थ्य कैसे पायें : Rare Book : stud7@ljps2.onmicrosoft.com : Recorded")</f>
        <v>Audiobook : अक्षय स्वास्थ्य कैसे पायें : Rare Book : stud7@ljps2.onmicrosoft.com : Recorded</v>
      </c>
      <c r="CF936" s="1" t="str">
        <f ca="1">IFERROR(__xludf.DUMMYFUNCTION("""COMPUTED_VALUE"""),"#N/A")</f>
        <v>#N/A</v>
      </c>
      <c r="CG936" s="1" t="str">
        <f ca="1">IFERROR(__xludf.DUMMYFUNCTION("""COMPUTED_VALUE"""),"Adarniya Akshaj Saxena ji अक्षय स्वास्थ्य कैसे पायें : Rare Book : Allocated on 16-Jun-23 Contact Number  8383023591")</f>
        <v>Adarniya Akshaj Saxena ji अक्षय स्वास्थ्य कैसे पायें : Rare Book : Allocated on 16-Jun-23 Contact Number  8383023591</v>
      </c>
      <c r="CH936" s="1"/>
      <c r="CI936" s="1"/>
    </row>
    <row r="937" spans="1:87" x14ac:dyDescent="0.25">
      <c r="A937" s="5">
        <f ca="1">IFERROR(__xludf.DUMMYFUNCTION("""COMPUTED_VALUE"""),45093.8555379513)</f>
        <v>45093.855537951298</v>
      </c>
      <c r="B937" s="1" t="str">
        <f ca="1">IFERROR(__xludf.DUMMYFUNCTION("""COMPUTED_VALUE"""),"dr.kanchan1212@gmail.com")</f>
        <v>dr.kanchan1212@gmail.com</v>
      </c>
      <c r="C937" s="1" t="str">
        <f ca="1">IFERROR(__xludf.DUMMYFUNCTION("""COMPUTED_VALUE"""),"Samridhi ")</f>
        <v xml:space="preserve">Samridhi </v>
      </c>
      <c r="D937" s="1">
        <f ca="1">IFERROR(__xludf.DUMMYFUNCTION("""COMPUTED_VALUE"""),8851823121)</f>
        <v>8851823121</v>
      </c>
      <c r="E937" s="1" t="str">
        <f ca="1">IFERROR(__xludf.DUMMYFUNCTION("""COMPUTED_VALUE"""),"Yes")</f>
        <v>Yes</v>
      </c>
      <c r="F937" s="1" t="str">
        <f ca="1">IFERROR(__xludf.DUMMYFUNCTION("""COMPUTED_VALUE"""),"हिन्दी or English")</f>
        <v>हिन्दी or English</v>
      </c>
      <c r="G937" s="1" t="str">
        <f ca="1">IFERROR(__xludf.DUMMYFUNCTION("""COMPUTED_VALUE"""),"भारतीय संस्कृति")</f>
        <v>भारतीय संस्कृति</v>
      </c>
      <c r="H937" s="1"/>
      <c r="I937" s="1"/>
      <c r="J937" s="1"/>
      <c r="K937" s="1"/>
      <c r="L937" s="1"/>
      <c r="M937" s="1"/>
      <c r="N937" s="1"/>
      <c r="O937" s="1" t="str">
        <f ca="1">IFERROR(__xludf.DUMMYFUNCTION("""COMPUTED_VALUE"""),"योग एवं ध्यान")</f>
        <v>योग एवं ध्यान</v>
      </c>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f ca="1">IFERROR(__xludf.DUMMYFUNCTION("""COMPUTED_VALUE"""),1)</f>
        <v>1</v>
      </c>
      <c r="BX937" s="1">
        <f ca="1">IFERROR(__xludf.DUMMYFUNCTION("""COMPUTED_VALUE"""),0)</f>
        <v>0</v>
      </c>
      <c r="BY937" s="1">
        <f ca="1">IFERROR(__xludf.DUMMYFUNCTION("""COMPUTED_VALUE"""),1)</f>
        <v>1</v>
      </c>
      <c r="BZ937" s="1">
        <f ca="1">IFERROR(__xludf.DUMMYFUNCTION("""COMPUTED_VALUE"""),0)</f>
        <v>0</v>
      </c>
      <c r="CA937" s="1" t="str">
        <f ca="1">IFERROR(__xludf.DUMMYFUNCTION("""COMPUTED_VALUE"""),"Yes")</f>
        <v>Yes</v>
      </c>
      <c r="CB937" s="5">
        <f ca="1">IFERROR(__xludf.DUMMYFUNCTION("""COMPUTED_VALUE"""),45103.8555379513)</f>
        <v>45103.855537951298</v>
      </c>
      <c r="CC937" s="1" t="str">
        <f ca="1">IFERROR(__xludf.DUMMYFUNCTION("""COMPUTED_VALUE"""),"गायत्री और यज्ञ का दर्शन मानवमात्र के लिए : H_JS_50")</f>
        <v>गायत्री और यज्ञ का दर्शन मानवमात्र के लिए : H_JS_50</v>
      </c>
      <c r="CD937" s="3" t="str">
        <f ca="1">IFERROR(__xludf.DUMMYFUNCTION("""COMPUTED_VALUE"""),"https://vicharkrantibooks.org/productdetail?book_name=HINP0278_GAYATRI_AUR_YAGY_KA_DARSHAN_MANAVAMATR_KE_LIE_xx2011&amp;product_id=843")</f>
        <v>https://vicharkrantibooks.org/productdetail?book_name=HINP0278_GAYATRI_AUR_YAGY_KA_DARSHAN_MANAVAMATR_KE_LIE_xx2011&amp;product_id=843</v>
      </c>
      <c r="CE937" s="1" t="str">
        <f ca="1">IFERROR(__xludf.DUMMYFUNCTION("""COMPUTED_VALUE"""),"Audiobook : गायत्री और यज्ञ का दर्शन मानवमात्र के लिए : H_JS_50 : dr.kanchan1212@gmail.com : Recorded")</f>
        <v>Audiobook : गायत्री और यज्ञ का दर्शन मानवमात्र के लिए : H_JS_50 : dr.kanchan1212@gmail.com : Recorded</v>
      </c>
      <c r="CF937" s="1" t="str">
        <f ca="1">IFERROR(__xludf.DUMMYFUNCTION("""COMPUTED_VALUE"""),"#N/A")</f>
        <v>#N/A</v>
      </c>
      <c r="CG937" s="1" t="str">
        <f ca="1">IFERROR(__xludf.DUMMYFUNCTION("""COMPUTED_VALUE"""),"Adarniya Samridhi  ji गायत्री और यज्ञ का दर्शन मानवमात्र के लिए : H_JS_50 : Allocated on 16-Jun-23 Contact Number  8851823121")</f>
        <v>Adarniya Samridhi  ji गायत्री और यज्ञ का दर्शन मानवमात्र के लिए : H_JS_50 : Allocated on 16-Jun-23 Contact Number  8851823121</v>
      </c>
      <c r="CH937" s="1"/>
      <c r="CI937" s="1"/>
    </row>
    <row r="938" spans="1:87" x14ac:dyDescent="0.25">
      <c r="A938" s="5">
        <f ca="1">IFERROR(__xludf.DUMMYFUNCTION("""COMPUTED_VALUE"""),45093.8504585879)</f>
        <v>45093.850458587898</v>
      </c>
      <c r="B938" s="1" t="str">
        <f ca="1">IFERROR(__xludf.DUMMYFUNCTION("""COMPUTED_VALUE"""),"surabhipriya2810@gmail.com")</f>
        <v>surabhipriya2810@gmail.com</v>
      </c>
      <c r="C938" s="1" t="str">
        <f ca="1">IFERROR(__xludf.DUMMYFUNCTION("""COMPUTED_VALUE"""),"SATVIK SINHA")</f>
        <v>SATVIK SINHA</v>
      </c>
      <c r="D938" s="1">
        <f ca="1">IFERROR(__xludf.DUMMYFUNCTION("""COMPUTED_VALUE"""),8793840699)</f>
        <v>8793840699</v>
      </c>
      <c r="E938" s="1" t="str">
        <f ca="1">IFERROR(__xludf.DUMMYFUNCTION("""COMPUTED_VALUE"""),"Yes")</f>
        <v>Yes</v>
      </c>
      <c r="F938" s="1" t="str">
        <f ca="1">IFERROR(__xludf.DUMMYFUNCTION("""COMPUTED_VALUE"""),"English")</f>
        <v>English</v>
      </c>
      <c r="G938" s="1" t="str">
        <f ca="1">IFERROR(__xludf.DUMMYFUNCTION("""COMPUTED_VALUE"""),"English")</f>
        <v>English</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f ca="1">IFERROR(__xludf.DUMMYFUNCTION("""COMPUTED_VALUE"""),1)</f>
        <v>1</v>
      </c>
      <c r="BX938" s="1">
        <f ca="1">IFERROR(__xludf.DUMMYFUNCTION("""COMPUTED_VALUE"""),0)</f>
        <v>0</v>
      </c>
      <c r="BY938" s="1">
        <f ca="1">IFERROR(__xludf.DUMMYFUNCTION("""COMPUTED_VALUE"""),1)</f>
        <v>1</v>
      </c>
      <c r="BZ938" s="1">
        <f ca="1">IFERROR(__xludf.DUMMYFUNCTION("""COMPUTED_VALUE"""),0)</f>
        <v>0</v>
      </c>
      <c r="CA938" s="1" t="str">
        <f ca="1">IFERROR(__xludf.DUMMYFUNCTION("""COMPUTED_VALUE"""),"Yes")</f>
        <v>Yes</v>
      </c>
      <c r="CB938" s="5">
        <f ca="1">IFERROR(__xludf.DUMMYFUNCTION("""COMPUTED_VALUE"""),45103.8504585879)</f>
        <v>45103.850458587898</v>
      </c>
      <c r="CC938" s="1" t="str">
        <f ca="1">IFERROR(__xludf.DUMMYFUNCTION("""COMPUTED_VALUE"""),"Four Pillars Of Self Developments : EP_98")</f>
        <v>Four Pillars Of Self Developments : EP_98</v>
      </c>
      <c r="CD938" s="3" t="str">
        <f ca="1">IFERROR(__xludf.DUMMYFUNCTION("""COMPUTED_VALUE"""),"https://vicharkrantibooks.org/productdetail?book_name=ENGPE098_FOUR_PILLARS_OF_SELF_DEVELOPMENTS_xxyyyy&amp;product_id=3490")</f>
        <v>https://vicharkrantibooks.org/productdetail?book_name=ENGPE098_FOUR_PILLARS_OF_SELF_DEVELOPMENTS_xxyyyy&amp;product_id=3490</v>
      </c>
      <c r="CE938" s="1" t="str">
        <f ca="1">IFERROR(__xludf.DUMMYFUNCTION("""COMPUTED_VALUE"""),"Audiobook : Four Pillars Of Self Developments : EP_98 : surabhipriya2810@gmail.com : Recorded")</f>
        <v>Audiobook : Four Pillars Of Self Developments : EP_98 : surabhipriya2810@gmail.com : Recorded</v>
      </c>
      <c r="CF938" s="1" t="str">
        <f ca="1">IFERROR(__xludf.DUMMYFUNCTION("""COMPUTED_VALUE"""),"#N/A")</f>
        <v>#N/A</v>
      </c>
      <c r="CG938" s="1" t="str">
        <f ca="1">IFERROR(__xludf.DUMMYFUNCTION("""COMPUTED_VALUE"""),"Adarniya SATVIK SINHA ji Four Pillars Of Self Developments : EP_98 : Allocated on 16-Jun-23 Contact Number  8793840699")</f>
        <v>Adarniya SATVIK SINHA ji Four Pillars Of Self Developments : EP_98 : Allocated on 16-Jun-23 Contact Number  8793840699</v>
      </c>
      <c r="CH938" s="1"/>
      <c r="CI938" s="1"/>
    </row>
    <row r="939" spans="1:87" x14ac:dyDescent="0.25">
      <c r="A939" s="5">
        <f ca="1">IFERROR(__xludf.DUMMYFUNCTION("""COMPUTED_VALUE"""),45093.6374051388)</f>
        <v>45093.637405138797</v>
      </c>
      <c r="B939" s="1" t="str">
        <f ca="1">IFERROR(__xludf.DUMMYFUNCTION("""COMPUTED_VALUE"""),"amrita_dube@yahoo.com")</f>
        <v>amrita_dube@yahoo.com</v>
      </c>
      <c r="C939" s="1" t="str">
        <f ca="1">IFERROR(__xludf.DUMMYFUNCTION("""COMPUTED_VALUE"""),"Amrita")</f>
        <v>Amrita</v>
      </c>
      <c r="D939" s="1"/>
      <c r="E939" s="1" t="str">
        <f ca="1">IFERROR(__xludf.DUMMYFUNCTION("""COMPUTED_VALUE"""),"No")</f>
        <v>No</v>
      </c>
      <c r="F939" s="1" t="str">
        <f ca="1">IFERROR(__xludf.DUMMYFUNCTION("""COMPUTED_VALUE"""),"English")</f>
        <v>English</v>
      </c>
      <c r="G939" s="1" t="str">
        <f ca="1">IFERROR(__xludf.DUMMYFUNCTION("""COMPUTED_VALUE"""),"व्यक्ति निर्माण, युवा/विद्यार्थी एवं शिक्षक")</f>
        <v>व्यक्ति निर्माण, युवा/विद्यार्थी एवं शिक्षक</v>
      </c>
      <c r="H939" s="1"/>
      <c r="I939" s="1"/>
      <c r="J939" s="1"/>
      <c r="K939" s="1"/>
      <c r="L939" s="1"/>
      <c r="M939" s="1"/>
      <c r="N939" s="1"/>
      <c r="O939" s="1"/>
      <c r="P939" s="1"/>
      <c r="Q939" s="1"/>
      <c r="R939" s="1"/>
      <c r="S939" s="1"/>
      <c r="T939" s="1" t="str">
        <f ca="1">IFERROR(__xludf.DUMMYFUNCTION("""COMPUTED_VALUE"""),"युवा जागृति")</f>
        <v>युवा जागृति</v>
      </c>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f ca="1">IFERROR(__xludf.DUMMYFUNCTION("""COMPUTED_VALUE"""),17)</f>
        <v>17</v>
      </c>
      <c r="BX939" s="1">
        <f ca="1">IFERROR(__xludf.DUMMYFUNCTION("""COMPUTED_VALUE"""),14)</f>
        <v>14</v>
      </c>
      <c r="BY939" s="1">
        <f ca="1">IFERROR(__xludf.DUMMYFUNCTION("""COMPUTED_VALUE"""),6)</f>
        <v>6</v>
      </c>
      <c r="BZ939" s="1">
        <f ca="1">IFERROR(__xludf.DUMMYFUNCTION("""COMPUTED_VALUE"""),5)</f>
        <v>5</v>
      </c>
      <c r="CA939" s="1" t="str">
        <f ca="1">IFERROR(__xludf.DUMMYFUNCTION("""COMPUTED_VALUE"""),"Yes")</f>
        <v>Yes</v>
      </c>
      <c r="CB939" s="5">
        <f ca="1">IFERROR(__xludf.DUMMYFUNCTION("""COMPUTED_VALUE"""),45103.6374051388)</f>
        <v>45103.637405138797</v>
      </c>
      <c r="CC939" s="1" t="str">
        <f ca="1">IFERROR(__xludf.DUMMYFUNCTION("""COMPUTED_VALUE"""),"The Only Solution To Our All Problems : EP_15")</f>
        <v>The Only Solution To Our All Problems : EP_15</v>
      </c>
      <c r="CD939" s="3" t="str">
        <f ca="1">IFERROR(__xludf.DUMMYFUNCTION("""COMPUTED_VALUE"""),"http://literature.awgp.org/book/The_only_solutionto_our_all_problems/v1.1")</f>
        <v>http://literature.awgp.org/book/The_only_solutionto_our_all_problems/v1.1</v>
      </c>
      <c r="CE939" s="1" t="str">
        <f ca="1">IFERROR(__xludf.DUMMYFUNCTION("""COMPUTED_VALUE"""),"Audiobook : The Only Solution To Our All Problems : EP_15 : amrita_dube@yahoo.com : Recorded")</f>
        <v>Audiobook : The Only Solution To Our All Problems : EP_15 : amrita_dube@yahoo.com : Recorded</v>
      </c>
      <c r="CF939" s="1" t="str">
        <f ca="1">IFERROR(__xludf.DUMMYFUNCTION("""COMPUTED_VALUE"""),"Audiobook : The Only Solution To Our All Problems : EP_15 : amrita_dube@yahoo.com : Recorded")</f>
        <v>Audiobook : The Only Solution To Our All Problems : EP_15 : amrita_dube@yahoo.com : Recorded</v>
      </c>
      <c r="CG939" s="1" t="str">
        <f ca="1">IFERROR(__xludf.DUMMYFUNCTION("""COMPUTED_VALUE"""),"Adarniya Amrita ji The Only Solution To Our All Problems : EP_15 : Allocated on 16-Jun-23 Contact Number  ")</f>
        <v xml:space="preserve">Adarniya Amrita ji The Only Solution To Our All Problems : EP_15 : Allocated on 16-Jun-23 Contact Number  </v>
      </c>
      <c r="CH939" s="1"/>
      <c r="CI939" s="1"/>
    </row>
    <row r="940" spans="1:87" x14ac:dyDescent="0.25">
      <c r="A940" s="5">
        <f ca="1">IFERROR(__xludf.DUMMYFUNCTION("""COMPUTED_VALUE"""),45092.9137171412)</f>
        <v>45092.9137171412</v>
      </c>
      <c r="B940" s="1" t="str">
        <f ca="1">IFERROR(__xludf.DUMMYFUNCTION("""COMPUTED_VALUE"""),"spmittalmumbai@gmail.com")</f>
        <v>spmittalmumbai@gmail.com</v>
      </c>
      <c r="C940" s="1" t="str">
        <f ca="1">IFERROR(__xludf.DUMMYFUNCTION("""COMPUTED_VALUE"""),"SPMittal")</f>
        <v>SPMittal</v>
      </c>
      <c r="D940" s="1">
        <f ca="1">IFERROR(__xludf.DUMMYFUNCTION("""COMPUTED_VALUE"""),9860003407)</f>
        <v>9860003407</v>
      </c>
      <c r="E940" s="1" t="str">
        <f ca="1">IFERROR(__xludf.DUMMYFUNCTION("""COMPUTED_VALUE"""),"Yes")</f>
        <v>Yes</v>
      </c>
      <c r="F940" s="1" t="str">
        <f ca="1">IFERROR(__xludf.DUMMYFUNCTION("""COMPUTED_VALUE"""),"हिन्दी")</f>
        <v>हिन्दी</v>
      </c>
      <c r="G940" s="1" t="str">
        <f ca="1">IFERROR(__xludf.DUMMYFUNCTION("""COMPUTED_VALUE"""),"समग्र स्वास्थ्य")</f>
        <v>समग्र स्वास्थ्य</v>
      </c>
      <c r="H940" s="1"/>
      <c r="I940" s="1"/>
      <c r="J940" s="1"/>
      <c r="K940" s="1"/>
      <c r="L940" s="1"/>
      <c r="M940" s="1"/>
      <c r="N940" s="1"/>
      <c r="O940" s="1"/>
      <c r="P940" s="1"/>
      <c r="Q940" s="1"/>
      <c r="R940" s="1"/>
      <c r="S940" s="1"/>
      <c r="T940" s="1"/>
      <c r="U940" s="1" t="str">
        <f ca="1">IFERROR(__xludf.DUMMYFUNCTION("""COMPUTED_VALUE"""),"मानसिक स्वास्थ्य")</f>
        <v>मानसिक स्वास्थ्य</v>
      </c>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f ca="1">IFERROR(__xludf.DUMMYFUNCTION("""COMPUTED_VALUE"""),39)</f>
        <v>39</v>
      </c>
      <c r="BX940" s="1">
        <f ca="1">IFERROR(__xludf.DUMMYFUNCTION("""COMPUTED_VALUE"""),32)</f>
        <v>32</v>
      </c>
      <c r="BY940" s="1">
        <f ca="1">IFERROR(__xludf.DUMMYFUNCTION("""COMPUTED_VALUE"""),11)</f>
        <v>11</v>
      </c>
      <c r="BZ940" s="1">
        <f ca="1">IFERROR(__xludf.DUMMYFUNCTION("""COMPUTED_VALUE"""),23)</f>
        <v>23</v>
      </c>
      <c r="CA940" s="1" t="str">
        <f ca="1">IFERROR(__xludf.DUMMYFUNCTION("""COMPUTED_VALUE"""),"Yes")</f>
        <v>Yes</v>
      </c>
      <c r="CB940" s="5">
        <f ca="1">IFERROR(__xludf.DUMMYFUNCTION("""COMPUTED_VALUE"""),45102.9137171412)</f>
        <v>45102.9137171412</v>
      </c>
      <c r="CC940" s="1" t="str">
        <f ca="1">IFERROR(__xludf.DUMMYFUNCTION("""COMPUTED_VALUE"""),"प्राकृतिक जीवन : Rare Book")</f>
        <v>प्राकृतिक जीवन : Rare Book</v>
      </c>
      <c r="CD940" s="3" t="str">
        <f ca="1">IFERROR(__xludf.DUMMYFUNCTION("""COMPUTED_VALUE"""),"https://vicharkrantibooks.org/productdetail?book_name=HINP0660_PRAKRUTIK_JIVAN_xxyyyy&amp;product_id=1225")</f>
        <v>https://vicharkrantibooks.org/productdetail?book_name=HINP0660_PRAKRUTIK_JIVAN_xxyyyy&amp;product_id=1225</v>
      </c>
      <c r="CE940" s="1" t="str">
        <f ca="1">IFERROR(__xludf.DUMMYFUNCTION("""COMPUTED_VALUE"""),"Audiobook : प्राकृतिक जीवन : Rare Book : spmittalmumbai@gmail.com : Recorded")</f>
        <v>Audiobook : प्राकृतिक जीवन : Rare Book : spmittalmumbai@gmail.com : Recorded</v>
      </c>
      <c r="CF940" s="1" t="str">
        <f ca="1">IFERROR(__xludf.DUMMYFUNCTION("""COMPUTED_VALUE"""),"Audiobook : प्राकृतिक जीवन : Rare Book : spmittalmumbai@gmail.com : Recorded")</f>
        <v>Audiobook : प्राकृतिक जीवन : Rare Book : spmittalmumbai@gmail.com : Recorded</v>
      </c>
      <c r="CG940" s="1" t="str">
        <f ca="1">IFERROR(__xludf.DUMMYFUNCTION("""COMPUTED_VALUE"""),"Adarniya SPMittal ji प्राकृतिक जीवन : Rare Book : Allocated on 15-Jun-23 Contact Number  9860003407")</f>
        <v>Adarniya SPMittal ji प्राकृतिक जीवन : Rare Book : Allocated on 15-Jun-23 Contact Number  9860003407</v>
      </c>
      <c r="CH940" s="1"/>
      <c r="CI940" s="1"/>
    </row>
    <row r="941" spans="1:87" x14ac:dyDescent="0.25">
      <c r="A941" s="5">
        <f ca="1">IFERROR(__xludf.DUMMYFUNCTION("""COMPUTED_VALUE"""),45092.6475437037)</f>
        <v>45092.647543703701</v>
      </c>
      <c r="B941" s="1" t="str">
        <f ca="1">IFERROR(__xludf.DUMMYFUNCTION("""COMPUTED_VALUE"""),"divyabhatnagar73@gmail.com")</f>
        <v>divyabhatnagar73@gmail.com</v>
      </c>
      <c r="C941" s="1" t="str">
        <f ca="1">IFERROR(__xludf.DUMMYFUNCTION("""COMPUTED_VALUE"""),"Divya Bhatnagar")</f>
        <v>Divya Bhatnagar</v>
      </c>
      <c r="D941" s="1" t="str">
        <f ca="1">IFERROR(__xludf.DUMMYFUNCTION("""COMPUTED_VALUE"""),"09672806579")</f>
        <v>09672806579</v>
      </c>
      <c r="E941" s="1" t="str">
        <f ca="1">IFERROR(__xludf.DUMMYFUNCTION("""COMPUTED_VALUE"""),"Yes")</f>
        <v>Yes</v>
      </c>
      <c r="F941" s="1" t="str">
        <f ca="1">IFERROR(__xludf.DUMMYFUNCTION("""COMPUTED_VALUE"""),"हिन्दी or English")</f>
        <v>हिन्दी or English</v>
      </c>
      <c r="G941" s="1" t="str">
        <f ca="1">IFERROR(__xludf.DUMMYFUNCTION("""COMPUTED_VALUE"""),"English")</f>
        <v>English</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f ca="1">IFERROR(__xludf.DUMMYFUNCTION("""COMPUTED_VALUE"""),12)</f>
        <v>12</v>
      </c>
      <c r="BX941" s="1">
        <f ca="1">IFERROR(__xludf.DUMMYFUNCTION("""COMPUTED_VALUE"""),6)</f>
        <v>6</v>
      </c>
      <c r="BY941" s="1">
        <f ca="1">IFERROR(__xludf.DUMMYFUNCTION("""COMPUTED_VALUE"""),7)</f>
        <v>7</v>
      </c>
      <c r="BZ941" s="1">
        <f ca="1">IFERROR(__xludf.DUMMYFUNCTION("""COMPUTED_VALUE"""),1)</f>
        <v>1</v>
      </c>
      <c r="CA941" s="1" t="str">
        <f ca="1">IFERROR(__xludf.DUMMYFUNCTION("""COMPUTED_VALUE"""),"Yes")</f>
        <v>Yes</v>
      </c>
      <c r="CB941" s="5">
        <f ca="1">IFERROR(__xludf.DUMMYFUNCTION("""COMPUTED_VALUE"""),45102.6475437037)</f>
        <v>45102.647543703701</v>
      </c>
      <c r="CC941" s="1" t="str">
        <f ca="1">IFERROR(__xludf.DUMMYFUNCTION("""COMPUTED_VALUE"""),"Deep Yagya Yug Yagya Paddhti : EP_02")</f>
        <v>Deep Yagya Yug Yagya Paddhti : EP_02</v>
      </c>
      <c r="CD941" s="3" t="str">
        <f ca="1">IFERROR(__xludf.DUMMYFUNCTION("""COMPUTED_VALUE"""),"http://literature.awgp.org/book/deep_yagya/v1")</f>
        <v>http://literature.awgp.org/book/deep_yagya/v1</v>
      </c>
      <c r="CE941" s="1" t="str">
        <f ca="1">IFERROR(__xludf.DUMMYFUNCTION("""COMPUTED_VALUE"""),"Audiobook : Deep Yagya Yug Yagya Paddhti : EP_02 : divyabhatnagar73@gmail.com : Recorded")</f>
        <v>Audiobook : Deep Yagya Yug Yagya Paddhti : EP_02 : divyabhatnagar73@gmail.com : Recorded</v>
      </c>
      <c r="CF941" s="1" t="str">
        <f ca="1">IFERROR(__xludf.DUMMYFUNCTION("""COMPUTED_VALUE"""),"#N/A")</f>
        <v>#N/A</v>
      </c>
      <c r="CG941" s="1" t="str">
        <f ca="1">IFERROR(__xludf.DUMMYFUNCTION("""COMPUTED_VALUE"""),"Adarniya Divya Bhatnagar ji Deep Yagya Yug Yagya Paddhti : EP_02 : Allocated on 15-Jun-23 Contact Number  09672806579")</f>
        <v>Adarniya Divya Bhatnagar ji Deep Yagya Yug Yagya Paddhti : EP_02 : Allocated on 15-Jun-23 Contact Number  09672806579</v>
      </c>
      <c r="CH941" s="1"/>
      <c r="CI941" s="1"/>
    </row>
    <row r="942" spans="1:87" x14ac:dyDescent="0.25">
      <c r="A942" s="5">
        <f ca="1">IFERROR(__xludf.DUMMYFUNCTION("""COMPUTED_VALUE"""),45091.9711985648)</f>
        <v>45091.971198564803</v>
      </c>
      <c r="B942" s="1" t="str">
        <f ca="1">IFERROR(__xludf.DUMMYFUNCTION("""COMPUTED_VALUE"""),"csprasad108@gmail.com")</f>
        <v>csprasad108@gmail.com</v>
      </c>
      <c r="C942" s="1" t="str">
        <f ca="1">IFERROR(__xludf.DUMMYFUNCTION("""COMPUTED_VALUE"""),"Kumkum prasad")</f>
        <v>Kumkum prasad</v>
      </c>
      <c r="D942" s="1">
        <f ca="1">IFERROR(__xludf.DUMMYFUNCTION("""COMPUTED_VALUE"""),7978055621)</f>
        <v>7978055621</v>
      </c>
      <c r="E942" s="1"/>
      <c r="F942" s="1" t="str">
        <f ca="1">IFERROR(__xludf.DUMMYFUNCTION("""COMPUTED_VALUE"""),"हिन्दी")</f>
        <v>हिन्दी</v>
      </c>
      <c r="G942" s="1" t="str">
        <f ca="1">IFERROR(__xludf.DUMMYFUNCTION("""COMPUTED_VALUE"""),"संस्कार, कर्मकाण्ड, पाठ, पूजा, गीत-संगीत")</f>
        <v>संस्कार, कर्मकाण्ड, पाठ, पूजा, गीत-संगीत</v>
      </c>
      <c r="H942" s="1"/>
      <c r="I942" s="1"/>
      <c r="J942" s="1"/>
      <c r="K942" s="1"/>
      <c r="L942" s="1"/>
      <c r="M942" s="1"/>
      <c r="N942" s="1"/>
      <c r="O942" s="1"/>
      <c r="P942" s="1"/>
      <c r="Q942" s="1"/>
      <c r="R942" s="1"/>
      <c r="S942" s="1"/>
      <c r="T942" s="1"/>
      <c r="U942" s="1"/>
      <c r="V942" s="1"/>
      <c r="W942" s="1" t="str">
        <f ca="1">IFERROR(__xludf.DUMMYFUNCTION("""COMPUTED_VALUE"""),"पाठ, पूजा, चालीसा, प्रार्थना,")</f>
        <v>पाठ, पूजा, चालीसा, प्रार्थना,</v>
      </c>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t="str">
        <f ca="1">IFERROR(__xludf.DUMMYFUNCTION("""COMPUTED_VALUE"""),"गायत्री चालीसा")</f>
        <v>गायत्री चालीसा</v>
      </c>
      <c r="BI942" s="1"/>
      <c r="BJ942" s="1"/>
      <c r="BK942" s="1"/>
      <c r="BL942" s="1"/>
      <c r="BM942" s="1"/>
      <c r="BN942" s="1"/>
      <c r="BO942" s="1"/>
      <c r="BP942" s="1"/>
      <c r="BQ942" s="1"/>
      <c r="BR942" s="1"/>
      <c r="BS942" s="1"/>
      <c r="BT942" s="1"/>
      <c r="BU942" s="1"/>
      <c r="BV942" s="1"/>
      <c r="BW942" s="1">
        <f ca="1">IFERROR(__xludf.DUMMYFUNCTION("""COMPUTED_VALUE"""),52)</f>
        <v>52</v>
      </c>
      <c r="BX942" s="1">
        <f ca="1">IFERROR(__xludf.DUMMYFUNCTION("""COMPUTED_VALUE"""),54)</f>
        <v>54</v>
      </c>
      <c r="BY942" s="1">
        <f ca="1">IFERROR(__xludf.DUMMYFUNCTION("""COMPUTED_VALUE"""),3)</f>
        <v>3</v>
      </c>
      <c r="BZ942" s="1">
        <f ca="1">IFERROR(__xludf.DUMMYFUNCTION("""COMPUTED_VALUE"""),24)</f>
        <v>24</v>
      </c>
      <c r="CA942" s="1" t="str">
        <f ca="1">IFERROR(__xludf.DUMMYFUNCTION("""COMPUTED_VALUE"""),"Yes")</f>
        <v>Yes</v>
      </c>
      <c r="CB942" s="5">
        <f ca="1">IFERROR(__xludf.DUMMYFUNCTION("""COMPUTED_VALUE"""),45101.9711985648)</f>
        <v>45101.971198564803</v>
      </c>
      <c r="CC942" s="1" t="str">
        <f ca="1">IFERROR(__xludf.DUMMYFUNCTION("""COMPUTED_VALUE"""),"उत्कृष्ट विचारों का सतत सानिध्य : H_PP_03")</f>
        <v>उत्कृष्ट विचारों का सतत सानिध्य : H_PP_03</v>
      </c>
      <c r="CD942" s="3" t="str">
        <f ca="1">IFERROR(__xludf.DUMMYFUNCTION("""COMPUTED_VALUE"""),"https://vicharkrantibooks.org/productdetail?book_name=HINP0937_UTKRUSHT_VICHARON_KA_SATAT_SANIDHY_xxyyyy&amp;product_id=1502")</f>
        <v>https://vicharkrantibooks.org/productdetail?book_name=HINP0937_UTKRUSHT_VICHARON_KA_SATAT_SANIDHY_xxyyyy&amp;product_id=1502</v>
      </c>
      <c r="CE942" s="1" t="str">
        <f ca="1">IFERROR(__xludf.DUMMYFUNCTION("""COMPUTED_VALUE"""),"Audiobook : उत्कृष्ट विचारों का सतत सानिध्य : H_PP_03 : csprasad108@gmail.com : Recorded")</f>
        <v>Audiobook : उत्कृष्ट विचारों का सतत सानिध्य : H_PP_03 : csprasad108@gmail.com : Recorded</v>
      </c>
      <c r="CF942" s="1" t="str">
        <f ca="1">IFERROR(__xludf.DUMMYFUNCTION("""COMPUTED_VALUE"""),"Audiobook : उत्कृष्ट विचारों का सतत सानिध्य : H_PP_03 : csprasad108@gmail.com : Recorded")</f>
        <v>Audiobook : उत्कृष्ट विचारों का सतत सानिध्य : H_PP_03 : csprasad108@gmail.com : Recorded</v>
      </c>
      <c r="CG942" s="1" t="str">
        <f ca="1">IFERROR(__xludf.DUMMYFUNCTION("""COMPUTED_VALUE"""),"Adarniya Kumkum prasad ji उत्कृष्ट विचारों का सतत सानिध्य : H_PP_03 : Allocated on 14-Jun-23 Contact Number  7978055621")</f>
        <v>Adarniya Kumkum prasad ji उत्कृष्ट विचारों का सतत सानिध्य : H_PP_03 : Allocated on 14-Jun-23 Contact Number  7978055621</v>
      </c>
      <c r="CH942" s="1"/>
      <c r="CI942" s="1"/>
    </row>
    <row r="943" spans="1:87" x14ac:dyDescent="0.25">
      <c r="A943" s="5">
        <f ca="1">IFERROR(__xludf.DUMMYFUNCTION("""COMPUTED_VALUE"""),45091.8726398032)</f>
        <v>45091.872639803201</v>
      </c>
      <c r="B943" s="1" t="str">
        <f ca="1">IFERROR(__xludf.DUMMYFUNCTION("""COMPUTED_VALUE"""),"druma4107@gmail.com")</f>
        <v>druma4107@gmail.com</v>
      </c>
      <c r="C943" s="1" t="str">
        <f ca="1">IFERROR(__xludf.DUMMYFUNCTION("""COMPUTED_VALUE""")," Dr Uma Agrawal")</f>
        <v xml:space="preserve"> Dr Uma Agrawal</v>
      </c>
      <c r="D943" s="1">
        <f ca="1">IFERROR(__xludf.DUMMYFUNCTION("""COMPUTED_VALUE"""),9410861182)</f>
        <v>9410861182</v>
      </c>
      <c r="E943" s="1" t="str">
        <f ca="1">IFERROR(__xludf.DUMMYFUNCTION("""COMPUTED_VALUE"""),"Yes")</f>
        <v>Yes</v>
      </c>
      <c r="F943" s="1" t="str">
        <f ca="1">IFERROR(__xludf.DUMMYFUNCTION("""COMPUTED_VALUE"""),"हिन्दी")</f>
        <v>हिन्दी</v>
      </c>
      <c r="G943" s="1" t="str">
        <f ca="1">IFERROR(__xludf.DUMMYFUNCTION("""COMPUTED_VALUE"""),"समग्र स्वास्थ्य")</f>
        <v>समग्र स्वास्थ्य</v>
      </c>
      <c r="H943" s="1"/>
      <c r="I943" s="1"/>
      <c r="J943" s="1"/>
      <c r="K943" s="1"/>
      <c r="L943" s="1"/>
      <c r="M943" s="1"/>
      <c r="N943" s="1"/>
      <c r="O943" s="1"/>
      <c r="P943" s="1"/>
      <c r="Q943" s="1"/>
      <c r="R943" s="1"/>
      <c r="S943" s="1"/>
      <c r="T943" s="1"/>
      <c r="U943" s="1" t="str">
        <f ca="1">IFERROR(__xludf.DUMMYFUNCTION("""COMPUTED_VALUE"""),"स्वास्थ्य संवर्धन")</f>
        <v>स्वास्थ्य संवर्धन</v>
      </c>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f ca="1">IFERROR(__xludf.DUMMYFUNCTION("""COMPUTED_VALUE"""),104)</f>
        <v>104</v>
      </c>
      <c r="BX943" s="1">
        <f ca="1">IFERROR(__xludf.DUMMYFUNCTION("""COMPUTED_VALUE"""),106)</f>
        <v>106</v>
      </c>
      <c r="BY943" s="1">
        <f ca="1">IFERROR(__xludf.DUMMYFUNCTION("""COMPUTED_VALUE"""),9)</f>
        <v>9</v>
      </c>
      <c r="BZ943" s="1">
        <f ca="1">IFERROR(__xludf.DUMMYFUNCTION("""COMPUTED_VALUE"""),43)</f>
        <v>43</v>
      </c>
      <c r="CA943" s="1" t="str">
        <f ca="1">IFERROR(__xludf.DUMMYFUNCTION("""COMPUTED_VALUE"""),"Yes")</f>
        <v>Yes</v>
      </c>
      <c r="CB943" s="5">
        <f ca="1">IFERROR(__xludf.DUMMYFUNCTION("""COMPUTED_VALUE"""),45101.8726398032)</f>
        <v>45101.872639803201</v>
      </c>
      <c r="CC943" s="1" t="str">
        <f ca="1">IFERROR(__xludf.DUMMYFUNCTION("""COMPUTED_VALUE"""),"पेट को कब्र मत बनाइये : Rare Book")</f>
        <v>पेट को कब्र मत बनाइये : Rare Book</v>
      </c>
      <c r="CD943" s="3" t="str">
        <f ca="1">IFERROR(__xludf.DUMMYFUNCTION("""COMPUTED_VALUE"""),"https://vicharkrantibooks.org/productdetail?book_name=HINP0645_PET_KO_KABR_MAT_BANAIYE_xx1979&amp;product_id=1210")</f>
        <v>https://vicharkrantibooks.org/productdetail?book_name=HINP0645_PET_KO_KABR_MAT_BANAIYE_xx1979&amp;product_id=1210</v>
      </c>
      <c r="CE943" s="1" t="str">
        <f ca="1">IFERROR(__xludf.DUMMYFUNCTION("""COMPUTED_VALUE"""),"Audiobook : पेट को कब्र मत बनाइये : Rare Book : druma4107@gmail.com : Recorded")</f>
        <v>Audiobook : पेट को कब्र मत बनाइये : Rare Book : druma4107@gmail.com : Recorded</v>
      </c>
      <c r="CF943" s="1" t="str">
        <f ca="1">IFERROR(__xludf.DUMMYFUNCTION("""COMPUTED_VALUE"""),"Audiobook : पेट को कब्र मत बनाइये : Rare Book : druma4107@gmail.com : Recorded")</f>
        <v>Audiobook : पेट को कब्र मत बनाइये : Rare Book : druma4107@gmail.com : Recorded</v>
      </c>
      <c r="CG943" s="1" t="str">
        <f ca="1">IFERROR(__xludf.DUMMYFUNCTION("""COMPUTED_VALUE"""),"Adarniya  Dr Uma Agrawal ji पेट को कब्र मत बनाइये : Rare Book : Allocated on 14-Jun-23 Contact Number  9410861182")</f>
        <v>Adarniya  Dr Uma Agrawal ji पेट को कब्र मत बनाइये : Rare Book : Allocated on 14-Jun-23 Contact Number  9410861182</v>
      </c>
      <c r="CH943" s="1"/>
      <c r="CI943" s="1"/>
    </row>
    <row r="944" spans="1:87" x14ac:dyDescent="0.25">
      <c r="A944" s="5">
        <f ca="1">IFERROR(__xludf.DUMMYFUNCTION("""COMPUTED_VALUE"""),45090.8816521875)</f>
        <v>45090.881652187498</v>
      </c>
      <c r="B944" s="1" t="str">
        <f ca="1">IFERROR(__xludf.DUMMYFUNCTION("""COMPUTED_VALUE"""),"spmittalmumbai@gmail.com")</f>
        <v>spmittalmumbai@gmail.com</v>
      </c>
      <c r="C944" s="1" t="str">
        <f ca="1">IFERROR(__xludf.DUMMYFUNCTION("""COMPUTED_VALUE"""),"S .P .Mittal")</f>
        <v>S .P .Mittal</v>
      </c>
      <c r="D944" s="1">
        <f ca="1">IFERROR(__xludf.DUMMYFUNCTION("""COMPUTED_VALUE"""),9860003407)</f>
        <v>9860003407</v>
      </c>
      <c r="E944" s="1" t="str">
        <f ca="1">IFERROR(__xludf.DUMMYFUNCTION("""COMPUTED_VALUE"""),"Yes")</f>
        <v>Yes</v>
      </c>
      <c r="F944" s="1" t="str">
        <f ca="1">IFERROR(__xludf.DUMMYFUNCTION("""COMPUTED_VALUE"""),"हिन्दी")</f>
        <v>हिन्दी</v>
      </c>
      <c r="G944" s="1" t="str">
        <f ca="1">IFERROR(__xludf.DUMMYFUNCTION("""COMPUTED_VALUE"""),"अध्यात्म, धर्म एवं दर्शन")</f>
        <v>अध्यात्म, धर्म एवं दर्शन</v>
      </c>
      <c r="H944" s="1" t="str">
        <f ca="1">IFERROR(__xludf.DUMMYFUNCTION("""COMPUTED_VALUE"""),"उपासना")</f>
        <v>उपासना</v>
      </c>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f ca="1">IFERROR(__xludf.DUMMYFUNCTION("""COMPUTED_VALUE"""),39)</f>
        <v>39</v>
      </c>
      <c r="BX944" s="1">
        <f ca="1">IFERROR(__xludf.DUMMYFUNCTION("""COMPUTED_VALUE"""),32)</f>
        <v>32</v>
      </c>
      <c r="BY944" s="1">
        <f ca="1">IFERROR(__xludf.DUMMYFUNCTION("""COMPUTED_VALUE"""),11)</f>
        <v>11</v>
      </c>
      <c r="BZ944" s="1">
        <f ca="1">IFERROR(__xludf.DUMMYFUNCTION("""COMPUTED_VALUE"""),23)</f>
        <v>23</v>
      </c>
      <c r="CA944" s="1" t="str">
        <f ca="1">IFERROR(__xludf.DUMMYFUNCTION("""COMPUTED_VALUE"""),"Yes")</f>
        <v>Yes</v>
      </c>
      <c r="CB944" s="5">
        <f ca="1">IFERROR(__xludf.DUMMYFUNCTION("""COMPUTED_VALUE"""),45100.8816521875)</f>
        <v>45100.881652187498</v>
      </c>
      <c r="CC944" s="1" t="str">
        <f ca="1">IFERROR(__xludf.DUMMYFUNCTION("""COMPUTED_VALUE"""),"कर्मफल का भोग अनिवार्य : Rare Book")</f>
        <v>कर्मफल का भोग अनिवार्य : Rare Book</v>
      </c>
      <c r="CD944" s="3" t="str">
        <f ca="1">IFERROR(__xludf.DUMMYFUNCTION("""COMPUTED_VALUE"""),"https://vicharkrantibooks.org/productdetail?book_name=HINP0426_KARMAPHAL_KA_BHOG_ANIVARY_xxyyyy&amp;product_id=991")</f>
        <v>https://vicharkrantibooks.org/productdetail?book_name=HINP0426_KARMAPHAL_KA_BHOG_ANIVARY_xxyyyy&amp;product_id=991</v>
      </c>
      <c r="CE944" s="1" t="str">
        <f ca="1">IFERROR(__xludf.DUMMYFUNCTION("""COMPUTED_VALUE"""),"Audiobook : कर्मफल का भोग अनिवार्य : Rare Book : spmittalmumbai@gmail.com : Recorded")</f>
        <v>Audiobook : कर्मफल का भोग अनिवार्य : Rare Book : spmittalmumbai@gmail.com : Recorded</v>
      </c>
      <c r="CF944" s="1" t="str">
        <f ca="1">IFERROR(__xludf.DUMMYFUNCTION("""COMPUTED_VALUE"""),"#N/A")</f>
        <v>#N/A</v>
      </c>
      <c r="CG944" s="1" t="str">
        <f ca="1">IFERROR(__xludf.DUMMYFUNCTION("""COMPUTED_VALUE"""),"Adarniya S .P .Mittal ji कर्मफल का भोग अनिवार्य : Rare Book : Allocated on 13-Jun-23 Contact Number  9860003407")</f>
        <v>Adarniya S .P .Mittal ji कर्मफल का भोग अनिवार्य : Rare Book : Allocated on 13-Jun-23 Contact Number  9860003407</v>
      </c>
      <c r="CH944" s="1"/>
      <c r="CI944" s="1"/>
    </row>
    <row r="945" spans="1:87" x14ac:dyDescent="0.25">
      <c r="A945" s="5">
        <f ca="1">IFERROR(__xludf.DUMMYFUNCTION("""COMPUTED_VALUE"""),45090.748430243)</f>
        <v>45090.748430243002</v>
      </c>
      <c r="B945" s="1" t="str">
        <f ca="1">IFERROR(__xludf.DUMMYFUNCTION("""COMPUTED_VALUE"""),"naimesh.bhatt@gmail.com")</f>
        <v>naimesh.bhatt@gmail.com</v>
      </c>
      <c r="C945" s="1" t="str">
        <f ca="1">IFERROR(__xludf.DUMMYFUNCTION("""COMPUTED_VALUE"""),"Naimesh Bhatt")</f>
        <v>Naimesh Bhatt</v>
      </c>
      <c r="D945" s="1" t="str">
        <f ca="1">IFERROR(__xludf.DUMMYFUNCTION("""COMPUTED_VALUE"""),"318-243-0316")</f>
        <v>318-243-0316</v>
      </c>
      <c r="E945" s="1" t="str">
        <f ca="1">IFERROR(__xludf.DUMMYFUNCTION("""COMPUTED_VALUE"""),"Yes")</f>
        <v>Yes</v>
      </c>
      <c r="F945" s="1" t="str">
        <f ca="1">IFERROR(__xludf.DUMMYFUNCTION("""COMPUTED_VALUE"""),"English")</f>
        <v>English</v>
      </c>
      <c r="G945" s="1" t="str">
        <f ca="1">IFERROR(__xludf.DUMMYFUNCTION("""COMPUTED_VALUE"""),"English")</f>
        <v>English</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f ca="1">IFERROR(__xludf.DUMMYFUNCTION("""COMPUTED_VALUE"""),2)</f>
        <v>2</v>
      </c>
      <c r="BX945" s="1">
        <f ca="1">IFERROR(__xludf.DUMMYFUNCTION("""COMPUTED_VALUE"""),1)</f>
        <v>1</v>
      </c>
      <c r="BY945" s="1">
        <f ca="1">IFERROR(__xludf.DUMMYFUNCTION("""COMPUTED_VALUE"""),1)</f>
        <v>1</v>
      </c>
      <c r="BZ945" s="1">
        <f ca="1">IFERROR(__xludf.DUMMYFUNCTION("""COMPUTED_VALUE"""),0)</f>
        <v>0</v>
      </c>
      <c r="CA945" s="1" t="str">
        <f ca="1">IFERROR(__xludf.DUMMYFUNCTION("""COMPUTED_VALUE"""),"Yes")</f>
        <v>Yes</v>
      </c>
      <c r="CB945" s="5">
        <f ca="1">IFERROR(__xludf.DUMMYFUNCTION("""COMPUTED_VALUE"""),45100.748430243)</f>
        <v>45100.748430243002</v>
      </c>
      <c r="CC945" s="1" t="str">
        <f ca="1">IFERROR(__xludf.DUMMYFUNCTION("""COMPUTED_VALUE"""),"Revival Of Satyug The Golden Age Towards A Bright Future : EP_01")</f>
        <v>Revival Of Satyug The Golden Age Towards A Bright Future : EP_01</v>
      </c>
      <c r="CD945" s="3" t="str">
        <f ca="1">IFERROR(__xludf.DUMMYFUNCTION("""COMPUTED_VALUE"""),"http://literature.awgp.org/book/The_Revival_of_Satyug_The_Golden_Age/v1")</f>
        <v>http://literature.awgp.org/book/The_Revival_of_Satyug_The_Golden_Age/v1</v>
      </c>
      <c r="CE945" s="1" t="str">
        <f ca="1">IFERROR(__xludf.DUMMYFUNCTION("""COMPUTED_VALUE"""),"Audiobook : Revival Of Satyug The Golden Age Towards A Bright Future : EP_01 : naimesh.bhatt@gmail.com : Recorded")</f>
        <v>Audiobook : Revival Of Satyug The Golden Age Towards A Bright Future : EP_01 : naimesh.bhatt@gmail.com : Recorded</v>
      </c>
      <c r="CF945" s="1" t="str">
        <f ca="1">IFERROR(__xludf.DUMMYFUNCTION("""COMPUTED_VALUE"""),"#N/A")</f>
        <v>#N/A</v>
      </c>
      <c r="CG945" s="1" t="str">
        <f ca="1">IFERROR(__xludf.DUMMYFUNCTION("""COMPUTED_VALUE"""),"Adarniya Naimesh Bhatt ji Revival Of Satyug The Golden Age Towards A Bright Future : EP_01 : Allocated on 13-Jun-23 Contact Number  318-243-0316")</f>
        <v>Adarniya Naimesh Bhatt ji Revival Of Satyug The Golden Age Towards A Bright Future : EP_01 : Allocated on 13-Jun-23 Contact Number  318-243-0316</v>
      </c>
      <c r="CH945" s="1"/>
      <c r="CI945" s="1"/>
    </row>
    <row r="946" spans="1:87" x14ac:dyDescent="0.25">
      <c r="A946" s="5">
        <f ca="1">IFERROR(__xludf.DUMMYFUNCTION("""COMPUTED_VALUE"""),45089.0278736342)</f>
        <v>45089.027873634201</v>
      </c>
      <c r="B946" s="1" t="str">
        <f ca="1">IFERROR(__xludf.DUMMYFUNCTION("""COMPUTED_VALUE"""),"csprasad108@gmail.com")</f>
        <v>csprasad108@gmail.com</v>
      </c>
      <c r="C946" s="1" t="str">
        <f ca="1">IFERROR(__xludf.DUMMYFUNCTION("""COMPUTED_VALUE"""),"Kumkum prasad")</f>
        <v>Kumkum prasad</v>
      </c>
      <c r="D946" s="1">
        <f ca="1">IFERROR(__xludf.DUMMYFUNCTION("""COMPUTED_VALUE"""),7978055621)</f>
        <v>7978055621</v>
      </c>
      <c r="E946" s="1"/>
      <c r="F946" s="1" t="str">
        <f ca="1">IFERROR(__xludf.DUMMYFUNCTION("""COMPUTED_VALUE"""),"हिन्दी")</f>
        <v>हिन्दी</v>
      </c>
      <c r="G946" s="1" t="str">
        <f ca="1">IFERROR(__xludf.DUMMYFUNCTION("""COMPUTED_VALUE"""),"संस्कार, कर्मकाण्ड, पाठ, पूजा, गीत-संगीत")</f>
        <v>संस्कार, कर्मकाण्ड, पाठ, पूजा, गीत-संगीत</v>
      </c>
      <c r="H946" s="1"/>
      <c r="I946" s="1"/>
      <c r="J946" s="1"/>
      <c r="K946" s="1"/>
      <c r="L946" s="1"/>
      <c r="M946" s="1"/>
      <c r="N946" s="1"/>
      <c r="O946" s="1"/>
      <c r="P946" s="1"/>
      <c r="Q946" s="1"/>
      <c r="R946" s="1"/>
      <c r="S946" s="1"/>
      <c r="T946" s="1"/>
      <c r="U946" s="1"/>
      <c r="V946" s="1"/>
      <c r="W946" s="1" t="str">
        <f ca="1">IFERROR(__xludf.DUMMYFUNCTION("""COMPUTED_VALUE"""),"पाठ, पूजा, चालीसा, प्रार्थना,")</f>
        <v>पाठ, पूजा, चालीसा, प्रार्थना,</v>
      </c>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t="str">
        <f ca="1">IFERROR(__xludf.DUMMYFUNCTION("""COMPUTED_VALUE"""),"गायत्री चालीसा")</f>
        <v>गायत्री चालीसा</v>
      </c>
      <c r="BI946" s="1"/>
      <c r="BJ946" s="1"/>
      <c r="BK946" s="1"/>
      <c r="BL946" s="1"/>
      <c r="BM946" s="1"/>
      <c r="BN946" s="1"/>
      <c r="BO946" s="1"/>
      <c r="BP946" s="1"/>
      <c r="BQ946" s="1"/>
      <c r="BR946" s="1"/>
      <c r="BS946" s="1"/>
      <c r="BT946" s="1"/>
      <c r="BU946" s="1"/>
      <c r="BV946" s="1"/>
      <c r="BW946" s="1">
        <f ca="1">IFERROR(__xludf.DUMMYFUNCTION("""COMPUTED_VALUE"""),52)</f>
        <v>52</v>
      </c>
      <c r="BX946" s="1">
        <f ca="1">IFERROR(__xludf.DUMMYFUNCTION("""COMPUTED_VALUE"""),54)</f>
        <v>54</v>
      </c>
      <c r="BY946" s="1">
        <f ca="1">IFERROR(__xludf.DUMMYFUNCTION("""COMPUTED_VALUE"""),3)</f>
        <v>3</v>
      </c>
      <c r="BZ946" s="1">
        <f ca="1">IFERROR(__xludf.DUMMYFUNCTION("""COMPUTED_VALUE"""),24)</f>
        <v>24</v>
      </c>
      <c r="CA946" s="1" t="str">
        <f ca="1">IFERROR(__xludf.DUMMYFUNCTION("""COMPUTED_VALUE"""),"Yes")</f>
        <v>Yes</v>
      </c>
      <c r="CB946" s="5">
        <f ca="1">IFERROR(__xludf.DUMMYFUNCTION("""COMPUTED_VALUE"""),45099.0278736342)</f>
        <v>45099.027873634201</v>
      </c>
      <c r="CC946" s="1" t="str">
        <f ca="1">IFERROR(__xludf.DUMMYFUNCTION("""COMPUTED_VALUE"""),"आओ गढें संस्कारवान पीढी (छोटी) : H_YS_48")</f>
        <v>आओ गढें संस्कारवान पीढी (छोटी) : H_YS_48</v>
      </c>
      <c r="CD946" s="3" t="str">
        <f ca="1">IFERROR(__xludf.DUMMYFUNCTION("""COMPUTED_VALUE"""),"https://vicharkrantibooks.org/productdetail?book_name=HINP0001_AAO_GADHEN_SANSKARAVAN_PIDHI_(SMALL)_Re2016&amp;product_id=566")</f>
        <v>https://vicharkrantibooks.org/productdetail?book_name=HINP0001_AAO_GADHEN_SANSKARAVAN_PIDHI_(SMALL)_Re2016&amp;product_id=566</v>
      </c>
      <c r="CE946" s="1" t="str">
        <f ca="1">IFERROR(__xludf.DUMMYFUNCTION("""COMPUTED_VALUE"""),"Audiobook : आओ गढें संस्कारवान पीढी (छोटी) : H_YS_48 : csprasad108@gmail.com : Recorded")</f>
        <v>Audiobook : आओ गढें संस्कारवान पीढी (छोटी) : H_YS_48 : csprasad108@gmail.com : Recorded</v>
      </c>
      <c r="CF946" s="1" t="str">
        <f ca="1">IFERROR(__xludf.DUMMYFUNCTION("""COMPUTED_VALUE"""),"Audiobook : आओ गढें संस्कारवान पीढी (छोटी) : H_YS_48 : csprasad108@gmail.com : Recorded")</f>
        <v>Audiobook : आओ गढें संस्कारवान पीढी (छोटी) : H_YS_48 : csprasad108@gmail.com : Recorded</v>
      </c>
      <c r="CG946" s="1" t="str">
        <f ca="1">IFERROR(__xludf.DUMMYFUNCTION("""COMPUTED_VALUE"""),"Adarniya Kumkum prasad ji आओ गढें संस्कारवान पीढी (छोटी) : H_YS_48 : Allocated on 12-Jun-23 Contact Number  7978055621")</f>
        <v>Adarniya Kumkum prasad ji आओ गढें संस्कारवान पीढी (छोटी) : H_YS_48 : Allocated on 12-Jun-23 Contact Number  7978055621</v>
      </c>
      <c r="CH946" s="1"/>
      <c r="CI946" s="1"/>
    </row>
    <row r="947" spans="1:87" x14ac:dyDescent="0.25">
      <c r="A947" s="5">
        <f ca="1">IFERROR(__xludf.DUMMYFUNCTION("""COMPUTED_VALUE"""),45088.4195999537)</f>
        <v>45088.419599953697</v>
      </c>
      <c r="B947" s="1" t="str">
        <f ca="1">IFERROR(__xludf.DUMMYFUNCTION("""COMPUTED_VALUE"""),"rajniverma24.vns@gmail.com")</f>
        <v>rajniverma24.vns@gmail.com</v>
      </c>
      <c r="C947" s="1" t="str">
        <f ca="1">IFERROR(__xludf.DUMMYFUNCTION("""COMPUTED_VALUE"""),"Rajni varma")</f>
        <v>Rajni varma</v>
      </c>
      <c r="D947" s="1">
        <f ca="1">IFERROR(__xludf.DUMMYFUNCTION("""COMPUTED_VALUE"""),9335661433)</f>
        <v>9335661433</v>
      </c>
      <c r="E947" s="1" t="str">
        <f ca="1">IFERROR(__xludf.DUMMYFUNCTION("""COMPUTED_VALUE"""),"Yes")</f>
        <v>Yes</v>
      </c>
      <c r="F947" s="1" t="str">
        <f ca="1">IFERROR(__xludf.DUMMYFUNCTION("""COMPUTED_VALUE"""),"हिन्दी")</f>
        <v>हिन्दी</v>
      </c>
      <c r="G947" s="1" t="str">
        <f ca="1">IFERROR(__xludf.DUMMYFUNCTION("""COMPUTED_VALUE"""),"परिवार निर्माण")</f>
        <v>परिवार निर्माण</v>
      </c>
      <c r="H947" s="1"/>
      <c r="I947" s="1"/>
      <c r="J947" s="1"/>
      <c r="K947" s="1"/>
      <c r="L947" s="1"/>
      <c r="M947" s="1" t="str">
        <f ca="1">IFERROR(__xludf.DUMMYFUNCTION("""COMPUTED_VALUE"""),"परिवार")</f>
        <v>परिवार</v>
      </c>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f ca="1">IFERROR(__xludf.DUMMYFUNCTION("""COMPUTED_VALUE"""),9)</f>
        <v>9</v>
      </c>
      <c r="BX947" s="1">
        <f ca="1">IFERROR(__xludf.DUMMYFUNCTION("""COMPUTED_VALUE"""),6)</f>
        <v>6</v>
      </c>
      <c r="BY947" s="1">
        <f ca="1">IFERROR(__xludf.DUMMYFUNCTION("""COMPUTED_VALUE"""),3)</f>
        <v>3</v>
      </c>
      <c r="BZ947" s="1">
        <f ca="1">IFERROR(__xludf.DUMMYFUNCTION("""COMPUTED_VALUE"""),1)</f>
        <v>1</v>
      </c>
      <c r="CA947" s="1" t="str">
        <f ca="1">IFERROR(__xludf.DUMMYFUNCTION("""COMPUTED_VALUE"""),"Yes")</f>
        <v>Yes</v>
      </c>
      <c r="CB947" s="5">
        <f ca="1">IFERROR(__xludf.DUMMYFUNCTION("""COMPUTED_VALUE"""),45098.4195999537)</f>
        <v>45098.419599953697</v>
      </c>
      <c r="CC947" s="1" t="str">
        <f ca="1">IFERROR(__xludf.DUMMYFUNCTION("""COMPUTED_VALUE"""),"परिष्कृत आस्थाएँ ही अक्षय स्वास्थ्य का उद़्गम केन्द्र : Rare Book")</f>
        <v>परिष्कृत आस्थाएँ ही अक्षय स्वास्थ्य का उद़्गम केन्द्र : Rare Book</v>
      </c>
      <c r="CD947" s="3" t="str">
        <f ca="1">IFERROR(__xludf.DUMMYFUNCTION("""COMPUTED_VALUE"""),"https://vicharkrantibooks.org/productdetail?book_name=HINP0624_PARISHKRUT_ASTHAEN_HI_AKSHAY_SWASTHY_KA_UDAGAM_KENDR_xx1982&amp;product_id=1189")</f>
        <v>https://vicharkrantibooks.org/productdetail?book_name=HINP0624_PARISHKRUT_ASTHAEN_HI_AKSHAY_SWASTHY_KA_UDAGAM_KENDR_xx1982&amp;product_id=1189</v>
      </c>
      <c r="CE947" s="1" t="str">
        <f ca="1">IFERROR(__xludf.DUMMYFUNCTION("""COMPUTED_VALUE"""),"Audiobook : परिष्कृत आस्थाएँ ही अक्षय स्वास्थ्य का उद़्गम केन्द्र : Rare Book : rajniverma24.vns@gmail.com : Recorded")</f>
        <v>Audiobook : परिष्कृत आस्थाएँ ही अक्षय स्वास्थ्य का उद़्गम केन्द्र : Rare Book : rajniverma24.vns@gmail.com : Recorded</v>
      </c>
      <c r="CF947" s="1" t="str">
        <f ca="1">IFERROR(__xludf.DUMMYFUNCTION("""COMPUTED_VALUE"""),"#N/A")</f>
        <v>#N/A</v>
      </c>
      <c r="CG947" s="1" t="str">
        <f ca="1">IFERROR(__xludf.DUMMYFUNCTION("""COMPUTED_VALUE"""),"Adarniya Rajni varma ji परिष्कृत आस्थाएँ ही अक्षय स्वास्थ्य का उद़्गम केन्द्र : Rare Book : Allocated on 11-Jun-23 Contact Number  9335661433")</f>
        <v>Adarniya Rajni varma ji परिष्कृत आस्थाएँ ही अक्षय स्वास्थ्य का उद़्गम केन्द्र : Rare Book : Allocated on 11-Jun-23 Contact Number  9335661433</v>
      </c>
      <c r="CH947" s="1"/>
      <c r="CI947" s="1"/>
    </row>
    <row r="948" spans="1:87" x14ac:dyDescent="0.25">
      <c r="A948" s="5">
        <f ca="1">IFERROR(__xludf.DUMMYFUNCTION("""COMPUTED_VALUE"""),45087.9359176041)</f>
        <v>45087.935917604103</v>
      </c>
      <c r="B948" s="1" t="str">
        <f ca="1">IFERROR(__xludf.DUMMYFUNCTION("""COMPUTED_VALUE"""),"nksaxena.yoga@gmail.com")</f>
        <v>nksaxena.yoga@gmail.com</v>
      </c>
      <c r="C948" s="1" t="str">
        <f ca="1">IFERROR(__xludf.DUMMYFUNCTION("""COMPUTED_VALUE"""),"Narendra Kumar Saxena ")</f>
        <v xml:space="preserve">Narendra Kumar Saxena </v>
      </c>
      <c r="D948" s="1">
        <f ca="1">IFERROR(__xludf.DUMMYFUNCTION("""COMPUTED_VALUE"""),8826499188)</f>
        <v>8826499188</v>
      </c>
      <c r="E948" s="1" t="str">
        <f ca="1">IFERROR(__xludf.DUMMYFUNCTION("""COMPUTED_VALUE"""),"Yes")</f>
        <v>Yes</v>
      </c>
      <c r="F948" s="1" t="str">
        <f ca="1">IFERROR(__xludf.DUMMYFUNCTION("""COMPUTED_VALUE"""),"हिन्दी")</f>
        <v>हिन्दी</v>
      </c>
      <c r="G948" s="1" t="str">
        <f ca="1">IFERROR(__xludf.DUMMYFUNCTION("""COMPUTED_VALUE"""),"समग्र स्वास्थ्य")</f>
        <v>समग्र स्वास्थ्य</v>
      </c>
      <c r="H948" s="1"/>
      <c r="I948" s="1"/>
      <c r="J948" s="1"/>
      <c r="K948" s="1"/>
      <c r="L948" s="1"/>
      <c r="M948" s="1"/>
      <c r="N948" s="1"/>
      <c r="O948" s="1"/>
      <c r="P948" s="1"/>
      <c r="Q948" s="1"/>
      <c r="R948" s="1"/>
      <c r="S948" s="1"/>
      <c r="T948" s="1"/>
      <c r="U948" s="1" t="str">
        <f ca="1">IFERROR(__xludf.DUMMYFUNCTION("""COMPUTED_VALUE"""),"आहार-विहार एवं उपवास")</f>
        <v>आहार-विहार एवं उपवास</v>
      </c>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f ca="1">IFERROR(__xludf.DUMMYFUNCTION("""COMPUTED_VALUE"""),29)</f>
        <v>29</v>
      </c>
      <c r="BX948" s="1">
        <f ca="1">IFERROR(__xludf.DUMMYFUNCTION("""COMPUTED_VALUE"""),30)</f>
        <v>30</v>
      </c>
      <c r="BY948" s="1">
        <f ca="1">IFERROR(__xludf.DUMMYFUNCTION("""COMPUTED_VALUE"""),3)</f>
        <v>3</v>
      </c>
      <c r="BZ948" s="1">
        <f ca="1">IFERROR(__xludf.DUMMYFUNCTION("""COMPUTED_VALUE"""),25)</f>
        <v>25</v>
      </c>
      <c r="CA948" s="1" t="str">
        <f ca="1">IFERROR(__xludf.DUMMYFUNCTION("""COMPUTED_VALUE"""),"Yes")</f>
        <v>Yes</v>
      </c>
      <c r="CB948" s="5">
        <f ca="1">IFERROR(__xludf.DUMMYFUNCTION("""COMPUTED_VALUE"""),45097.9359176041)</f>
        <v>45097.935917604103</v>
      </c>
      <c r="CC948" s="1" t="str">
        <f ca="1">IFERROR(__xludf.DUMMYFUNCTION("""COMPUTED_VALUE"""),"पंच तत्वों का समन्वय हमारा शरीर : Rare Book")</f>
        <v>पंच तत्वों का समन्वय हमारा शरीर : Rare Book</v>
      </c>
      <c r="CD948" s="3" t="str">
        <f ca="1">IFERROR(__xludf.DUMMYFUNCTION("""COMPUTED_VALUE"""),"https://vicharkrantibooks.org/productdetail?book_name=HINP0614_PANCH_TATVON_KA_SAMANVAY_HAMARA_SHARIR_xxyyyy&amp;product_id=1179")</f>
        <v>https://vicharkrantibooks.org/productdetail?book_name=HINP0614_PANCH_TATVON_KA_SAMANVAY_HAMARA_SHARIR_xxyyyy&amp;product_id=1179</v>
      </c>
      <c r="CE948" s="1" t="str">
        <f ca="1">IFERROR(__xludf.DUMMYFUNCTION("""COMPUTED_VALUE"""),"Audiobook : पंच तत्वों का समन्वय हमारा शरीर : Rare Book : nksaxena.yoga@gmail.com : Recorded")</f>
        <v>Audiobook : पंच तत्वों का समन्वय हमारा शरीर : Rare Book : nksaxena.yoga@gmail.com : Recorded</v>
      </c>
      <c r="CF948" s="1" t="str">
        <f ca="1">IFERROR(__xludf.DUMMYFUNCTION("""COMPUTED_VALUE"""),"Audiobook : पंच तत्वों का समन्वय हमारा शरीर : Rare Book : nksaxena.yoga@gmail.com : Recorded")</f>
        <v>Audiobook : पंच तत्वों का समन्वय हमारा शरीर : Rare Book : nksaxena.yoga@gmail.com : Recorded</v>
      </c>
      <c r="CG948" s="1" t="str">
        <f ca="1">IFERROR(__xludf.DUMMYFUNCTION("""COMPUTED_VALUE"""),"Adarniya Narendra Kumar Saxena  ji पंच तत्वों का समन्वय हमारा शरीर : Rare Book : Allocated on 10-Jun-23 Contact Number  8826499188")</f>
        <v>Adarniya Narendra Kumar Saxena  ji पंच तत्वों का समन्वय हमारा शरीर : Rare Book : Allocated on 10-Jun-23 Contact Number  8826499188</v>
      </c>
      <c r="CH948" s="1"/>
      <c r="CI948" s="1"/>
    </row>
    <row r="949" spans="1:87" x14ac:dyDescent="0.25">
      <c r="A949" s="5">
        <f ca="1">IFERROR(__xludf.DUMMYFUNCTION("""COMPUTED_VALUE"""),45087.729354456)</f>
        <v>45087.729354456002</v>
      </c>
      <c r="B949" s="1" t="str">
        <f ca="1">IFERROR(__xludf.DUMMYFUNCTION("""COMPUTED_VALUE"""),"druma4107@gmail.com")</f>
        <v>druma4107@gmail.com</v>
      </c>
      <c r="C949" s="1" t="str">
        <f ca="1">IFERROR(__xludf.DUMMYFUNCTION("""COMPUTED_VALUE"""),"Dr Uma Agrawal")</f>
        <v>Dr Uma Agrawal</v>
      </c>
      <c r="D949" s="1">
        <f ca="1">IFERROR(__xludf.DUMMYFUNCTION("""COMPUTED_VALUE"""),9410861182)</f>
        <v>9410861182</v>
      </c>
      <c r="E949" s="1" t="str">
        <f ca="1">IFERROR(__xludf.DUMMYFUNCTION("""COMPUTED_VALUE"""),"Yes")</f>
        <v>Yes</v>
      </c>
      <c r="F949" s="1" t="str">
        <f ca="1">IFERROR(__xludf.DUMMYFUNCTION("""COMPUTED_VALUE"""),"हिन्दी")</f>
        <v>हिन्दी</v>
      </c>
      <c r="G949" s="1" t="str">
        <f ca="1">IFERROR(__xludf.DUMMYFUNCTION("""COMPUTED_VALUE"""),"समग्र स्वास्थ्य")</f>
        <v>समग्र स्वास्थ्य</v>
      </c>
      <c r="H949" s="1"/>
      <c r="I949" s="1"/>
      <c r="J949" s="1"/>
      <c r="K949" s="1"/>
      <c r="L949" s="1"/>
      <c r="M949" s="1"/>
      <c r="N949" s="1"/>
      <c r="O949" s="1"/>
      <c r="P949" s="1"/>
      <c r="Q949" s="1"/>
      <c r="R949" s="1"/>
      <c r="S949" s="1"/>
      <c r="T949" s="1"/>
      <c r="U949" s="1" t="str">
        <f ca="1">IFERROR(__xludf.DUMMYFUNCTION("""COMPUTED_VALUE"""),"स्वास्थ्य संवर्धन")</f>
        <v>स्वास्थ्य संवर्धन</v>
      </c>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f ca="1">IFERROR(__xludf.DUMMYFUNCTION("""COMPUTED_VALUE"""),104)</f>
        <v>104</v>
      </c>
      <c r="BX949" s="1">
        <f ca="1">IFERROR(__xludf.DUMMYFUNCTION("""COMPUTED_VALUE"""),106)</f>
        <v>106</v>
      </c>
      <c r="BY949" s="1">
        <f ca="1">IFERROR(__xludf.DUMMYFUNCTION("""COMPUTED_VALUE"""),9)</f>
        <v>9</v>
      </c>
      <c r="BZ949" s="1">
        <f ca="1">IFERROR(__xludf.DUMMYFUNCTION("""COMPUTED_VALUE"""),43)</f>
        <v>43</v>
      </c>
      <c r="CA949" s="1" t="str">
        <f ca="1">IFERROR(__xludf.DUMMYFUNCTION("""COMPUTED_VALUE"""),"Yes")</f>
        <v>Yes</v>
      </c>
      <c r="CB949" s="5">
        <f ca="1">IFERROR(__xludf.DUMMYFUNCTION("""COMPUTED_VALUE"""),45097.729354456)</f>
        <v>45097.729354456002</v>
      </c>
      <c r="CC949" s="1" t="str">
        <f ca="1">IFERROR(__xludf.DUMMYFUNCTION("""COMPUTED_VALUE"""),"अंतरिक्ष विज्ञान एवं युग प्रत्यावर्तन : Rare Book")</f>
        <v>अंतरिक्ष विज्ञान एवं युग प्रत्यावर्तन : Rare Book</v>
      </c>
      <c r="CD949" s="3" t="str">
        <f ca="1">IFERROR(__xludf.DUMMYFUNCTION("""COMPUTED_VALUE"""),"https://vicharkrantibooks.org/productdetail?book_name=HINP0051_ANTARIKSH_VIGYAN_EVAM_YUG_PRATYAVARTAN_xx1981&amp;product_id=616")</f>
        <v>https://vicharkrantibooks.org/productdetail?book_name=HINP0051_ANTARIKSH_VIGYAN_EVAM_YUG_PRATYAVARTAN_xx1981&amp;product_id=616</v>
      </c>
      <c r="CE949" s="1" t="str">
        <f ca="1">IFERROR(__xludf.DUMMYFUNCTION("""COMPUTED_VALUE"""),"Audiobook : अंतरिक्ष विज्ञान एवं युग प्रत्यावर्तन : Rare Book : druma4107@gmail.com : Recorded")</f>
        <v>Audiobook : अंतरिक्ष विज्ञान एवं युग प्रत्यावर्तन : Rare Book : druma4107@gmail.com : Recorded</v>
      </c>
      <c r="CF949" s="1" t="str">
        <f ca="1">IFERROR(__xludf.DUMMYFUNCTION("""COMPUTED_VALUE"""),"Audiobook : अंतरिक्ष विज्ञान एवं युग प्रत्यावर्तन : Rare Book : druma4107@gmail.com : Recorded")</f>
        <v>Audiobook : अंतरिक्ष विज्ञान एवं युग प्रत्यावर्तन : Rare Book : druma4107@gmail.com : Recorded</v>
      </c>
      <c r="CG949" s="1" t="str">
        <f ca="1">IFERROR(__xludf.DUMMYFUNCTION("""COMPUTED_VALUE"""),"Adarniya Dr Uma Agrawal ji अंतरिक्ष विज्ञान एवं युग प्रत्यावर्तन : Rare Book : Allocated on 10-Jun-23 Contact Number  9410861182")</f>
        <v>Adarniya Dr Uma Agrawal ji अंतरिक्ष विज्ञान एवं युग प्रत्यावर्तन : Rare Book : Allocated on 10-Jun-23 Contact Number  9410861182</v>
      </c>
      <c r="CH949" s="1"/>
      <c r="CI949" s="1"/>
    </row>
    <row r="950" spans="1:87" x14ac:dyDescent="0.25">
      <c r="A950" s="5">
        <f ca="1">IFERROR(__xludf.DUMMYFUNCTION("""COMPUTED_VALUE"""),45087.7099249074)</f>
        <v>45087.709924907402</v>
      </c>
      <c r="B950" s="1" t="str">
        <f ca="1">IFERROR(__xludf.DUMMYFUNCTION("""COMPUTED_VALUE"""),"dr.kiranahujakhubani@gmail.com")</f>
        <v>dr.kiranahujakhubani@gmail.com</v>
      </c>
      <c r="C950" s="1" t="str">
        <f ca="1">IFERROR(__xludf.DUMMYFUNCTION("""COMPUTED_VALUE"""),"Dr.kiran")</f>
        <v>Dr.kiran</v>
      </c>
      <c r="D950" s="1">
        <f ca="1">IFERROR(__xludf.DUMMYFUNCTION("""COMPUTED_VALUE"""),9899036635)</f>
        <v>9899036635</v>
      </c>
      <c r="E950" s="1" t="str">
        <f ca="1">IFERROR(__xludf.DUMMYFUNCTION("""COMPUTED_VALUE"""),"Not Relevant")</f>
        <v>Not Relevant</v>
      </c>
      <c r="F950" s="1" t="str">
        <f ca="1">IFERROR(__xludf.DUMMYFUNCTION("""COMPUTED_VALUE"""),"हिन्दी")</f>
        <v>हिन्दी</v>
      </c>
      <c r="G950" s="1" t="str">
        <f ca="1">IFERROR(__xludf.DUMMYFUNCTION("""COMPUTED_VALUE"""),"परिवार निर्माण")</f>
        <v>परिवार निर्माण</v>
      </c>
      <c r="H950" s="1"/>
      <c r="I950" s="1"/>
      <c r="J950" s="1"/>
      <c r="K950" s="1"/>
      <c r="L950" s="1"/>
      <c r="M950" s="1" t="str">
        <f ca="1">IFERROR(__xludf.DUMMYFUNCTION("""COMPUTED_VALUE"""),"बाल मनोविज्ञान")</f>
        <v>बाल मनोविज्ञान</v>
      </c>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f ca="1">IFERROR(__xludf.DUMMYFUNCTION("""COMPUTED_VALUE"""),2)</f>
        <v>2</v>
      </c>
      <c r="BX950" s="1">
        <f ca="1">IFERROR(__xludf.DUMMYFUNCTION("""COMPUTED_VALUE"""),2)</f>
        <v>2</v>
      </c>
      <c r="BY950" s="1">
        <f ca="1">IFERROR(__xludf.DUMMYFUNCTION("""COMPUTED_VALUE"""),0)</f>
        <v>0</v>
      </c>
      <c r="BZ950" s="1">
        <f ca="1">IFERROR(__xludf.DUMMYFUNCTION("""COMPUTED_VALUE"""),0)</f>
        <v>0</v>
      </c>
      <c r="CA950" s="1" t="str">
        <f ca="1">IFERROR(__xludf.DUMMYFUNCTION("""COMPUTED_VALUE"""),"Yes")</f>
        <v>Yes</v>
      </c>
      <c r="CB950" s="5">
        <f ca="1">IFERROR(__xludf.DUMMYFUNCTION("""COMPUTED_VALUE"""),45097.7099249074)</f>
        <v>45097.709924907402</v>
      </c>
      <c r="CC950" s="1" t="str">
        <f ca="1">IFERROR(__xludf.DUMMYFUNCTION("""COMPUTED_VALUE"""),"परिवार की गरिमा मर्यादा पालन में : Rare Book")</f>
        <v>परिवार की गरिमा मर्यादा पालन में : Rare Book</v>
      </c>
      <c r="CD950" s="3" t="str">
        <f ca="1">IFERROR(__xludf.DUMMYFUNCTION("""COMPUTED_VALUE"""),"https://vicharkrantibooks.org/productdetail?book_name=HINP0629_PARIWAR_KI_GARIMA_MARYADA_PALAN_MEIN_xx1981&amp;product_id=1194")</f>
        <v>https://vicharkrantibooks.org/productdetail?book_name=HINP0629_PARIWAR_KI_GARIMA_MARYADA_PALAN_MEIN_xx1981&amp;product_id=1194</v>
      </c>
      <c r="CE950" s="1" t="str">
        <f ca="1">IFERROR(__xludf.DUMMYFUNCTION("""COMPUTED_VALUE"""),"Audiobook : परिवार की गरिमा मर्यादा पालन में : Rare Book : dr.kiranahujakhubani@gmail.com : Recorded")</f>
        <v>Audiobook : परिवार की गरिमा मर्यादा पालन में : Rare Book : dr.kiranahujakhubani@gmail.com : Recorded</v>
      </c>
      <c r="CF950" s="1" t="str">
        <f ca="1">IFERROR(__xludf.DUMMYFUNCTION("""COMPUTED_VALUE"""),"Audiobook : परिवार की गरिमा मर्यादा पालन में : Rare Book : dr.kiranahujakhubani@gmail.com : Recorded")</f>
        <v>Audiobook : परिवार की गरिमा मर्यादा पालन में : Rare Book : dr.kiranahujakhubani@gmail.com : Recorded</v>
      </c>
      <c r="CG950" s="1" t="str">
        <f ca="1">IFERROR(__xludf.DUMMYFUNCTION("""COMPUTED_VALUE"""),"Adarniya Dr.kiran ji परिवार की गरिमा मर्यादा पालन में : Rare Book : Allocated on 10-Jun-23 Contact Number  9899036635")</f>
        <v>Adarniya Dr.kiran ji परिवार की गरिमा मर्यादा पालन में : Rare Book : Allocated on 10-Jun-23 Contact Number  9899036635</v>
      </c>
      <c r="CH950" s="1"/>
      <c r="CI950" s="1"/>
    </row>
    <row r="951" spans="1:87" x14ac:dyDescent="0.25">
      <c r="A951" s="5">
        <f ca="1">IFERROR(__xludf.DUMMYFUNCTION("""COMPUTED_VALUE"""),45087.6523598842)</f>
        <v>45087.652359884203</v>
      </c>
      <c r="B951" s="1" t="str">
        <f ca="1">IFERROR(__xludf.DUMMYFUNCTION("""COMPUTED_VALUE"""),"csprasad108@gmail.com")</f>
        <v>csprasad108@gmail.com</v>
      </c>
      <c r="C951" s="1" t="str">
        <f ca="1">IFERROR(__xludf.DUMMYFUNCTION("""COMPUTED_VALUE"""),"Kumkum prasad")</f>
        <v>Kumkum prasad</v>
      </c>
      <c r="D951" s="1">
        <f ca="1">IFERROR(__xludf.DUMMYFUNCTION("""COMPUTED_VALUE"""),7978055621)</f>
        <v>7978055621</v>
      </c>
      <c r="E951" s="1"/>
      <c r="F951" s="1" t="str">
        <f ca="1">IFERROR(__xludf.DUMMYFUNCTION("""COMPUTED_VALUE"""),"हिन्दी")</f>
        <v>हिन्दी</v>
      </c>
      <c r="G951" s="1" t="str">
        <f ca="1">IFERROR(__xludf.DUMMYFUNCTION("""COMPUTED_VALUE"""),"अध्यात्म, धर्म एवं दर्शन")</f>
        <v>अध्यात्म, धर्म एवं दर्शन</v>
      </c>
      <c r="H951" s="1" t="str">
        <f ca="1">IFERROR(__xludf.DUMMYFUNCTION("""COMPUTED_VALUE"""),"अध्यात्म, धर्म एवं आस्तिकता")</f>
        <v>अध्यात्म, धर्म एवं आस्तिकता</v>
      </c>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f ca="1">IFERROR(__xludf.DUMMYFUNCTION("""COMPUTED_VALUE"""),52)</f>
        <v>52</v>
      </c>
      <c r="BX951" s="1">
        <f ca="1">IFERROR(__xludf.DUMMYFUNCTION("""COMPUTED_VALUE"""),54)</f>
        <v>54</v>
      </c>
      <c r="BY951" s="1">
        <f ca="1">IFERROR(__xludf.DUMMYFUNCTION("""COMPUTED_VALUE"""),3)</f>
        <v>3</v>
      </c>
      <c r="BZ951" s="1">
        <f ca="1">IFERROR(__xludf.DUMMYFUNCTION("""COMPUTED_VALUE"""),24)</f>
        <v>24</v>
      </c>
      <c r="CA951" s="1" t="str">
        <f ca="1">IFERROR(__xludf.DUMMYFUNCTION("""COMPUTED_VALUE"""),"Yes")</f>
        <v>Yes</v>
      </c>
      <c r="CB951" s="5">
        <f ca="1">IFERROR(__xludf.DUMMYFUNCTION("""COMPUTED_VALUE"""),45097.6523598842)</f>
        <v>45097.652359884203</v>
      </c>
      <c r="CC951" s="1" t="str">
        <f ca="1">IFERROR(__xludf.DUMMYFUNCTION("""COMPUTED_VALUE"""),"कर्तव्य परायणता अपनाएँ : Rare Book")</f>
        <v>कर्तव्य परायणता अपनाएँ : Rare Book</v>
      </c>
      <c r="CD951" s="3" t="str">
        <f ca="1">IFERROR(__xludf.DUMMYFUNCTION("""COMPUTED_VALUE"""),"https://vicharkrantibooks.org/productdetail?book_name=HINP0430_KARTAVY_PARAYANATA_APANAEN_xxyyyy&amp;product_id=995")</f>
        <v>https://vicharkrantibooks.org/productdetail?book_name=HINP0430_KARTAVY_PARAYANATA_APANAEN_xxyyyy&amp;product_id=995</v>
      </c>
      <c r="CE951" s="1" t="str">
        <f ca="1">IFERROR(__xludf.DUMMYFUNCTION("""COMPUTED_VALUE"""),"Audiobook : कर्तव्य परायणता अपनाएँ : Rare Book : csprasad108@gmail.com : Recorded")</f>
        <v>Audiobook : कर्तव्य परायणता अपनाएँ : Rare Book : csprasad108@gmail.com : Recorded</v>
      </c>
      <c r="CF951" s="1" t="str">
        <f ca="1">IFERROR(__xludf.DUMMYFUNCTION("""COMPUTED_VALUE"""),"Audiobook : कर्तव्य परायणता अपनाएँ : Rare Book : csprasad108@gmail.com : Recorded")</f>
        <v>Audiobook : कर्तव्य परायणता अपनाएँ : Rare Book : csprasad108@gmail.com : Recorded</v>
      </c>
      <c r="CG951" s="1" t="str">
        <f ca="1">IFERROR(__xludf.DUMMYFUNCTION("""COMPUTED_VALUE"""),"Adarniya Kumkum prasad ji कर्तव्य परायणता अपनाएँ : Rare Book : Allocated on 10-Jun-23 Contact Number  7978055621")</f>
        <v>Adarniya Kumkum prasad ji कर्तव्य परायणता अपनाएँ : Rare Book : Allocated on 10-Jun-23 Contact Number  7978055621</v>
      </c>
      <c r="CH951" s="1"/>
      <c r="CI951" s="1"/>
    </row>
    <row r="952" spans="1:87" x14ac:dyDescent="0.25">
      <c r="A952" s="5">
        <f ca="1">IFERROR(__xludf.DUMMYFUNCTION("""COMPUTED_VALUE"""),45087.2893982407)</f>
        <v>45087.289398240697</v>
      </c>
      <c r="B952" s="1" t="str">
        <f ca="1">IFERROR(__xludf.DUMMYFUNCTION("""COMPUTED_VALUE"""),"shweta.r.gupta79@gmail.com")</f>
        <v>shweta.r.gupta79@gmail.com</v>
      </c>
      <c r="C952" s="1" t="str">
        <f ca="1">IFERROR(__xludf.DUMMYFUNCTION("""COMPUTED_VALUE"""),"Shweta Gupta ")</f>
        <v xml:space="preserve">Shweta Gupta </v>
      </c>
      <c r="D952" s="1">
        <f ca="1">IFERROR(__xludf.DUMMYFUNCTION("""COMPUTED_VALUE"""),8369516724)</f>
        <v>8369516724</v>
      </c>
      <c r="E952" s="1" t="str">
        <f ca="1">IFERROR(__xludf.DUMMYFUNCTION("""COMPUTED_VALUE"""),"Yes")</f>
        <v>Yes</v>
      </c>
      <c r="F952" s="1" t="str">
        <f ca="1">IFERROR(__xludf.DUMMYFUNCTION("""COMPUTED_VALUE"""),"हिन्दी")</f>
        <v>हिन्दी</v>
      </c>
      <c r="G952" s="1" t="str">
        <f ca="1">IFERROR(__xludf.DUMMYFUNCTION("""COMPUTED_VALUE"""),"परिवार निर्माण")</f>
        <v>परिवार निर्माण</v>
      </c>
      <c r="H952" s="1"/>
      <c r="I952" s="1"/>
      <c r="J952" s="1"/>
      <c r="K952" s="1"/>
      <c r="L952" s="1"/>
      <c r="M952" s="1" t="str">
        <f ca="1">IFERROR(__xludf.DUMMYFUNCTION("""COMPUTED_VALUE"""),"दाम्पत्य जीवन")</f>
        <v>दाम्पत्य जीवन</v>
      </c>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f ca="1">IFERROR(__xludf.DUMMYFUNCTION("""COMPUTED_VALUE"""),31)</f>
        <v>31</v>
      </c>
      <c r="BX952" s="1">
        <f ca="1">IFERROR(__xludf.DUMMYFUNCTION("""COMPUTED_VALUE"""),45)</f>
        <v>45</v>
      </c>
      <c r="BY952" s="1">
        <f ca="1">IFERROR(__xludf.DUMMYFUNCTION("""COMPUTED_VALUE"""),3)</f>
        <v>3</v>
      </c>
      <c r="BZ952" s="1">
        <f ca="1">IFERROR(__xludf.DUMMYFUNCTION("""COMPUTED_VALUE"""),40)</f>
        <v>40</v>
      </c>
      <c r="CA952" s="1" t="str">
        <f ca="1">IFERROR(__xludf.DUMMYFUNCTION("""COMPUTED_VALUE"""),"Yes")</f>
        <v>Yes</v>
      </c>
      <c r="CB952" s="5">
        <f ca="1">IFERROR(__xludf.DUMMYFUNCTION("""COMPUTED_VALUE"""),45097.2893982407)</f>
        <v>45097.289398240697</v>
      </c>
      <c r="CC952" s="1" t="str">
        <f ca="1">IFERROR(__xludf.DUMMYFUNCTION("""COMPUTED_VALUE"""),"बच्चों के व्यक्तित्व का विकास कैसे करें : H_JS_07")</f>
        <v>बच्चों के व्यक्तित्व का विकास कैसे करें : H_JS_07</v>
      </c>
      <c r="CD952" s="3" t="str">
        <f ca="1">IFERROR(__xludf.DUMMYFUNCTION("""COMPUTED_VALUE"""),"https://vicharkrantibooks.org/productdetail?book_name=HINP0123_BACHCHON_KE_VYAKTITV_KA_VIKAS_KAISE_KAREN_xx2011&amp;product_id=688")</f>
        <v>https://vicharkrantibooks.org/productdetail?book_name=HINP0123_BACHCHON_KE_VYAKTITV_KA_VIKAS_KAISE_KAREN_xx2011&amp;product_id=688</v>
      </c>
      <c r="CE952" s="1" t="str">
        <f ca="1">IFERROR(__xludf.DUMMYFUNCTION("""COMPUTED_VALUE"""),"Audiobook : बच्चों के व्यक्तित्व का विकास कैसे करें : H_JS_07 : shweta.r.gupta79@gmail.com : Recorded")</f>
        <v>Audiobook : बच्चों के व्यक्तित्व का विकास कैसे करें : H_JS_07 : shweta.r.gupta79@gmail.com : Recorded</v>
      </c>
      <c r="CF952" s="1" t="str">
        <f ca="1">IFERROR(__xludf.DUMMYFUNCTION("""COMPUTED_VALUE"""),"Audiobook : बच्चों के व्यक्तित्व का विकास कैसे करें : H_JS_07 : shweta.r.gupta79@gmail.com : Recorded")</f>
        <v>Audiobook : बच्चों के व्यक्तित्व का विकास कैसे करें : H_JS_07 : shweta.r.gupta79@gmail.com : Recorded</v>
      </c>
      <c r="CG952" s="1" t="str">
        <f ca="1">IFERROR(__xludf.DUMMYFUNCTION("""COMPUTED_VALUE"""),"Adarniya Shweta Gupta  ji बच्चों के व्यक्तित्व का विकास कैसे करें : H_JS_07 : Allocated on 10-Jun-23 Contact Number  8369516724")</f>
        <v>Adarniya Shweta Gupta  ji बच्चों के व्यक्तित्व का विकास कैसे करें : H_JS_07 : Allocated on 10-Jun-23 Contact Number  8369516724</v>
      </c>
      <c r="CH952" s="1"/>
      <c r="CI952" s="1"/>
    </row>
    <row r="953" spans="1:87" x14ac:dyDescent="0.25">
      <c r="A953" s="5">
        <f ca="1">IFERROR(__xludf.DUMMYFUNCTION("""COMPUTED_VALUE"""),45085.2925859838)</f>
        <v>45085.2925859838</v>
      </c>
      <c r="B953" s="1" t="str">
        <f ca="1">IFERROR(__xludf.DUMMYFUNCTION("""COMPUTED_VALUE"""),"csprasad108@gmail.com")</f>
        <v>csprasad108@gmail.com</v>
      </c>
      <c r="C953" s="1" t="str">
        <f ca="1">IFERROR(__xludf.DUMMYFUNCTION("""COMPUTED_VALUE"""),"Kumkum prasad7978055621")</f>
        <v>Kumkum prasad7978055621</v>
      </c>
      <c r="D953" s="1">
        <f ca="1">IFERROR(__xludf.DUMMYFUNCTION("""COMPUTED_VALUE"""),7978055621)</f>
        <v>7978055621</v>
      </c>
      <c r="E953" s="1"/>
      <c r="F953" s="1" t="str">
        <f ca="1">IFERROR(__xludf.DUMMYFUNCTION("""COMPUTED_VALUE"""),"हिन्दी")</f>
        <v>हिन्दी</v>
      </c>
      <c r="G953" s="1" t="str">
        <f ca="1">IFERROR(__xludf.DUMMYFUNCTION("""COMPUTED_VALUE"""),"संस्कार, कर्मकाण्ड, पाठ, पूजा, गीत-संगीत")</f>
        <v>संस्कार, कर्मकाण्ड, पाठ, पूजा, गीत-संगीत</v>
      </c>
      <c r="H953" s="1"/>
      <c r="I953" s="1"/>
      <c r="J953" s="1"/>
      <c r="K953" s="1"/>
      <c r="L953" s="1"/>
      <c r="M953" s="1"/>
      <c r="N953" s="1"/>
      <c r="O953" s="1"/>
      <c r="P953" s="1"/>
      <c r="Q953" s="1"/>
      <c r="R953" s="1"/>
      <c r="S953" s="1"/>
      <c r="T953" s="1"/>
      <c r="U953" s="1"/>
      <c r="V953" s="1"/>
      <c r="W953" s="1" t="str">
        <f ca="1">IFERROR(__xludf.DUMMYFUNCTION("""COMPUTED_VALUE"""),"पाठ, पूजा, चालीसा, प्रार्थना,")</f>
        <v>पाठ, पूजा, चालीसा, प्रार्थना,</v>
      </c>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t="str">
        <f ca="1">IFERROR(__xludf.DUMMYFUNCTION("""COMPUTED_VALUE"""),"गायत्री चालीसा")</f>
        <v>गायत्री चालीसा</v>
      </c>
      <c r="BI953" s="1"/>
      <c r="BJ953" s="1"/>
      <c r="BK953" s="1"/>
      <c r="BL953" s="1"/>
      <c r="BM953" s="1"/>
      <c r="BN953" s="1"/>
      <c r="BO953" s="1"/>
      <c r="BP953" s="1"/>
      <c r="BQ953" s="1"/>
      <c r="BR953" s="1"/>
      <c r="BS953" s="1"/>
      <c r="BT953" s="1"/>
      <c r="BU953" s="1"/>
      <c r="BV953" s="1"/>
      <c r="BW953" s="1">
        <f ca="1">IFERROR(__xludf.DUMMYFUNCTION("""COMPUTED_VALUE"""),52)</f>
        <v>52</v>
      </c>
      <c r="BX953" s="1">
        <f ca="1">IFERROR(__xludf.DUMMYFUNCTION("""COMPUTED_VALUE"""),54)</f>
        <v>54</v>
      </c>
      <c r="BY953" s="1">
        <f ca="1">IFERROR(__xludf.DUMMYFUNCTION("""COMPUTED_VALUE"""),3)</f>
        <v>3</v>
      </c>
      <c r="BZ953" s="1">
        <f ca="1">IFERROR(__xludf.DUMMYFUNCTION("""COMPUTED_VALUE"""),24)</f>
        <v>24</v>
      </c>
      <c r="CA953" s="1" t="str">
        <f ca="1">IFERROR(__xludf.DUMMYFUNCTION("""COMPUTED_VALUE"""),"Yes")</f>
        <v>Yes</v>
      </c>
      <c r="CB953" s="5">
        <f ca="1">IFERROR(__xludf.DUMMYFUNCTION("""COMPUTED_VALUE"""),45095.2925859838)</f>
        <v>45095.2925859838</v>
      </c>
      <c r="CC953" s="1" t="str">
        <f ca="1">IFERROR(__xludf.DUMMYFUNCTION("""COMPUTED_VALUE"""),"कर्तव्य निष्ठा ही सच्ची धार्मिकता : Rare Book")</f>
        <v>कर्तव्य निष्ठा ही सच्ची धार्मिकता : Rare Book</v>
      </c>
      <c r="CD953" s="3" t="str">
        <f ca="1">IFERROR(__xludf.DUMMYFUNCTION("""COMPUTED_VALUE"""),"https://vicharkrantibooks.org/productdetail?book_name=HINP0429_KARTAVY_NISHTHA_HI_SACHCHI_DHARMIKATA_xx1981&amp;product_id=994")</f>
        <v>https://vicharkrantibooks.org/productdetail?book_name=HINP0429_KARTAVY_NISHTHA_HI_SACHCHI_DHARMIKATA_xx1981&amp;product_id=994</v>
      </c>
      <c r="CE953" s="1" t="str">
        <f ca="1">IFERROR(__xludf.DUMMYFUNCTION("""COMPUTED_VALUE"""),"Audiobook : कर्तव्य निष्ठा ही सच्ची धार्मिकता : Rare Book : csprasad108@gmail.com : Recorded")</f>
        <v>Audiobook : कर्तव्य निष्ठा ही सच्ची धार्मिकता : Rare Book : csprasad108@gmail.com : Recorded</v>
      </c>
      <c r="CF953" s="1" t="str">
        <f ca="1">IFERROR(__xludf.DUMMYFUNCTION("""COMPUTED_VALUE"""),"Audiobook : कर्तव्य निष्ठा ही सच्ची धार्मिकता : Rare Book : csprasad108@gmail.com : Recorded")</f>
        <v>Audiobook : कर्तव्य निष्ठा ही सच्ची धार्मिकता : Rare Book : csprasad108@gmail.com : Recorded</v>
      </c>
      <c r="CG953" s="1" t="str">
        <f ca="1">IFERROR(__xludf.DUMMYFUNCTION("""COMPUTED_VALUE"""),"Adarniya Kumkum prasad7978055621 ji कर्तव्य निष्ठा ही सच्ची धार्मिकता : Rare Book : Allocated on 08-Jun-23 Contact Number  7978055621")</f>
        <v>Adarniya Kumkum prasad7978055621 ji कर्तव्य निष्ठा ही सच्ची धार्मिकता : Rare Book : Allocated on 08-Jun-23 Contact Number  7978055621</v>
      </c>
      <c r="CH953" s="1"/>
      <c r="CI953" s="1"/>
    </row>
    <row r="954" spans="1:87" x14ac:dyDescent="0.25">
      <c r="A954" s="5">
        <f ca="1">IFERROR(__xludf.DUMMYFUNCTION("""COMPUTED_VALUE"""),45084.6916933449)</f>
        <v>45084.691693344903</v>
      </c>
      <c r="B954" s="1" t="str">
        <f ca="1">IFERROR(__xludf.DUMMYFUNCTION("""COMPUTED_VALUE"""),"spmittalmumbai@gmail.com")</f>
        <v>spmittalmumbai@gmail.com</v>
      </c>
      <c r="C954" s="1" t="str">
        <f ca="1">IFERROR(__xludf.DUMMYFUNCTION("""COMPUTED_VALUE"""),"S. P. Mittal")</f>
        <v>S. P. Mittal</v>
      </c>
      <c r="D954" s="1">
        <f ca="1">IFERROR(__xludf.DUMMYFUNCTION("""COMPUTED_VALUE"""),7045537099)</f>
        <v>7045537099</v>
      </c>
      <c r="E954" s="1" t="str">
        <f ca="1">IFERROR(__xludf.DUMMYFUNCTION("""COMPUTED_VALUE"""),"Yes")</f>
        <v>Yes</v>
      </c>
      <c r="F954" s="1"/>
      <c r="G954" s="1" t="str">
        <f ca="1">IFERROR(__xludf.DUMMYFUNCTION("""COMPUTED_VALUE"""),"जीवन प्रबंध")</f>
        <v>जीवन प्रबंध</v>
      </c>
      <c r="H954" s="1"/>
      <c r="I954" s="1"/>
      <c r="J954" s="1"/>
      <c r="K954" s="1"/>
      <c r="L954" s="1" t="str">
        <f ca="1">IFERROR(__xludf.DUMMYFUNCTION("""COMPUTED_VALUE"""),"सफल, संतुष्ट एवं सुखी जीवन")</f>
        <v>सफल, संतुष्ट एवं सुखी जीवन</v>
      </c>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f ca="1">IFERROR(__xludf.DUMMYFUNCTION("""COMPUTED_VALUE"""),39)</f>
        <v>39</v>
      </c>
      <c r="BX954" s="1">
        <f ca="1">IFERROR(__xludf.DUMMYFUNCTION("""COMPUTED_VALUE"""),32)</f>
        <v>32</v>
      </c>
      <c r="BY954" s="1">
        <f ca="1">IFERROR(__xludf.DUMMYFUNCTION("""COMPUTED_VALUE"""),11)</f>
        <v>11</v>
      </c>
      <c r="BZ954" s="1">
        <f ca="1">IFERROR(__xludf.DUMMYFUNCTION("""COMPUTED_VALUE"""),23)</f>
        <v>23</v>
      </c>
      <c r="CA954" s="1" t="str">
        <f ca="1">IFERROR(__xludf.DUMMYFUNCTION("""COMPUTED_VALUE"""),"Yes")</f>
        <v>Yes</v>
      </c>
      <c r="CB954" s="5">
        <f ca="1">IFERROR(__xludf.DUMMYFUNCTION("""COMPUTED_VALUE"""),45094.6916933449)</f>
        <v>45094.691693344903</v>
      </c>
      <c r="CC954" s="1" t="str">
        <f ca="1">IFERROR(__xludf.DUMMYFUNCTION("""COMPUTED_VALUE"""),"जीवन संग्राम ही वास्तविक महाभारत : Rare Book")</f>
        <v>जीवन संग्राम ही वास्तविक महाभारत : Rare Book</v>
      </c>
      <c r="CD954" s="3" t="str">
        <f ca="1">IFERROR(__xludf.DUMMYFUNCTION("""COMPUTED_VALUE"""),"https://vicharkrantibooks.org/productdetail?book_name=HINP0396_JIVAN_SANGRAM_HI_VASTAVIK_MAHABHARAT_xx1981&amp;product_id=961")</f>
        <v>https://vicharkrantibooks.org/productdetail?book_name=HINP0396_JIVAN_SANGRAM_HI_VASTAVIK_MAHABHARAT_xx1981&amp;product_id=961</v>
      </c>
      <c r="CE954" s="1" t="str">
        <f ca="1">IFERROR(__xludf.DUMMYFUNCTION("""COMPUTED_VALUE"""),"Audiobook : जीवन संग्राम ही वास्तविक महाभारत : Rare Book : spmittalmumbai@gmail.com : Recorded")</f>
        <v>Audiobook : जीवन संग्राम ही वास्तविक महाभारत : Rare Book : spmittalmumbai@gmail.com : Recorded</v>
      </c>
      <c r="CF954" s="1" t="str">
        <f ca="1">IFERROR(__xludf.DUMMYFUNCTION("""COMPUTED_VALUE"""),"Audiobook : जीवन संग्राम ही वास्तविक महाभारत : Rare Book : spmittalmumbai@gmail.com : Recorded")</f>
        <v>Audiobook : जीवन संग्राम ही वास्तविक महाभारत : Rare Book : spmittalmumbai@gmail.com : Recorded</v>
      </c>
      <c r="CG954" s="1" t="str">
        <f ca="1">IFERROR(__xludf.DUMMYFUNCTION("""COMPUTED_VALUE"""),"Adarniya S. P. Mittal ji जीवन संग्राम ही वास्तविक महाभारत : Rare Book : Allocated on 07-Jun-23 Contact Number  7045537099")</f>
        <v>Adarniya S. P. Mittal ji जीवन संग्राम ही वास्तविक महाभारत : Rare Book : Allocated on 07-Jun-23 Contact Number  7045537099</v>
      </c>
      <c r="CH954" s="1"/>
      <c r="CI954" s="1"/>
    </row>
    <row r="955" spans="1:87" x14ac:dyDescent="0.25">
      <c r="A955" s="5">
        <f ca="1">IFERROR(__xludf.DUMMYFUNCTION("""COMPUTED_VALUE"""),45084.4220492361)</f>
        <v>45084.422049236098</v>
      </c>
      <c r="B955" s="1" t="str">
        <f ca="1">IFERROR(__xludf.DUMMYFUNCTION("""COMPUTED_VALUE"""),"jamunashukla17@gmail.com")</f>
        <v>jamunashukla17@gmail.com</v>
      </c>
      <c r="C955" s="1" t="str">
        <f ca="1">IFERROR(__xludf.DUMMYFUNCTION("""COMPUTED_VALUE"""),"mrs J S Shukla ")</f>
        <v xml:space="preserve">mrs J S Shukla </v>
      </c>
      <c r="D955" s="1">
        <f ca="1">IFERROR(__xludf.DUMMYFUNCTION("""COMPUTED_VALUE"""),8390353167)</f>
        <v>8390353167</v>
      </c>
      <c r="E955" s="1" t="str">
        <f ca="1">IFERROR(__xludf.DUMMYFUNCTION("""COMPUTED_VALUE"""),"Yes")</f>
        <v>Yes</v>
      </c>
      <c r="F955" s="1" t="str">
        <f ca="1">IFERROR(__xludf.DUMMYFUNCTION("""COMPUTED_VALUE"""),"हिन्दी")</f>
        <v>हिन्दी</v>
      </c>
      <c r="G955" s="1" t="str">
        <f ca="1">IFERROR(__xludf.DUMMYFUNCTION("""COMPUTED_VALUE"""),"geet sangeet ")</f>
        <v xml:space="preserve">geet sangeet </v>
      </c>
      <c r="H955" s="1" t="str">
        <f ca="1">IFERROR(__xludf.DUMMYFUNCTION("""COMPUTED_VALUE"""),"साधना")</f>
        <v>साधना</v>
      </c>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f ca="1">IFERROR(__xludf.DUMMYFUNCTION("""COMPUTED_VALUE"""),53)</f>
        <v>53</v>
      </c>
      <c r="BX955" s="1">
        <f ca="1">IFERROR(__xludf.DUMMYFUNCTION("""COMPUTED_VALUE"""),53)</f>
        <v>53</v>
      </c>
      <c r="BY955" s="1">
        <f ca="1">IFERROR(__xludf.DUMMYFUNCTION("""COMPUTED_VALUE"""),9)</f>
        <v>9</v>
      </c>
      <c r="BZ955" s="1">
        <f ca="1">IFERROR(__xludf.DUMMYFUNCTION("""COMPUTED_VALUE"""),25)</f>
        <v>25</v>
      </c>
      <c r="CA955" s="1" t="str">
        <f ca="1">IFERROR(__xludf.DUMMYFUNCTION("""COMPUTED_VALUE"""),"Yes")</f>
        <v>Yes</v>
      </c>
      <c r="CB955" s="5">
        <f ca="1">IFERROR(__xludf.DUMMYFUNCTION("""COMPUTED_VALUE"""),45094.4220492361)</f>
        <v>45094.422049236098</v>
      </c>
      <c r="CC955" s="1" t="str">
        <f ca="1">IFERROR(__xludf.DUMMYFUNCTION("""COMPUTED_VALUE"""),"स्वास्थ्य संवर्धन व्यसन मुक्ति गीत : Rare Book")</f>
        <v>स्वास्थ्य संवर्धन व्यसन मुक्ति गीत : Rare Book</v>
      </c>
      <c r="CD955" s="3" t="str">
        <f ca="1">IFERROR(__xludf.DUMMYFUNCTION("""COMPUTED_VALUE"""),"https://vicharkrantibooks.org/productdetail?book_name=HINP0898_SWASTHY_SANVARDHAN_VYASAN_MUKTI_GIT_xxyyyy&amp;product_id=1463")</f>
        <v>https://vicharkrantibooks.org/productdetail?book_name=HINP0898_SWASTHY_SANVARDHAN_VYASAN_MUKTI_GIT_xxyyyy&amp;product_id=1463</v>
      </c>
      <c r="CE955" s="1" t="str">
        <f ca="1">IFERROR(__xludf.DUMMYFUNCTION("""COMPUTED_VALUE"""),"Audiobook : स्वास्थ्य संवर्धन व्यसन मुक्ति गीत : Rare Book : jamunashukla17@gmail.com : Recorded")</f>
        <v>Audiobook : स्वास्थ्य संवर्धन व्यसन मुक्ति गीत : Rare Book : jamunashukla17@gmail.com : Recorded</v>
      </c>
      <c r="CF955" s="1" t="str">
        <f ca="1">IFERROR(__xludf.DUMMYFUNCTION("""COMPUTED_VALUE"""),"Audiobook : स्वास्थ्य संवर्धन व्यसन मुक्ति गीत : Rare Book : jamunashukla17@gmail.com : Recorded")</f>
        <v>Audiobook : स्वास्थ्य संवर्धन व्यसन मुक्ति गीत : Rare Book : jamunashukla17@gmail.com : Recorded</v>
      </c>
      <c r="CG955" s="1" t="str">
        <f ca="1">IFERROR(__xludf.DUMMYFUNCTION("""COMPUTED_VALUE"""),"Adarniya mrs J S Shukla  ji स्वास्थ्य संवर्धन व्यसन मुक्ति गीत : Rare Book : Allocated on 07-Jun-23 Contact Number  8390353167")</f>
        <v>Adarniya mrs J S Shukla  ji स्वास्थ्य संवर्धन व्यसन मुक्ति गीत : Rare Book : Allocated on 07-Jun-23 Contact Number  8390353167</v>
      </c>
      <c r="CH955" s="1"/>
      <c r="CI955" s="1"/>
    </row>
    <row r="956" spans="1:87" x14ac:dyDescent="0.25">
      <c r="A956" s="5">
        <f ca="1">IFERROR(__xludf.DUMMYFUNCTION("""COMPUTED_VALUE"""),45083.4203573958)</f>
        <v>45083.4203573958</v>
      </c>
      <c r="B956" s="1" t="str">
        <f ca="1">IFERROR(__xludf.DUMMYFUNCTION("""COMPUTED_VALUE"""),"sharmabhavna33@gmail.com")</f>
        <v>sharmabhavna33@gmail.com</v>
      </c>
      <c r="C956" s="1" t="str">
        <f ca="1">IFERROR(__xludf.DUMMYFUNCTION("""COMPUTED_VALUE"""),"भावना पाराशर ")</f>
        <v xml:space="preserve">भावना पाराशर </v>
      </c>
      <c r="D956" s="1">
        <f ca="1">IFERROR(__xludf.DUMMYFUNCTION("""COMPUTED_VALUE"""),9826248427)</f>
        <v>9826248427</v>
      </c>
      <c r="E956" s="1" t="str">
        <f ca="1">IFERROR(__xludf.DUMMYFUNCTION("""COMPUTED_VALUE"""),"Yes")</f>
        <v>Yes</v>
      </c>
      <c r="F956" s="1" t="str">
        <f ca="1">IFERROR(__xludf.DUMMYFUNCTION("""COMPUTED_VALUE"""),"हिन्दी")</f>
        <v>हिन्दी</v>
      </c>
      <c r="G956" s="1" t="str">
        <f ca="1">IFERROR(__xludf.DUMMYFUNCTION("""COMPUTED_VALUE"""),"जीवन प्रबंध")</f>
        <v>जीवन प्रबंध</v>
      </c>
      <c r="H956" s="1"/>
      <c r="I956" s="1"/>
      <c r="J956" s="1"/>
      <c r="K956" s="1"/>
      <c r="L956" s="1" t="str">
        <f ca="1">IFERROR(__xludf.DUMMYFUNCTION("""COMPUTED_VALUE"""),"मन की शक्ति एवं मनोविज्ञान")</f>
        <v>मन की शक्ति एवं मनोविज्ञान</v>
      </c>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f ca="1">IFERROR(__xludf.DUMMYFUNCTION("""COMPUTED_VALUE"""),9)</f>
        <v>9</v>
      </c>
      <c r="BX956" s="1">
        <f ca="1">IFERROR(__xludf.DUMMYFUNCTION("""COMPUTED_VALUE"""),3)</f>
        <v>3</v>
      </c>
      <c r="BY956" s="1">
        <f ca="1">IFERROR(__xludf.DUMMYFUNCTION("""COMPUTED_VALUE"""),6)</f>
        <v>6</v>
      </c>
      <c r="BZ956" s="1">
        <f ca="1">IFERROR(__xludf.DUMMYFUNCTION("""COMPUTED_VALUE"""),1)</f>
        <v>1</v>
      </c>
      <c r="CA956" s="1" t="str">
        <f ca="1">IFERROR(__xludf.DUMMYFUNCTION("""COMPUTED_VALUE"""),"Yes")</f>
        <v>Yes</v>
      </c>
      <c r="CB956" s="5">
        <f ca="1">IFERROR(__xludf.DUMMYFUNCTION("""COMPUTED_VALUE"""),45093.4203573958)</f>
        <v>45093.4203573958</v>
      </c>
      <c r="CC956" s="1" t="str">
        <f ca="1">IFERROR(__xludf.DUMMYFUNCTION("""COMPUTED_VALUE"""),"देवाधिदेव आत्मदेव की साधना : Rare Book")</f>
        <v>देवाधिदेव आत्मदेव की साधना : Rare Book</v>
      </c>
      <c r="CD956" s="3" t="str">
        <f ca="1">IFERROR(__xludf.DUMMYFUNCTION("""COMPUTED_VALUE"""),"https://vicharkrantibooks.org/productdetail?book_name=HINP0216_DEVADHIDEV_ATMADEV_KI_SADHANA_xx1981&amp;product_id=781")</f>
        <v>https://vicharkrantibooks.org/productdetail?book_name=HINP0216_DEVADHIDEV_ATMADEV_KI_SADHANA_xx1981&amp;product_id=781</v>
      </c>
      <c r="CE956" s="1" t="str">
        <f ca="1">IFERROR(__xludf.DUMMYFUNCTION("""COMPUTED_VALUE"""),"Audiobook : देवाधिदेव आत्मदेव की साधना : Rare Book : sharmabhavna33@gmail.com : Recorded")</f>
        <v>Audiobook : देवाधिदेव आत्मदेव की साधना : Rare Book : sharmabhavna33@gmail.com : Recorded</v>
      </c>
      <c r="CF956" s="1" t="str">
        <f ca="1">IFERROR(__xludf.DUMMYFUNCTION("""COMPUTED_VALUE"""),"Audiobook : देवाधिदेव आत्मदेव की साधना : Rare Book : sharmabhavna33@gmail.com : Recorded")</f>
        <v>Audiobook : देवाधिदेव आत्मदेव की साधना : Rare Book : sharmabhavna33@gmail.com : Recorded</v>
      </c>
      <c r="CG956" s="1" t="str">
        <f ca="1">IFERROR(__xludf.DUMMYFUNCTION("""COMPUTED_VALUE"""),"Adarniya भावना पाराशर  ji देवाधिदेव आत्मदेव की साधना : Rare Book : Allocated on 06-Jun-23 Contact Number  9826248427")</f>
        <v>Adarniya भावना पाराशर  ji देवाधिदेव आत्मदेव की साधना : Rare Book : Allocated on 06-Jun-23 Contact Number  9826248427</v>
      </c>
      <c r="CH956" s="1"/>
      <c r="CI956" s="1"/>
    </row>
    <row r="957" spans="1:87" x14ac:dyDescent="0.25">
      <c r="A957" s="5">
        <f ca="1">IFERROR(__xludf.DUMMYFUNCTION("""COMPUTED_VALUE"""),45082.905803368)</f>
        <v>45082.905803367998</v>
      </c>
      <c r="B957" s="1" t="str">
        <f ca="1">IFERROR(__xludf.DUMMYFUNCTION("""COMPUTED_VALUE"""),"nksaxena.yoga@gmail.com")</f>
        <v>nksaxena.yoga@gmail.com</v>
      </c>
      <c r="C957" s="1" t="str">
        <f ca="1">IFERROR(__xludf.DUMMYFUNCTION("""COMPUTED_VALUE"""),"Narendra Kumar Saxena ")</f>
        <v xml:space="preserve">Narendra Kumar Saxena </v>
      </c>
      <c r="D957" s="1">
        <f ca="1">IFERROR(__xludf.DUMMYFUNCTION("""COMPUTED_VALUE"""),8826499188)</f>
        <v>8826499188</v>
      </c>
      <c r="E957" s="1" t="str">
        <f ca="1">IFERROR(__xludf.DUMMYFUNCTION("""COMPUTED_VALUE"""),"Yes")</f>
        <v>Yes</v>
      </c>
      <c r="F957" s="1"/>
      <c r="G957" s="1" t="str">
        <f ca="1">IFERROR(__xludf.DUMMYFUNCTION("""COMPUTED_VALUE"""),"समग्र स्वास्थ्य")</f>
        <v>समग्र स्वास्थ्य</v>
      </c>
      <c r="H957" s="1"/>
      <c r="I957" s="1"/>
      <c r="J957" s="1"/>
      <c r="K957" s="1"/>
      <c r="L957" s="1"/>
      <c r="M957" s="1"/>
      <c r="N957" s="1"/>
      <c r="O957" s="1"/>
      <c r="P957" s="1"/>
      <c r="Q957" s="1"/>
      <c r="R957" s="1"/>
      <c r="S957" s="1"/>
      <c r="T957" s="1"/>
      <c r="U957" s="1" t="str">
        <f ca="1">IFERROR(__xludf.DUMMYFUNCTION("""COMPUTED_VALUE"""),"आहार-विहार एवं उपवास")</f>
        <v>आहार-विहार एवं उपवास</v>
      </c>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f ca="1">IFERROR(__xludf.DUMMYFUNCTION("""COMPUTED_VALUE"""),29)</f>
        <v>29</v>
      </c>
      <c r="BX957" s="1">
        <f ca="1">IFERROR(__xludf.DUMMYFUNCTION("""COMPUTED_VALUE"""),30)</f>
        <v>30</v>
      </c>
      <c r="BY957" s="1">
        <f ca="1">IFERROR(__xludf.DUMMYFUNCTION("""COMPUTED_VALUE"""),3)</f>
        <v>3</v>
      </c>
      <c r="BZ957" s="1">
        <f ca="1">IFERROR(__xludf.DUMMYFUNCTION("""COMPUTED_VALUE"""),25)</f>
        <v>25</v>
      </c>
      <c r="CA957" s="1" t="str">
        <f ca="1">IFERROR(__xludf.DUMMYFUNCTION("""COMPUTED_VALUE"""),"Yes")</f>
        <v>Yes</v>
      </c>
      <c r="CB957" s="5">
        <f ca="1">IFERROR(__xludf.DUMMYFUNCTION("""COMPUTED_VALUE"""),45092.905803368)</f>
        <v>45092.905803367998</v>
      </c>
      <c r="CC957" s="1" t="str">
        <f ca="1">IFERROR(__xludf.DUMMYFUNCTION("""COMPUTED_VALUE"""),"नेत्र सुरक्षा : Rare Book")</f>
        <v>नेत्र सुरक्षा : Rare Book</v>
      </c>
      <c r="CD957" s="3" t="str">
        <f ca="1">IFERROR(__xludf.DUMMYFUNCTION("""COMPUTED_VALUE"""),"https://vicharkrantibooks.org/productdetail?book_name=HINP0598_NETR_SURAKSHA_xxyyyy&amp;product_id=1163")</f>
        <v>https://vicharkrantibooks.org/productdetail?book_name=HINP0598_NETR_SURAKSHA_xxyyyy&amp;product_id=1163</v>
      </c>
      <c r="CE957" s="1" t="str">
        <f ca="1">IFERROR(__xludf.DUMMYFUNCTION("""COMPUTED_VALUE"""),"Audiobook : नेत्र सुरक्षा : Rare Book : nksaxena.yoga@gmail.com : Recorded")</f>
        <v>Audiobook : नेत्र सुरक्षा : Rare Book : nksaxena.yoga@gmail.com : Recorded</v>
      </c>
      <c r="CF957" s="1" t="str">
        <f ca="1">IFERROR(__xludf.DUMMYFUNCTION("""COMPUTED_VALUE"""),"Audiobook : नेत्र सुरक्षा : Rare Book : nksaxena.yoga@gmail.com : Recorded")</f>
        <v>Audiobook : नेत्र सुरक्षा : Rare Book : nksaxena.yoga@gmail.com : Recorded</v>
      </c>
      <c r="CG957" s="1" t="str">
        <f ca="1">IFERROR(__xludf.DUMMYFUNCTION("""COMPUTED_VALUE"""),"Adarniya Narendra Kumar Saxena  ji नेत्र सुरक्षा : Rare Book : Allocated on 05-Jun-23 Contact Number  8826499188")</f>
        <v>Adarniya Narendra Kumar Saxena  ji नेत्र सुरक्षा : Rare Book : Allocated on 05-Jun-23 Contact Number  8826499188</v>
      </c>
      <c r="CH957" s="1"/>
      <c r="CI957" s="1"/>
    </row>
    <row r="958" spans="1:87" x14ac:dyDescent="0.25">
      <c r="A958" s="5">
        <f ca="1">IFERROR(__xludf.DUMMYFUNCTION("""COMPUTED_VALUE"""),45080.6690048958)</f>
        <v>45080.669004895797</v>
      </c>
      <c r="B958" s="1" t="str">
        <f ca="1">IFERROR(__xludf.DUMMYFUNCTION("""COMPUTED_VALUE"""),"csprasad108@gmail.com")</f>
        <v>csprasad108@gmail.com</v>
      </c>
      <c r="C958" s="1" t="str">
        <f ca="1">IFERROR(__xludf.DUMMYFUNCTION("""COMPUTED_VALUE"""),"Kumkum prasad")</f>
        <v>Kumkum prasad</v>
      </c>
      <c r="D958" s="1">
        <f ca="1">IFERROR(__xludf.DUMMYFUNCTION("""COMPUTED_VALUE"""),7978055621)</f>
        <v>7978055621</v>
      </c>
      <c r="E958" s="1"/>
      <c r="F958" s="1" t="str">
        <f ca="1">IFERROR(__xludf.DUMMYFUNCTION("""COMPUTED_VALUE"""),"हिन्दी")</f>
        <v>हिन्दी</v>
      </c>
      <c r="G958" s="1" t="str">
        <f ca="1">IFERROR(__xludf.DUMMYFUNCTION("""COMPUTED_VALUE"""),"संस्कार, कर्मकाण्ड, पाठ, पूजा, गीत-संगीत")</f>
        <v>संस्कार, कर्मकाण्ड, पाठ, पूजा, गीत-संगीत</v>
      </c>
      <c r="H958" s="1"/>
      <c r="I958" s="1"/>
      <c r="J958" s="1"/>
      <c r="K958" s="1"/>
      <c r="L958" s="1"/>
      <c r="M958" s="1"/>
      <c r="N958" s="1"/>
      <c r="O958" s="1"/>
      <c r="P958" s="1"/>
      <c r="Q958" s="1"/>
      <c r="R958" s="1"/>
      <c r="S958" s="1"/>
      <c r="T958" s="1"/>
      <c r="U958" s="1"/>
      <c r="V958" s="1"/>
      <c r="W958" s="1" t="str">
        <f ca="1">IFERROR(__xludf.DUMMYFUNCTION("""COMPUTED_VALUE"""),"संस्कार")</f>
        <v>संस्कार</v>
      </c>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f ca="1">IFERROR(__xludf.DUMMYFUNCTION("""COMPUTED_VALUE"""),52)</f>
        <v>52</v>
      </c>
      <c r="BX958" s="1">
        <f ca="1">IFERROR(__xludf.DUMMYFUNCTION("""COMPUTED_VALUE"""),54)</f>
        <v>54</v>
      </c>
      <c r="BY958" s="1">
        <f ca="1">IFERROR(__xludf.DUMMYFUNCTION("""COMPUTED_VALUE"""),3)</f>
        <v>3</v>
      </c>
      <c r="BZ958" s="1">
        <f ca="1">IFERROR(__xludf.DUMMYFUNCTION("""COMPUTED_VALUE"""),24)</f>
        <v>24</v>
      </c>
      <c r="CA958" s="1" t="str">
        <f ca="1">IFERROR(__xludf.DUMMYFUNCTION("""COMPUTED_VALUE"""),"Yes")</f>
        <v>Yes</v>
      </c>
      <c r="CB958" s="5">
        <f ca="1">IFERROR(__xludf.DUMMYFUNCTION("""COMPUTED_VALUE"""),45090.6690048958)</f>
        <v>45090.669004895797</v>
      </c>
      <c r="CC958" s="1" t="str">
        <f ca="1">IFERROR(__xludf.DUMMYFUNCTION("""COMPUTED_VALUE"""),"अवतार उपास्य गायत्री : Rare Book")</f>
        <v>अवतार उपास्य गायत्री : Rare Book</v>
      </c>
      <c r="CD958" s="3" t="str">
        <f ca="1">IFERROR(__xludf.DUMMYFUNCTION("""COMPUTED_VALUE"""),"https://vicharkrantibooks.org/productdetail?book_name=HINP0118_AVATAR_UPASY_GAYATRI_xxyyyy&amp;product_id=683")</f>
        <v>https://vicharkrantibooks.org/productdetail?book_name=HINP0118_AVATAR_UPASY_GAYATRI_xxyyyy&amp;product_id=683</v>
      </c>
      <c r="CE958" s="1" t="str">
        <f ca="1">IFERROR(__xludf.DUMMYFUNCTION("""COMPUTED_VALUE"""),"Audiobook : अवतार उपास्य गायत्री : Rare Book : csprasad108@gmail.com : Recorded")</f>
        <v>Audiobook : अवतार उपास्य गायत्री : Rare Book : csprasad108@gmail.com : Recorded</v>
      </c>
      <c r="CF958" s="1" t="str">
        <f ca="1">IFERROR(__xludf.DUMMYFUNCTION("""COMPUTED_VALUE"""),"Audiobook : अवतार उपास्य गायत्री : Rare Book : csprasad108@gmail.com : Recorded")</f>
        <v>Audiobook : अवतार उपास्य गायत्री : Rare Book : csprasad108@gmail.com : Recorded</v>
      </c>
      <c r="CG958" s="1" t="str">
        <f ca="1">IFERROR(__xludf.DUMMYFUNCTION("""COMPUTED_VALUE"""),"Adarniya Kumkum prasad ji अवतार उपास्य गायत्री : Rare Book : Allocated on 03-Jun-23 Contact Number  7978055621")</f>
        <v>Adarniya Kumkum prasad ji अवतार उपास्य गायत्री : Rare Book : Allocated on 03-Jun-23 Contact Number  7978055621</v>
      </c>
      <c r="CH958" s="1"/>
      <c r="CI958" s="1"/>
    </row>
    <row r="959" spans="1:87" x14ac:dyDescent="0.25">
      <c r="A959" s="5">
        <f ca="1">IFERROR(__xludf.DUMMYFUNCTION("""COMPUTED_VALUE"""),45079.9826737963)</f>
        <v>45079.982673796301</v>
      </c>
      <c r="B959" s="1" t="str">
        <f ca="1">IFERROR(__xludf.DUMMYFUNCTION("""COMPUTED_VALUE"""),"druma4107@gmail.com")</f>
        <v>druma4107@gmail.com</v>
      </c>
      <c r="C959" s="1" t="str">
        <f ca="1">IFERROR(__xludf.DUMMYFUNCTION("""COMPUTED_VALUE"""),"Dr Uma Agrawal")</f>
        <v>Dr Uma Agrawal</v>
      </c>
      <c r="D959" s="1">
        <f ca="1">IFERROR(__xludf.DUMMYFUNCTION("""COMPUTED_VALUE"""),9410861182)</f>
        <v>9410861182</v>
      </c>
      <c r="E959" s="1" t="str">
        <f ca="1">IFERROR(__xludf.DUMMYFUNCTION("""COMPUTED_VALUE"""),"Yes")</f>
        <v>Yes</v>
      </c>
      <c r="F959" s="1" t="str">
        <f ca="1">IFERROR(__xludf.DUMMYFUNCTION("""COMPUTED_VALUE"""),"हिन्दी")</f>
        <v>हिन्दी</v>
      </c>
      <c r="G959" s="1" t="str">
        <f ca="1">IFERROR(__xludf.DUMMYFUNCTION("""COMPUTED_VALUE"""),"समग्र स्वास्थ्य")</f>
        <v>समग्र स्वास्थ्य</v>
      </c>
      <c r="H959" s="1"/>
      <c r="I959" s="1"/>
      <c r="J959" s="1"/>
      <c r="K959" s="1"/>
      <c r="L959" s="1"/>
      <c r="M959" s="1"/>
      <c r="N959" s="1"/>
      <c r="O959" s="1"/>
      <c r="P959" s="1"/>
      <c r="Q959" s="1"/>
      <c r="R959" s="1"/>
      <c r="S959" s="1"/>
      <c r="T959" s="1"/>
      <c r="U959" s="1" t="str">
        <f ca="1">IFERROR(__xludf.DUMMYFUNCTION("""COMPUTED_VALUE"""),"स्वास्थ्य संवर्धन")</f>
        <v>स्वास्थ्य संवर्धन</v>
      </c>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f ca="1">IFERROR(__xludf.DUMMYFUNCTION("""COMPUTED_VALUE"""),104)</f>
        <v>104</v>
      </c>
      <c r="BX959" s="1">
        <f ca="1">IFERROR(__xludf.DUMMYFUNCTION("""COMPUTED_VALUE"""),106)</f>
        <v>106</v>
      </c>
      <c r="BY959" s="1">
        <f ca="1">IFERROR(__xludf.DUMMYFUNCTION("""COMPUTED_VALUE"""),9)</f>
        <v>9</v>
      </c>
      <c r="BZ959" s="1">
        <f ca="1">IFERROR(__xludf.DUMMYFUNCTION("""COMPUTED_VALUE"""),43)</f>
        <v>43</v>
      </c>
      <c r="CA959" s="1" t="str">
        <f ca="1">IFERROR(__xludf.DUMMYFUNCTION("""COMPUTED_VALUE"""),"Yes")</f>
        <v>Yes</v>
      </c>
      <c r="CB959" s="5">
        <f ca="1">IFERROR(__xludf.DUMMYFUNCTION("""COMPUTED_VALUE"""),45089.9826737963)</f>
        <v>45089.982673796301</v>
      </c>
      <c r="CC959" s="1" t="str">
        <f ca="1">IFERROR(__xludf.DUMMYFUNCTION("""COMPUTED_VALUE"""),"निरोग बने रहने के शाश्वत सिद्धान्त : Rare Book")</f>
        <v>निरोग बने रहने के शाश्वत सिद्धान्त : Rare Book</v>
      </c>
      <c r="CD959" s="3" t="str">
        <f ca="1">IFERROR(__xludf.DUMMYFUNCTION("""COMPUTED_VALUE"""),"https://vicharkrantibooks.org/productdetail?book_name=HINP0603_NIROG_BANE_RAHANE_KE_SHASHVAT_SIDDHANT_xx1982&amp;product_id=1168")</f>
        <v>https://vicharkrantibooks.org/productdetail?book_name=HINP0603_NIROG_BANE_RAHANE_KE_SHASHVAT_SIDDHANT_xx1982&amp;product_id=1168</v>
      </c>
      <c r="CE959" s="1" t="str">
        <f ca="1">IFERROR(__xludf.DUMMYFUNCTION("""COMPUTED_VALUE"""),"Audiobook : निरोग बने रहने के शाश्वत सिद्धान्त : Rare Book : druma4107@gmail.com : Recorded")</f>
        <v>Audiobook : निरोग बने रहने के शाश्वत सिद्धान्त : Rare Book : druma4107@gmail.com : Recorded</v>
      </c>
      <c r="CF959" s="1" t="str">
        <f ca="1">IFERROR(__xludf.DUMMYFUNCTION("""COMPUTED_VALUE"""),"Audiobook : निरोग बने रहने के शाश्वत सिद्धान्त : Rare Book : druma4107@gmail.com : Recorded")</f>
        <v>Audiobook : निरोग बने रहने के शाश्वत सिद्धान्त : Rare Book : druma4107@gmail.com : Recorded</v>
      </c>
      <c r="CG959" s="1" t="str">
        <f ca="1">IFERROR(__xludf.DUMMYFUNCTION("""COMPUTED_VALUE"""),"Adarniya Dr Uma Agrawal ji निरोग बने रहने के शाश्वत सिद्धान्त : Rare Book : Allocated on 02-Jun-23 Contact Number  9410861182")</f>
        <v>Adarniya Dr Uma Agrawal ji निरोग बने रहने के शाश्वत सिद्धान्त : Rare Book : Allocated on 02-Jun-23 Contact Number  9410861182</v>
      </c>
      <c r="CH959" s="1"/>
      <c r="CI959" s="1"/>
    </row>
    <row r="960" spans="1:87" x14ac:dyDescent="0.25">
      <c r="A960" s="5">
        <f ca="1">IFERROR(__xludf.DUMMYFUNCTION("""COMPUTED_VALUE"""),45079.3267035185)</f>
        <v>45079.326703518498</v>
      </c>
      <c r="B960" s="1" t="str">
        <f ca="1">IFERROR(__xludf.DUMMYFUNCTION("""COMPUTED_VALUE"""),"sanjayneha1@yahoo.com")</f>
        <v>sanjayneha1@yahoo.com</v>
      </c>
      <c r="C960" s="1" t="str">
        <f ca="1">IFERROR(__xludf.DUMMYFUNCTION("""COMPUTED_VALUE"""),"Neha Manocha")</f>
        <v>Neha Manocha</v>
      </c>
      <c r="D960" s="1">
        <f ca="1">IFERROR(__xludf.DUMMYFUNCTION("""COMPUTED_VALUE"""),16174130446)</f>
        <v>16174130446</v>
      </c>
      <c r="E960" s="1" t="str">
        <f ca="1">IFERROR(__xludf.DUMMYFUNCTION("""COMPUTED_VALUE"""),"Yes")</f>
        <v>Yes</v>
      </c>
      <c r="F960" s="1" t="str">
        <f ca="1">IFERROR(__xludf.DUMMYFUNCTION("""COMPUTED_VALUE"""),"हिन्दी or English")</f>
        <v>हिन्दी or English</v>
      </c>
      <c r="G960" s="1" t="str">
        <f ca="1">IFERROR(__xludf.DUMMYFUNCTION("""COMPUTED_VALUE"""),"युग द्रष्टा पं. श्रीराम शर्मा आचार्यजी")</f>
        <v>युग द्रष्टा पं. श्रीराम शर्मा आचार्यजी</v>
      </c>
      <c r="H960" s="1"/>
      <c r="I960" s="1"/>
      <c r="J960" s="1"/>
      <c r="K960" s="1"/>
      <c r="L960" s="1"/>
      <c r="M960" s="1"/>
      <c r="N960" s="1"/>
      <c r="O960" s="1"/>
      <c r="P960" s="1" t="str">
        <f ca="1">IFERROR(__xludf.DUMMYFUNCTION("""COMPUTED_VALUE"""),"युगॠषी का जीवनदर्शन")</f>
        <v>युगॠषी का जीवनदर्शन</v>
      </c>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f ca="1">IFERROR(__xludf.DUMMYFUNCTION("""COMPUTED_VALUE"""),33)</f>
        <v>33</v>
      </c>
      <c r="BX960" s="1">
        <f ca="1">IFERROR(__xludf.DUMMYFUNCTION("""COMPUTED_VALUE"""),40)</f>
        <v>40</v>
      </c>
      <c r="BY960" s="1">
        <f ca="1">IFERROR(__xludf.DUMMYFUNCTION("""COMPUTED_VALUE"""),3)</f>
        <v>3</v>
      </c>
      <c r="BZ960" s="1">
        <f ca="1">IFERROR(__xludf.DUMMYFUNCTION("""COMPUTED_VALUE"""),22)</f>
        <v>22</v>
      </c>
      <c r="CA960" s="1" t="str">
        <f ca="1">IFERROR(__xludf.DUMMYFUNCTION("""COMPUTED_VALUE"""),"Yes")</f>
        <v>Yes</v>
      </c>
      <c r="CB960" s="5">
        <f ca="1">IFERROR(__xludf.DUMMYFUNCTION("""COMPUTED_VALUE"""),45089.3267035185)</f>
        <v>45089.326703518498</v>
      </c>
      <c r="CC960" s="1" t="str">
        <f ca="1">IFERROR(__xludf.DUMMYFUNCTION("""COMPUTED_VALUE"""),"Listen To Mahakal'S Call : EP_44")</f>
        <v>Listen To Mahakal'S Call : EP_44</v>
      </c>
      <c r="CD960" s="3" t="str">
        <f ca="1">IFERROR(__xludf.DUMMYFUNCTION("""COMPUTED_VALUE"""),"https://vicharkrantibooks.org/productdetail?book_name=ENGPE044_LISTEN_TO_MAHAKALS_CALL_xxyyyy&amp;product_id=3437")</f>
        <v>https://vicharkrantibooks.org/productdetail?book_name=ENGPE044_LISTEN_TO_MAHAKALS_CALL_xxyyyy&amp;product_id=3437</v>
      </c>
      <c r="CE960" s="1" t="str">
        <f ca="1">IFERROR(__xludf.DUMMYFUNCTION("""COMPUTED_VALUE"""),"Audiobook : Listen To Mahakal'S Call : EP_44 : sanjayneha1@yahoo.com : Recorded")</f>
        <v>Audiobook : Listen To Mahakal'S Call : EP_44 : sanjayneha1@yahoo.com : Recorded</v>
      </c>
      <c r="CF960" s="1" t="str">
        <f ca="1">IFERROR(__xludf.DUMMYFUNCTION("""COMPUTED_VALUE"""),"Audiobook : Listen To Mahakal'S Call : EP_44 : sanjayneha1@yahoo.com : Recorded")</f>
        <v>Audiobook : Listen To Mahakal'S Call : EP_44 : sanjayneha1@yahoo.com : Recorded</v>
      </c>
      <c r="CG960" s="1" t="str">
        <f ca="1">IFERROR(__xludf.DUMMYFUNCTION("""COMPUTED_VALUE"""),"Adarniya Neha Manocha ji Listen To Mahakal'S Call : EP_44 : Allocated on 02-Jun-23 Contact Number  16174130446")</f>
        <v>Adarniya Neha Manocha ji Listen To Mahakal'S Call : EP_44 : Allocated on 02-Jun-23 Contact Number  16174130446</v>
      </c>
      <c r="CH960" s="1"/>
      <c r="CI960" s="1"/>
    </row>
    <row r="961" spans="1:87" x14ac:dyDescent="0.25">
      <c r="A961" s="5">
        <f ca="1">IFERROR(__xludf.DUMMYFUNCTION("""COMPUTED_VALUE"""),45078.5715084953)</f>
        <v>45078.571508495297</v>
      </c>
      <c r="B961" s="1" t="str">
        <f ca="1">IFERROR(__xludf.DUMMYFUNCTION("""COMPUTED_VALUE"""),"amrita_dube@yahoo.com")</f>
        <v>amrita_dube@yahoo.com</v>
      </c>
      <c r="C961" s="1" t="str">
        <f ca="1">IFERROR(__xludf.DUMMYFUNCTION("""COMPUTED_VALUE"""),"Amrita")</f>
        <v>Amrita</v>
      </c>
      <c r="D961" s="1"/>
      <c r="E961" s="1" t="str">
        <f ca="1">IFERROR(__xludf.DUMMYFUNCTION("""COMPUTED_VALUE"""),"No")</f>
        <v>No</v>
      </c>
      <c r="F961" s="1" t="str">
        <f ca="1">IFERROR(__xludf.DUMMYFUNCTION("""COMPUTED_VALUE"""),"English")</f>
        <v>English</v>
      </c>
      <c r="G961" s="1" t="str">
        <f ca="1">IFERROR(__xludf.DUMMYFUNCTION("""COMPUTED_VALUE"""),"जीवन प्रबंध")</f>
        <v>जीवन प्रबंध</v>
      </c>
      <c r="H961" s="1"/>
      <c r="I961" s="1"/>
      <c r="J961" s="1"/>
      <c r="K961" s="1"/>
      <c r="L961" s="1" t="str">
        <f ca="1">IFERROR(__xludf.DUMMYFUNCTION("""COMPUTED_VALUE"""),"मन की शक्ति एवं मनोविज्ञान")</f>
        <v>मन की शक्ति एवं मनोविज्ञान</v>
      </c>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f ca="1">IFERROR(__xludf.DUMMYFUNCTION("""COMPUTED_VALUE"""),17)</f>
        <v>17</v>
      </c>
      <c r="BX961" s="1">
        <f ca="1">IFERROR(__xludf.DUMMYFUNCTION("""COMPUTED_VALUE"""),14)</f>
        <v>14</v>
      </c>
      <c r="BY961" s="1">
        <f ca="1">IFERROR(__xludf.DUMMYFUNCTION("""COMPUTED_VALUE"""),6)</f>
        <v>6</v>
      </c>
      <c r="BZ961" s="1">
        <f ca="1">IFERROR(__xludf.DUMMYFUNCTION("""COMPUTED_VALUE"""),5)</f>
        <v>5</v>
      </c>
      <c r="CA961" s="1" t="str">
        <f ca="1">IFERROR(__xludf.DUMMYFUNCTION("""COMPUTED_VALUE"""),"Yes")</f>
        <v>Yes</v>
      </c>
      <c r="CB961" s="5">
        <f ca="1">IFERROR(__xludf.DUMMYFUNCTION("""COMPUTED_VALUE"""),45088.5715084953)</f>
        <v>45088.571508495297</v>
      </c>
      <c r="CC961" s="1" t="str">
        <f ca="1">IFERROR(__xludf.DUMMYFUNCTION("""COMPUTED_VALUE"""),"Vedic Symbols : EP_68")</f>
        <v>Vedic Symbols : EP_68</v>
      </c>
      <c r="CD961" s="3" t="str">
        <f ca="1">IFERROR(__xludf.DUMMYFUNCTION("""COMPUTED_VALUE"""),"https://vicharkrantibooks.org/productdetail?book_name=ENGPE068_VEDIC_SYMBOLS_RE2011&amp;product_id=3458")</f>
        <v>https://vicharkrantibooks.org/productdetail?book_name=ENGPE068_VEDIC_SYMBOLS_RE2011&amp;product_id=3458</v>
      </c>
      <c r="CE961" s="1" t="str">
        <f ca="1">IFERROR(__xludf.DUMMYFUNCTION("""COMPUTED_VALUE"""),"Audiobook : Vedic Symbols : EP_68 : amrita_dube@yahoo.com : Recorded")</f>
        <v>Audiobook : Vedic Symbols : EP_68 : amrita_dube@yahoo.com : Recorded</v>
      </c>
      <c r="CF961" s="1" t="str">
        <f ca="1">IFERROR(__xludf.DUMMYFUNCTION("""COMPUTED_VALUE"""),"Audiobook : Vedic Symbols : EP_68 : amrita_dube@yahoo.com : Recorded")</f>
        <v>Audiobook : Vedic Symbols : EP_68 : amrita_dube@yahoo.com : Recorded</v>
      </c>
      <c r="CG961" s="1" t="str">
        <f ca="1">IFERROR(__xludf.DUMMYFUNCTION("""COMPUTED_VALUE"""),"Adarniya Amrita ji Vedic Symbols : EP_68 : Allocated on 01-Jun-23 Contact Number  ")</f>
        <v xml:space="preserve">Adarniya Amrita ji Vedic Symbols : EP_68 : Allocated on 01-Jun-23 Contact Number  </v>
      </c>
      <c r="CH961" s="1"/>
      <c r="CI961" s="1"/>
    </row>
    <row r="962" spans="1:87" x14ac:dyDescent="0.25">
      <c r="A962" s="5">
        <f ca="1">IFERROR(__xludf.DUMMYFUNCTION("""COMPUTED_VALUE"""),45078.3809201967)</f>
        <v>45078.380920196701</v>
      </c>
      <c r="B962" s="1" t="str">
        <f ca="1">IFERROR(__xludf.DUMMYFUNCTION("""COMPUTED_VALUE"""),"shivisweetmusic@gmail.com")</f>
        <v>shivisweetmusic@gmail.com</v>
      </c>
      <c r="C962" s="1" t="str">
        <f ca="1">IFERROR(__xludf.DUMMYFUNCTION("""COMPUTED_VALUE"""),"Shivangini")</f>
        <v>Shivangini</v>
      </c>
      <c r="D962" s="1" t="str">
        <f ca="1">IFERROR(__xludf.DUMMYFUNCTION("""COMPUTED_VALUE"""),"+971506036052")</f>
        <v>+971506036052</v>
      </c>
      <c r="E962" s="1" t="str">
        <f ca="1">IFERROR(__xludf.DUMMYFUNCTION("""COMPUTED_VALUE"""),"Yes")</f>
        <v>Yes</v>
      </c>
      <c r="F962" s="1" t="str">
        <f ca="1">IFERROR(__xludf.DUMMYFUNCTION("""COMPUTED_VALUE"""),"हिन्दी")</f>
        <v>हिन्दी</v>
      </c>
      <c r="G962" s="1" t="str">
        <f ca="1">IFERROR(__xludf.DUMMYFUNCTION("""COMPUTED_VALUE"""),"जीवन प्रबंध")</f>
        <v>जीवन प्रबंध</v>
      </c>
      <c r="H962" s="1"/>
      <c r="I962" s="1"/>
      <c r="J962" s="1"/>
      <c r="K962" s="1"/>
      <c r="L962" s="1" t="str">
        <f ca="1">IFERROR(__xludf.DUMMYFUNCTION("""COMPUTED_VALUE"""),"सफल, संतुष्ट एवं सुखी जीवन")</f>
        <v>सफल, संतुष्ट एवं सुखी जीवन</v>
      </c>
      <c r="M962" s="1"/>
      <c r="N962" s="1"/>
      <c r="O962" s="1"/>
      <c r="P962" s="1"/>
      <c r="Q962" s="1"/>
      <c r="R962" s="1"/>
      <c r="S962" s="1"/>
      <c r="T962" s="1" t="str">
        <f ca="1">IFERROR(__xludf.DUMMYFUNCTION("""COMPUTED_VALUE"""),"Done")</f>
        <v>Done</v>
      </c>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f ca="1">IFERROR(__xludf.DUMMYFUNCTION("""COMPUTED_VALUE"""),3)</f>
        <v>3</v>
      </c>
      <c r="BX962" s="1">
        <f ca="1">IFERROR(__xludf.DUMMYFUNCTION("""COMPUTED_VALUE"""),0)</f>
        <v>0</v>
      </c>
      <c r="BY962" s="1">
        <f ca="1">IFERROR(__xludf.DUMMYFUNCTION("""COMPUTED_VALUE"""),0)</f>
        <v>0</v>
      </c>
      <c r="BZ962" s="1">
        <f ca="1">IFERROR(__xludf.DUMMYFUNCTION("""COMPUTED_VALUE"""),0)</f>
        <v>0</v>
      </c>
      <c r="CA962" s="1" t="str">
        <f ca="1">IFERROR(__xludf.DUMMYFUNCTION("""COMPUTED_VALUE"""),"Yes")</f>
        <v>Yes</v>
      </c>
      <c r="CB962" s="5">
        <f ca="1">IFERROR(__xludf.DUMMYFUNCTION("""COMPUTED_VALUE"""),45088.3809201967)</f>
        <v>45088.380920196701</v>
      </c>
      <c r="CC962" s="1" t="str">
        <f ca="1">IFERROR(__xludf.DUMMYFUNCTION("""COMPUTED_VALUE"""),"ss1")</f>
        <v>ss1</v>
      </c>
      <c r="CD962" s="1"/>
      <c r="CE962" s="1" t="str">
        <f ca="1">IFERROR(__xludf.DUMMYFUNCTION("""COMPUTED_VALUE"""),"Audiobook : ss1 : shivisweetmusic@gmail.com : Recorded")</f>
        <v>Audiobook : ss1 : shivisweetmusic@gmail.com : Recorded</v>
      </c>
      <c r="CF962" s="1"/>
      <c r="CG962" s="1" t="str">
        <f ca="1">IFERROR(__xludf.DUMMYFUNCTION("""COMPUTED_VALUE"""),"Adarniya Shivangini ji ss1 : Allocated on 01-Jun-23 Contact Number  +971506036052")</f>
        <v>Adarniya Shivangini ji ss1 : Allocated on 01-Jun-23 Contact Number  +971506036052</v>
      </c>
      <c r="CH962" s="1"/>
      <c r="CI962" s="1"/>
    </row>
    <row r="963" spans="1:87" x14ac:dyDescent="0.25">
      <c r="A963" s="5">
        <f ca="1">IFERROR(__xludf.DUMMYFUNCTION("""COMPUTED_VALUE"""),45077.2401586805)</f>
        <v>45077.240158680499</v>
      </c>
      <c r="B963" s="1" t="str">
        <f ca="1">IFERROR(__xludf.DUMMYFUNCTION("""COMPUTED_VALUE"""),"csprasad108@gmail.com")</f>
        <v>csprasad108@gmail.com</v>
      </c>
      <c r="C963" s="1" t="str">
        <f ca="1">IFERROR(__xludf.DUMMYFUNCTION("""COMPUTED_VALUE"""),"Kumkum prasad")</f>
        <v>Kumkum prasad</v>
      </c>
      <c r="D963" s="1">
        <f ca="1">IFERROR(__xludf.DUMMYFUNCTION("""COMPUTED_VALUE"""),7978055621)</f>
        <v>7978055621</v>
      </c>
      <c r="E963" s="1"/>
      <c r="F963" s="1" t="str">
        <f ca="1">IFERROR(__xludf.DUMMYFUNCTION("""COMPUTED_VALUE"""),"हिन्दी")</f>
        <v>हिन्दी</v>
      </c>
      <c r="G963" s="1" t="str">
        <f ca="1">IFERROR(__xludf.DUMMYFUNCTION("""COMPUTED_VALUE"""),"अध्यात्म, धर्म एवं दर्शन")</f>
        <v>अध्यात्म, धर्म एवं दर्शन</v>
      </c>
      <c r="H963" s="1" t="str">
        <f ca="1">IFERROR(__xludf.DUMMYFUNCTION("""COMPUTED_VALUE"""),"अध्यात्म, धर्म एवं आस्तिकता")</f>
        <v>अध्यात्म, धर्म एवं आस्तिकता</v>
      </c>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f ca="1">IFERROR(__xludf.DUMMYFUNCTION("""COMPUTED_VALUE"""),52)</f>
        <v>52</v>
      </c>
      <c r="BX963" s="1">
        <f ca="1">IFERROR(__xludf.DUMMYFUNCTION("""COMPUTED_VALUE"""),54)</f>
        <v>54</v>
      </c>
      <c r="BY963" s="1">
        <f ca="1">IFERROR(__xludf.DUMMYFUNCTION("""COMPUTED_VALUE"""),3)</f>
        <v>3</v>
      </c>
      <c r="BZ963" s="1">
        <f ca="1">IFERROR(__xludf.DUMMYFUNCTION("""COMPUTED_VALUE"""),24)</f>
        <v>24</v>
      </c>
      <c r="CA963" s="1" t="str">
        <f ca="1">IFERROR(__xludf.DUMMYFUNCTION("""COMPUTED_VALUE"""),"Yes")</f>
        <v>Yes</v>
      </c>
      <c r="CB963" s="5">
        <f ca="1">IFERROR(__xludf.DUMMYFUNCTION("""COMPUTED_VALUE"""),45087.2401586805)</f>
        <v>45087.240158680499</v>
      </c>
      <c r="CC963" s="1" t="str">
        <f ca="1">IFERROR(__xludf.DUMMYFUNCTION("""COMPUTED_VALUE"""),"देवशक्तियों का पूजन कैसे करें? : H_JS_86")</f>
        <v>देवशक्तियों का पूजन कैसे करें? : H_JS_86</v>
      </c>
      <c r="CD963" s="3" t="str">
        <f ca="1">IFERROR(__xludf.DUMMYFUNCTION("""COMPUTED_VALUE"""),"https://vicharkrantibooks.org/productdetail?book_name=HINP0219_DEVASHAKTIYON_KA_PUJAN_KAISE_KAREN_xx2011&amp;product_id=784")</f>
        <v>https://vicharkrantibooks.org/productdetail?book_name=HINP0219_DEVASHAKTIYON_KA_PUJAN_KAISE_KAREN_xx2011&amp;product_id=784</v>
      </c>
      <c r="CE963" s="1" t="str">
        <f ca="1">IFERROR(__xludf.DUMMYFUNCTION("""COMPUTED_VALUE"""),"Audiobook : देवशक्तियों का पूजन कैसे करें? : H_JS_86 : csprasad108@gmail.com : Recorded")</f>
        <v>Audiobook : देवशक्तियों का पूजन कैसे करें? : H_JS_86 : csprasad108@gmail.com : Recorded</v>
      </c>
      <c r="CF963" s="1" t="str">
        <f ca="1">IFERROR(__xludf.DUMMYFUNCTION("""COMPUTED_VALUE"""),"Audiobook : देवशक्तियों का पूजन कैसे करें? : H_JS_86 : csprasad108@gmail.com : Recorded")</f>
        <v>Audiobook : देवशक्तियों का पूजन कैसे करें? : H_JS_86 : csprasad108@gmail.com : Recorded</v>
      </c>
      <c r="CG963" s="1" t="str">
        <f ca="1">IFERROR(__xludf.DUMMYFUNCTION("""COMPUTED_VALUE"""),"Adarniya Kumkum prasad ji देवशक्तियों का पूजन कैसे करें? : H_JS_86 : Allocated on 31-May-23 Contact Number  7978055621")</f>
        <v>Adarniya Kumkum prasad ji देवशक्तियों का पूजन कैसे करें? : H_JS_86 : Allocated on 31-May-23 Contact Number  7978055621</v>
      </c>
      <c r="CH963" s="1"/>
      <c r="CI963" s="1"/>
    </row>
    <row r="964" spans="1:87" x14ac:dyDescent="0.25">
      <c r="A964" s="5">
        <f ca="1">IFERROR(__xludf.DUMMYFUNCTION("""COMPUTED_VALUE"""),45076.9398072337)</f>
        <v>45076.939807233699</v>
      </c>
      <c r="B964" s="1" t="str">
        <f ca="1">IFERROR(__xludf.DUMMYFUNCTION("""COMPUTED_VALUE"""),"nksaxena.yoga@gmail.com")</f>
        <v>nksaxena.yoga@gmail.com</v>
      </c>
      <c r="C964" s="1" t="str">
        <f ca="1">IFERROR(__xludf.DUMMYFUNCTION("""COMPUTED_VALUE"""),"Narendra Kumar Saxena ")</f>
        <v xml:space="preserve">Narendra Kumar Saxena </v>
      </c>
      <c r="D964" s="1" t="str">
        <f ca="1">IFERROR(__xludf.DUMMYFUNCTION("""COMPUTED_VALUE"""),"+918826499188")</f>
        <v>+918826499188</v>
      </c>
      <c r="E964" s="1" t="str">
        <f ca="1">IFERROR(__xludf.DUMMYFUNCTION("""COMPUTED_VALUE"""),"Yes")</f>
        <v>Yes</v>
      </c>
      <c r="F964" s="1" t="str">
        <f ca="1">IFERROR(__xludf.DUMMYFUNCTION("""COMPUTED_VALUE"""),"हिन्दी")</f>
        <v>हिन्दी</v>
      </c>
      <c r="G964" s="1" t="str">
        <f ca="1">IFERROR(__xludf.DUMMYFUNCTION("""COMPUTED_VALUE"""),"समग्र स्वास्थ्य")</f>
        <v>समग्र स्वास्थ्य</v>
      </c>
      <c r="H964" s="1"/>
      <c r="I964" s="1"/>
      <c r="J964" s="1"/>
      <c r="K964" s="1"/>
      <c r="L964" s="1"/>
      <c r="M964" s="1"/>
      <c r="N964" s="1"/>
      <c r="O964" s="1"/>
      <c r="P964" s="1"/>
      <c r="Q964" s="1"/>
      <c r="R964" s="1"/>
      <c r="S964" s="1"/>
      <c r="T964" s="1"/>
      <c r="U964" s="1" t="str">
        <f ca="1">IFERROR(__xludf.DUMMYFUNCTION("""COMPUTED_VALUE"""),"आहार-विहार एवं उपवास")</f>
        <v>आहार-विहार एवं उपवास</v>
      </c>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f ca="1">IFERROR(__xludf.DUMMYFUNCTION("""COMPUTED_VALUE"""),29)</f>
        <v>29</v>
      </c>
      <c r="BX964" s="1">
        <f ca="1">IFERROR(__xludf.DUMMYFUNCTION("""COMPUTED_VALUE"""),30)</f>
        <v>30</v>
      </c>
      <c r="BY964" s="1">
        <f ca="1">IFERROR(__xludf.DUMMYFUNCTION("""COMPUTED_VALUE"""),3)</f>
        <v>3</v>
      </c>
      <c r="BZ964" s="1">
        <f ca="1">IFERROR(__xludf.DUMMYFUNCTION("""COMPUTED_VALUE"""),25)</f>
        <v>25</v>
      </c>
      <c r="CA964" s="1" t="str">
        <f ca="1">IFERROR(__xludf.DUMMYFUNCTION("""COMPUTED_VALUE"""),"Yes")</f>
        <v>Yes</v>
      </c>
      <c r="CB964" s="5">
        <f ca="1">IFERROR(__xludf.DUMMYFUNCTION("""COMPUTED_VALUE"""),45086.9398072337)</f>
        <v>45086.939807233699</v>
      </c>
      <c r="CC964" s="1" t="str">
        <f ca="1">IFERROR(__xludf.DUMMYFUNCTION("""COMPUTED_VALUE"""),"शाकाहार (अंकुरित आहार) : H_SV_45")</f>
        <v>शाकाहार (अंकुरित आहार) : H_SV_45</v>
      </c>
      <c r="CD964" s="3" t="str">
        <f ca="1">IFERROR(__xludf.DUMMYFUNCTION("""COMPUTED_VALUE"""),"https://vicharkrantibooks.org/productdetail?book_name=HINP0831_SHAKAHAR_(ANKURIT_AHAR)_xxyyyy&amp;product_id=1396")</f>
        <v>https://vicharkrantibooks.org/productdetail?book_name=HINP0831_SHAKAHAR_(ANKURIT_AHAR)_xxyyyy&amp;product_id=1396</v>
      </c>
      <c r="CE964" s="1" t="str">
        <f ca="1">IFERROR(__xludf.DUMMYFUNCTION("""COMPUTED_VALUE"""),"Audiobook : शाकाहार (अंकुरित आहार) : H_SV_45 : nksaxena.yoga@gmail.com : Recorded")</f>
        <v>Audiobook : शाकाहार (अंकुरित आहार) : H_SV_45 : nksaxena.yoga@gmail.com : Recorded</v>
      </c>
      <c r="CF964" s="1" t="str">
        <f ca="1">IFERROR(__xludf.DUMMYFUNCTION("""COMPUTED_VALUE"""),"Audiobook : शाकाहार (अंकुरित आहार) : H_SV_45 : nksaxena.yoga@gmail.com : Recorded")</f>
        <v>Audiobook : शाकाहार (अंकुरित आहार) : H_SV_45 : nksaxena.yoga@gmail.com : Recorded</v>
      </c>
      <c r="CG964" s="1" t="str">
        <f ca="1">IFERROR(__xludf.DUMMYFUNCTION("""COMPUTED_VALUE"""),"Adarniya Narendra Kumar Saxena  ji शाकाहार (अंकुरित आहार) : H_SV_45 : Allocated on 30-May-23 Contact Number  +918826499188")</f>
        <v>Adarniya Narendra Kumar Saxena  ji शाकाहार (अंकुरित आहार) : H_SV_45 : Allocated on 30-May-23 Contact Number  +918826499188</v>
      </c>
      <c r="CH964" s="1"/>
      <c r="CI964" s="1"/>
    </row>
    <row r="965" spans="1:87" x14ac:dyDescent="0.25">
      <c r="A965" s="5">
        <f ca="1">IFERROR(__xludf.DUMMYFUNCTION("""COMPUTED_VALUE"""),45076.9055228935)</f>
        <v>45076.905522893503</v>
      </c>
      <c r="B965" s="1" t="str">
        <f ca="1">IFERROR(__xludf.DUMMYFUNCTION("""COMPUTED_VALUE"""),"spmittalmumbai@gmail.com")</f>
        <v>spmittalmumbai@gmail.com</v>
      </c>
      <c r="C965" s="1" t="str">
        <f ca="1">IFERROR(__xludf.DUMMYFUNCTION("""COMPUTED_VALUE"""),"SPMittal")</f>
        <v>SPMittal</v>
      </c>
      <c r="D965" s="1">
        <f ca="1">IFERROR(__xludf.DUMMYFUNCTION("""COMPUTED_VALUE"""),9860003407)</f>
        <v>9860003407</v>
      </c>
      <c r="E965" s="1" t="str">
        <f ca="1">IFERROR(__xludf.DUMMYFUNCTION("""COMPUTED_VALUE"""),"Yes")</f>
        <v>Yes</v>
      </c>
      <c r="F965" s="1" t="str">
        <f ca="1">IFERROR(__xludf.DUMMYFUNCTION("""COMPUTED_VALUE"""),"हिन्दी")</f>
        <v>हिन्दी</v>
      </c>
      <c r="G965" s="1" t="str">
        <f ca="1">IFERROR(__xludf.DUMMYFUNCTION("""COMPUTED_VALUE"""),"समग्र स्वास्थ्य")</f>
        <v>समग्र स्वास्थ्य</v>
      </c>
      <c r="H965" s="1"/>
      <c r="I965" s="1"/>
      <c r="J965" s="1"/>
      <c r="K965" s="1"/>
      <c r="L965" s="1"/>
      <c r="M965" s="1"/>
      <c r="N965" s="1"/>
      <c r="O965" s="1"/>
      <c r="P965" s="1"/>
      <c r="Q965" s="1"/>
      <c r="R965" s="1"/>
      <c r="S965" s="1"/>
      <c r="T965" s="1"/>
      <c r="U965" s="1" t="str">
        <f ca="1">IFERROR(__xludf.DUMMYFUNCTION("""COMPUTED_VALUE"""),"मानसिक स्वास्थ्य")</f>
        <v>मानसिक स्वास्थ्य</v>
      </c>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f ca="1">IFERROR(__xludf.DUMMYFUNCTION("""COMPUTED_VALUE"""),39)</f>
        <v>39</v>
      </c>
      <c r="BX965" s="1">
        <f ca="1">IFERROR(__xludf.DUMMYFUNCTION("""COMPUTED_VALUE"""),32)</f>
        <v>32</v>
      </c>
      <c r="BY965" s="1">
        <f ca="1">IFERROR(__xludf.DUMMYFUNCTION("""COMPUTED_VALUE"""),11)</f>
        <v>11</v>
      </c>
      <c r="BZ965" s="1">
        <f ca="1">IFERROR(__xludf.DUMMYFUNCTION("""COMPUTED_VALUE"""),23)</f>
        <v>23</v>
      </c>
      <c r="CA965" s="1" t="str">
        <f ca="1">IFERROR(__xludf.DUMMYFUNCTION("""COMPUTED_VALUE"""),"Yes")</f>
        <v>Yes</v>
      </c>
      <c r="CB965" s="5">
        <f ca="1">IFERROR(__xludf.DUMMYFUNCTION("""COMPUTED_VALUE"""),45086.9055228935)</f>
        <v>45086.905522893503</v>
      </c>
      <c r="CC965" s="1" t="str">
        <f ca="1">IFERROR(__xludf.DUMMYFUNCTION("""COMPUTED_VALUE"""),"मानसिक तनाव से बचें : H_PP_30")</f>
        <v>मानसिक तनाव से बचें : H_PP_30</v>
      </c>
      <c r="CD965" s="3" t="str">
        <f ca="1">IFERROR(__xludf.DUMMYFUNCTION("""COMPUTED_VALUE"""),"https://vicharkrantibooks.org/productdetail?book_name=HINP0498_MANASIK_TANAV_SE_BACHEN_xxyyyy&amp;product_id=1063")</f>
        <v>https://vicharkrantibooks.org/productdetail?book_name=HINP0498_MANASIK_TANAV_SE_BACHEN_xxyyyy&amp;product_id=1063</v>
      </c>
      <c r="CE965" s="1" t="str">
        <f ca="1">IFERROR(__xludf.DUMMYFUNCTION("""COMPUTED_VALUE"""),"Audiobook : मानसिक तनाव से बचें : H_PP_30 : spmittalmumbai@gmail.com : Recorded")</f>
        <v>Audiobook : मानसिक तनाव से बचें : H_PP_30 : spmittalmumbai@gmail.com : Recorded</v>
      </c>
      <c r="CF965" s="1" t="str">
        <f ca="1">IFERROR(__xludf.DUMMYFUNCTION("""COMPUTED_VALUE"""),"Audiobook : मानसिक तनाव से बचें : H_PP_30 : spmittalmumbai@gmail.com : Recorded")</f>
        <v>Audiobook : मानसिक तनाव से बचें : H_PP_30 : spmittalmumbai@gmail.com : Recorded</v>
      </c>
      <c r="CG965" s="1" t="str">
        <f ca="1">IFERROR(__xludf.DUMMYFUNCTION("""COMPUTED_VALUE"""),"Adarniya SPMittal ji मानसिक तनाव से बचें : H_PP_30 : Allocated on 30-May-23 Contact Number  9860003407")</f>
        <v>Adarniya SPMittal ji मानसिक तनाव से बचें : H_PP_30 : Allocated on 30-May-23 Contact Number  9860003407</v>
      </c>
      <c r="CH965" s="1"/>
      <c r="CI965" s="1"/>
    </row>
    <row r="966" spans="1:87" x14ac:dyDescent="0.25">
      <c r="A966" s="5">
        <f ca="1">IFERROR(__xludf.DUMMYFUNCTION("""COMPUTED_VALUE"""),45075.8117236458)</f>
        <v>45075.811723645798</v>
      </c>
      <c r="B966" s="1" t="str">
        <f ca="1">IFERROR(__xludf.DUMMYFUNCTION("""COMPUTED_VALUE"""),"smartpragnesh@gmail.com")</f>
        <v>smartpragnesh@gmail.com</v>
      </c>
      <c r="C966" s="1" t="str">
        <f ca="1">IFERROR(__xludf.DUMMYFUNCTION("""COMPUTED_VALUE"""),"Pragnesh Prajapati")</f>
        <v>Pragnesh Prajapati</v>
      </c>
      <c r="D966" s="1">
        <f ca="1">IFERROR(__xludf.DUMMYFUNCTION("""COMPUTED_VALUE"""),9904076456)</f>
        <v>9904076456</v>
      </c>
      <c r="E966" s="1" t="str">
        <f ca="1">IFERROR(__xludf.DUMMYFUNCTION("""COMPUTED_VALUE"""),"Yes")</f>
        <v>Yes</v>
      </c>
      <c r="F966" s="1" t="str">
        <f ca="1">IFERROR(__xludf.DUMMYFUNCTION("""COMPUTED_VALUE"""),"हिन्दी")</f>
        <v>हिन्दी</v>
      </c>
      <c r="G966" s="1" t="str">
        <f ca="1">IFERROR(__xludf.DUMMYFUNCTION("""COMPUTED_VALUE"""),"व्यक्ति निर्माण, युवा/विद्यार्थी एवं शिक्षक")</f>
        <v>व्यक्ति निर्माण, युवा/विद्यार्थी एवं शिक्षक</v>
      </c>
      <c r="H966" s="1"/>
      <c r="I966" s="1"/>
      <c r="J966" s="1"/>
      <c r="K966" s="1"/>
      <c r="L966" s="1"/>
      <c r="M966" s="1"/>
      <c r="N966" s="1"/>
      <c r="O966" s="1"/>
      <c r="P966" s="1"/>
      <c r="Q966" s="1"/>
      <c r="R966" s="1"/>
      <c r="S966" s="1"/>
      <c r="T966" s="1" t="str">
        <f ca="1">IFERROR(__xludf.DUMMYFUNCTION("""COMPUTED_VALUE"""),"व्यक्तित्व परिष्कार")</f>
        <v>व्यक्तित्व परिष्कार</v>
      </c>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f ca="1">IFERROR(__xludf.DUMMYFUNCTION("""COMPUTED_VALUE"""),2)</f>
        <v>2</v>
      </c>
      <c r="BX966" s="1">
        <f ca="1">IFERROR(__xludf.DUMMYFUNCTION("""COMPUTED_VALUE"""),3)</f>
        <v>3</v>
      </c>
      <c r="BY966" s="1">
        <f ca="1">IFERROR(__xludf.DUMMYFUNCTION("""COMPUTED_VALUE"""),1)</f>
        <v>1</v>
      </c>
      <c r="BZ966" s="1">
        <f ca="1">IFERROR(__xludf.DUMMYFUNCTION("""COMPUTED_VALUE"""),0)</f>
        <v>0</v>
      </c>
      <c r="CA966" s="1" t="str">
        <f ca="1">IFERROR(__xludf.DUMMYFUNCTION("""COMPUTED_VALUE"""),"Yes")</f>
        <v>Yes</v>
      </c>
      <c r="CB966" s="5">
        <f ca="1">IFERROR(__xludf.DUMMYFUNCTION("""COMPUTED_VALUE"""),45085.8117236458)</f>
        <v>45085.811723645798</v>
      </c>
      <c r="CC966" s="1" t="str">
        <f ca="1">IFERROR(__xludf.DUMMYFUNCTION("""COMPUTED_VALUE"""),"आत्मबल सम्पादन के चार प्रमुख आधार : Rare Book")</f>
        <v>आत्मबल सम्पादन के चार प्रमुख आधार : Rare Book</v>
      </c>
      <c r="CD966" s="3" t="str">
        <f ca="1">IFERROR(__xludf.DUMMYFUNCTION("""COMPUTED_VALUE"""),"https://vicharkrantibooks.org/productdetail?book_name=HINP0092_ATMABAL_SAMPADAN_KE_CHAR_PRAMUKH_ADHAR_xx1982&amp;product_id=657")</f>
        <v>https://vicharkrantibooks.org/productdetail?book_name=HINP0092_ATMABAL_SAMPADAN_KE_CHAR_PRAMUKH_ADHAR_xx1982&amp;product_id=657</v>
      </c>
      <c r="CE966" s="1" t="str">
        <f ca="1">IFERROR(__xludf.DUMMYFUNCTION("""COMPUTED_VALUE"""),"Audiobook : आत्मबल सम्पादन के चार प्रमुख आधार : Rare Book : smartpragnesh@gmail.com : Recorded")</f>
        <v>Audiobook : आत्मबल सम्पादन के चार प्रमुख आधार : Rare Book : smartpragnesh@gmail.com : Recorded</v>
      </c>
      <c r="CF966" s="1" t="str">
        <f ca="1">IFERROR(__xludf.DUMMYFUNCTION("""COMPUTED_VALUE"""),"#N/A")</f>
        <v>#N/A</v>
      </c>
      <c r="CG966" s="1" t="str">
        <f ca="1">IFERROR(__xludf.DUMMYFUNCTION("""COMPUTED_VALUE"""),"Adarniya Pragnesh Prajapati ji आत्मबल सम्पादन के चार प्रमुख आधार : Rare Book : Allocated on 29-May-23 Contact Number  9904076456")</f>
        <v>Adarniya Pragnesh Prajapati ji आत्मबल सम्पादन के चार प्रमुख आधार : Rare Book : Allocated on 29-May-23 Contact Number  9904076456</v>
      </c>
      <c r="CH966" s="1"/>
      <c r="CI966" s="1"/>
    </row>
    <row r="967" spans="1:87" x14ac:dyDescent="0.25">
      <c r="A967" s="5">
        <f ca="1">IFERROR(__xludf.DUMMYFUNCTION("""COMPUTED_VALUE"""),45075.4277618981)</f>
        <v>45075.4277618981</v>
      </c>
      <c r="B967" s="1" t="str">
        <f ca="1">IFERROR(__xludf.DUMMYFUNCTION("""COMPUTED_VALUE"""),"rajniverma24.vns@gmail.com")</f>
        <v>rajniverma24.vns@gmail.com</v>
      </c>
      <c r="C967" s="1" t="str">
        <f ca="1">IFERROR(__xludf.DUMMYFUNCTION("""COMPUTED_VALUE"""),"Rajni varma")</f>
        <v>Rajni varma</v>
      </c>
      <c r="D967" s="1">
        <f ca="1">IFERROR(__xludf.DUMMYFUNCTION("""COMPUTED_VALUE"""),9335661433)</f>
        <v>9335661433</v>
      </c>
      <c r="E967" s="1" t="str">
        <f ca="1">IFERROR(__xludf.DUMMYFUNCTION("""COMPUTED_VALUE"""),"No")</f>
        <v>No</v>
      </c>
      <c r="F967" s="1" t="str">
        <f ca="1">IFERROR(__xludf.DUMMYFUNCTION("""COMPUTED_VALUE"""),"हिन्दी")</f>
        <v>हिन्दी</v>
      </c>
      <c r="G967" s="1" t="str">
        <f ca="1">IFERROR(__xludf.DUMMYFUNCTION("""COMPUTED_VALUE"""),"अध्यात्म, धर्म एवं दर्शन")</f>
        <v>अध्यात्म, धर्म एवं दर्शन</v>
      </c>
      <c r="H967" s="1" t="str">
        <f ca="1">IFERROR(__xludf.DUMMYFUNCTION("""COMPUTED_VALUE"""),"अध्यात्म, धर्म एवं आस्तिकता")</f>
        <v>अध्यात्म, धर्म एवं आस्तिकता</v>
      </c>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f ca="1">IFERROR(__xludf.DUMMYFUNCTION("""COMPUTED_VALUE"""),9)</f>
        <v>9</v>
      </c>
      <c r="BX967" s="1">
        <f ca="1">IFERROR(__xludf.DUMMYFUNCTION("""COMPUTED_VALUE"""),6)</f>
        <v>6</v>
      </c>
      <c r="BY967" s="1">
        <f ca="1">IFERROR(__xludf.DUMMYFUNCTION("""COMPUTED_VALUE"""),3)</f>
        <v>3</v>
      </c>
      <c r="BZ967" s="1">
        <f ca="1">IFERROR(__xludf.DUMMYFUNCTION("""COMPUTED_VALUE"""),1)</f>
        <v>1</v>
      </c>
      <c r="CA967" s="1" t="str">
        <f ca="1">IFERROR(__xludf.DUMMYFUNCTION("""COMPUTED_VALUE"""),"Yes")</f>
        <v>Yes</v>
      </c>
      <c r="CB967" s="5">
        <f ca="1">IFERROR(__xludf.DUMMYFUNCTION("""COMPUTED_VALUE"""),45085.4277618981)</f>
        <v>45085.4277618981</v>
      </c>
      <c r="CC967" s="1" t="str">
        <f ca="1">IFERROR(__xludf.DUMMYFUNCTION("""COMPUTED_VALUE"""),"देवताओं के वरदान सत्प्रवृत्तियाँ : H_JS_81")</f>
        <v>देवताओं के वरदान सत्प्रवृत्तियाँ : H_JS_81</v>
      </c>
      <c r="CD967" s="3" t="str">
        <f ca="1">IFERROR(__xludf.DUMMYFUNCTION("""COMPUTED_VALUE"""),"https://vicharkrantibooks.org/productdetail?book_name=HINP0221_DEVATAON_KE_VARADAN_SATPRAVRUTTIYAN_xx2011&amp;product_id=786")</f>
        <v>https://vicharkrantibooks.org/productdetail?book_name=HINP0221_DEVATAON_KE_VARADAN_SATPRAVRUTTIYAN_xx2011&amp;product_id=786</v>
      </c>
      <c r="CE967" s="1" t="str">
        <f ca="1">IFERROR(__xludf.DUMMYFUNCTION("""COMPUTED_VALUE"""),"Audiobook : देवताओं के वरदान सत्प्रवृत्तियाँ : H_JS_81 : rajniverma24.vns@gmail.com : Recorded")</f>
        <v>Audiobook : देवताओं के वरदान सत्प्रवृत्तियाँ : H_JS_81 : rajniverma24.vns@gmail.com : Recorded</v>
      </c>
      <c r="CF967" s="1" t="str">
        <f ca="1">IFERROR(__xludf.DUMMYFUNCTION("""COMPUTED_VALUE"""),"#N/A")</f>
        <v>#N/A</v>
      </c>
      <c r="CG967" s="1" t="str">
        <f ca="1">IFERROR(__xludf.DUMMYFUNCTION("""COMPUTED_VALUE"""),"Adarniya Rajni varma ji देवताओं के वरदान सत्प्रवृत्तियाँ : H_JS_81 : Allocated on 29-May-23 Contact Number  9335661433")</f>
        <v>Adarniya Rajni varma ji देवताओं के वरदान सत्प्रवृत्तियाँ : H_JS_81 : Allocated on 29-May-23 Contact Number  9335661433</v>
      </c>
      <c r="CH967" s="1"/>
      <c r="CI967" s="1"/>
    </row>
    <row r="968" spans="1:87" x14ac:dyDescent="0.25">
      <c r="A968" s="5">
        <f ca="1">IFERROR(__xludf.DUMMYFUNCTION("""COMPUTED_VALUE"""),45074.5671630787)</f>
        <v>45074.567163078696</v>
      </c>
      <c r="B968" s="1" t="str">
        <f ca="1">IFERROR(__xludf.DUMMYFUNCTION("""COMPUTED_VALUE"""),"richasharma310575@gmail.com")</f>
        <v>richasharma310575@gmail.com</v>
      </c>
      <c r="C968" s="1" t="str">
        <f ca="1">IFERROR(__xludf.DUMMYFUNCTION("""COMPUTED_VALUE"""),"Richa Sharma")</f>
        <v>Richa Sharma</v>
      </c>
      <c r="D968" s="1" t="str">
        <f ca="1">IFERROR(__xludf.DUMMYFUNCTION("""COMPUTED_VALUE"""),"09479664049")</f>
        <v>09479664049</v>
      </c>
      <c r="E968" s="1" t="str">
        <f ca="1">IFERROR(__xludf.DUMMYFUNCTION("""COMPUTED_VALUE"""),"Yes")</f>
        <v>Yes</v>
      </c>
      <c r="F968" s="1" t="str">
        <f ca="1">IFERROR(__xludf.DUMMYFUNCTION("""COMPUTED_VALUE"""),"हिन्दी")</f>
        <v>हिन्दी</v>
      </c>
      <c r="G968" s="1" t="str">
        <f ca="1">IFERROR(__xludf.DUMMYFUNCTION("""COMPUTED_VALUE"""),"राष्ट्र निर्माण")</f>
        <v>राष्ट्र निर्माण</v>
      </c>
      <c r="H968" s="1"/>
      <c r="I968" s="1"/>
      <c r="J968" s="1"/>
      <c r="K968" s="1"/>
      <c r="L968" s="1"/>
      <c r="M968" s="1"/>
      <c r="N968" s="1"/>
      <c r="O968" s="1"/>
      <c r="P968" s="1"/>
      <c r="Q968" s="1"/>
      <c r="R968" s="1" t="str">
        <f ca="1">IFERROR(__xludf.DUMMYFUNCTION("""COMPUTED_VALUE"""),"राष्ट्र निर्माण")</f>
        <v>राष्ट्र निर्माण</v>
      </c>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f ca="1">IFERROR(__xludf.DUMMYFUNCTION("""COMPUTED_VALUE"""),23)</f>
        <v>23</v>
      </c>
      <c r="BX968" s="1">
        <f ca="1">IFERROR(__xludf.DUMMYFUNCTION("""COMPUTED_VALUE"""),28)</f>
        <v>28</v>
      </c>
      <c r="BY968" s="1">
        <f ca="1">IFERROR(__xludf.DUMMYFUNCTION("""COMPUTED_VALUE"""),2)</f>
        <v>2</v>
      </c>
      <c r="BZ968" s="1">
        <f ca="1">IFERROR(__xludf.DUMMYFUNCTION("""COMPUTED_VALUE"""),24)</f>
        <v>24</v>
      </c>
      <c r="CA968" s="1" t="str">
        <f ca="1">IFERROR(__xludf.DUMMYFUNCTION("""COMPUTED_VALUE"""),"Yes")</f>
        <v>Yes</v>
      </c>
      <c r="CB968" s="5">
        <f ca="1">IFERROR(__xludf.DUMMYFUNCTION("""COMPUTED_VALUE"""),45084.5671630787)</f>
        <v>45084.567163078696</v>
      </c>
      <c r="CC968" s="1" t="str">
        <f ca="1">IFERROR(__xludf.DUMMYFUNCTION("""COMPUTED_VALUE"""),"शिक्षा ओर विद्या : H_SC_32")</f>
        <v>शिक्षा ओर विद्या : H_SC_32</v>
      </c>
      <c r="CD968" s="3" t="str">
        <f ca="1">IFERROR(__xludf.DUMMYFUNCTION("""COMPUTED_VALUE"""),"https://vicharkrantibooks.org/productdetail?book_name=HINP0847_SHIKSHA_OR_VIDHYA_Re2012&amp;product_id=1412")</f>
        <v>https://vicharkrantibooks.org/productdetail?book_name=HINP0847_SHIKSHA_OR_VIDHYA_Re2012&amp;product_id=1412</v>
      </c>
      <c r="CE968" s="1" t="str">
        <f ca="1">IFERROR(__xludf.DUMMYFUNCTION("""COMPUTED_VALUE"""),"Audiobook : शिक्षा ओर विद्या : H_SC_32 : richasharma310575@gmail.com : Recorded")</f>
        <v>Audiobook : शिक्षा ओर विद्या : H_SC_32 : richasharma310575@gmail.com : Recorded</v>
      </c>
      <c r="CF968" s="1" t="str">
        <f ca="1">IFERROR(__xludf.DUMMYFUNCTION("""COMPUTED_VALUE"""),"Audiobook : शिक्षा ओर विद्या : H_SC_32 : richasharma310575@gmail.com : Recorded")</f>
        <v>Audiobook : शिक्षा ओर विद्या : H_SC_32 : richasharma310575@gmail.com : Recorded</v>
      </c>
      <c r="CG968" s="1" t="str">
        <f ca="1">IFERROR(__xludf.DUMMYFUNCTION("""COMPUTED_VALUE"""),"Adarniya Richa Sharma ji शिक्षा ओर विद्या : H_SC_32 : Allocated on 28-May-23 Contact Number  09479664049")</f>
        <v>Adarniya Richa Sharma ji शिक्षा ओर विद्या : H_SC_32 : Allocated on 28-May-23 Contact Number  09479664049</v>
      </c>
      <c r="CH968" s="1"/>
      <c r="CI968" s="1"/>
    </row>
    <row r="969" spans="1:87" x14ac:dyDescent="0.25">
      <c r="A969" s="5">
        <f ca="1">IFERROR(__xludf.DUMMYFUNCTION("""COMPUTED_VALUE"""),45073.9071787037)</f>
        <v>45073.907178703703</v>
      </c>
      <c r="B969" s="1" t="str">
        <f ca="1">IFERROR(__xludf.DUMMYFUNCTION("""COMPUTED_VALUE"""),"csprasad108@gmail.com")</f>
        <v>csprasad108@gmail.com</v>
      </c>
      <c r="C969" s="1" t="str">
        <f ca="1">IFERROR(__xludf.DUMMYFUNCTION("""COMPUTED_VALUE"""),"Kumkum prasad")</f>
        <v>Kumkum prasad</v>
      </c>
      <c r="D969" s="1">
        <f ca="1">IFERROR(__xludf.DUMMYFUNCTION("""COMPUTED_VALUE"""),7978055621)</f>
        <v>7978055621</v>
      </c>
      <c r="E969" s="1"/>
      <c r="F969" s="1"/>
      <c r="G969" s="1" t="str">
        <f ca="1">IFERROR(__xludf.DUMMYFUNCTION("""COMPUTED_VALUE"""),"अध्यात्म, धर्म एवं दर्शन")</f>
        <v>अध्यात्म, धर्म एवं दर्शन</v>
      </c>
      <c r="H969" s="1" t="str">
        <f ca="1">IFERROR(__xludf.DUMMYFUNCTION("""COMPUTED_VALUE"""),"अध्यात्म, धर्म एवं आस्तिकता")</f>
        <v>अध्यात्म, धर्म एवं आस्तिकता</v>
      </c>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f ca="1">IFERROR(__xludf.DUMMYFUNCTION("""COMPUTED_VALUE"""),52)</f>
        <v>52</v>
      </c>
      <c r="BX969" s="1">
        <f ca="1">IFERROR(__xludf.DUMMYFUNCTION("""COMPUTED_VALUE"""),54)</f>
        <v>54</v>
      </c>
      <c r="BY969" s="1">
        <f ca="1">IFERROR(__xludf.DUMMYFUNCTION("""COMPUTED_VALUE"""),3)</f>
        <v>3</v>
      </c>
      <c r="BZ969" s="1">
        <f ca="1">IFERROR(__xludf.DUMMYFUNCTION("""COMPUTED_VALUE"""),24)</f>
        <v>24</v>
      </c>
      <c r="CA969" s="1" t="str">
        <f ca="1">IFERROR(__xludf.DUMMYFUNCTION("""COMPUTED_VALUE"""),"Yes")</f>
        <v>Yes</v>
      </c>
      <c r="CB969" s="5">
        <f ca="1">IFERROR(__xludf.DUMMYFUNCTION("""COMPUTED_VALUE"""),45083.9071787037)</f>
        <v>45083.907178703703</v>
      </c>
      <c r="CC969" s="1" t="str">
        <f ca="1">IFERROR(__xludf.DUMMYFUNCTION("""COMPUTED_VALUE"""),"देवता हमें क्या दे सकते हैं ? : H_JS_83")</f>
        <v>देवता हमें क्या दे सकते हैं ? : H_JS_83</v>
      </c>
      <c r="CD969" s="3" t="str">
        <f ca="1">IFERROR(__xludf.DUMMYFUNCTION("""COMPUTED_VALUE"""),"https://vicharkrantibooks.org/productdetail?book_name=HINP0220_DEVATA_HAMEN_KYA_DE_SAKATE_HAI_xx2011&amp;product_id=785")</f>
        <v>https://vicharkrantibooks.org/productdetail?book_name=HINP0220_DEVATA_HAMEN_KYA_DE_SAKATE_HAI_xx2011&amp;product_id=785</v>
      </c>
      <c r="CE969" s="1" t="str">
        <f ca="1">IFERROR(__xludf.DUMMYFUNCTION("""COMPUTED_VALUE"""),"Audiobook : देवता हमें क्या दे सकते हैं ? : H_JS_83 : csprasad108@gmail.com : Recorded")</f>
        <v>Audiobook : देवता हमें क्या दे सकते हैं ? : H_JS_83 : csprasad108@gmail.com : Recorded</v>
      </c>
      <c r="CF969" s="1" t="str">
        <f ca="1">IFERROR(__xludf.DUMMYFUNCTION("""COMPUTED_VALUE"""),"Audiobook : देवता हमें क्या दे सकते हैं ? : H_JS_83 : csprasad108@gmail.com : Recorded")</f>
        <v>Audiobook : देवता हमें क्या दे सकते हैं ? : H_JS_83 : csprasad108@gmail.com : Recorded</v>
      </c>
      <c r="CG969" s="1" t="str">
        <f ca="1">IFERROR(__xludf.DUMMYFUNCTION("""COMPUTED_VALUE"""),"Adarniya Kumkum prasad ji देवता हमें क्या दे सकते हैं ? : H_JS_83 : Allocated on 27-May-23 Contact Number  7978055621")</f>
        <v>Adarniya Kumkum prasad ji देवता हमें क्या दे सकते हैं ? : H_JS_83 : Allocated on 27-May-23 Contact Number  7978055621</v>
      </c>
      <c r="CH969" s="1"/>
      <c r="CI969" s="1"/>
    </row>
    <row r="970" spans="1:87" x14ac:dyDescent="0.25">
      <c r="A970" s="5">
        <f ca="1">IFERROR(__xludf.DUMMYFUNCTION("""COMPUTED_VALUE"""),45072.9535707754)</f>
        <v>45072.953570775397</v>
      </c>
      <c r="B970" s="1" t="str">
        <f ca="1">IFERROR(__xludf.DUMMYFUNCTION("""COMPUTED_VALUE"""),"druma4107@gmail.com")</f>
        <v>druma4107@gmail.com</v>
      </c>
      <c r="C970" s="1" t="str">
        <f ca="1">IFERROR(__xludf.DUMMYFUNCTION("""COMPUTED_VALUE"""),"Dr Uma Agrawal")</f>
        <v>Dr Uma Agrawal</v>
      </c>
      <c r="D970" s="1">
        <f ca="1">IFERROR(__xludf.DUMMYFUNCTION("""COMPUTED_VALUE"""),9410861182)</f>
        <v>9410861182</v>
      </c>
      <c r="E970" s="1" t="str">
        <f ca="1">IFERROR(__xludf.DUMMYFUNCTION("""COMPUTED_VALUE"""),"Yes")</f>
        <v>Yes</v>
      </c>
      <c r="F970" s="1" t="str">
        <f ca="1">IFERROR(__xludf.DUMMYFUNCTION("""COMPUTED_VALUE"""),"हिन्दी")</f>
        <v>हिन्दी</v>
      </c>
      <c r="G970" s="1" t="str">
        <f ca="1">IFERROR(__xludf.DUMMYFUNCTION("""COMPUTED_VALUE"""),"समग्र स्वास्थ्य")</f>
        <v>समग्र स्वास्थ्य</v>
      </c>
      <c r="H970" s="1"/>
      <c r="I970" s="1"/>
      <c r="J970" s="1"/>
      <c r="K970" s="1"/>
      <c r="L970" s="1"/>
      <c r="M970" s="1"/>
      <c r="N970" s="1"/>
      <c r="O970" s="1"/>
      <c r="P970" s="1"/>
      <c r="Q970" s="1"/>
      <c r="R970" s="1"/>
      <c r="S970" s="1"/>
      <c r="T970" s="1"/>
      <c r="U970" s="1" t="str">
        <f ca="1">IFERROR(__xludf.DUMMYFUNCTION("""COMPUTED_VALUE"""),"स्वास्थ्य संवर्धन")</f>
        <v>स्वास्थ्य संवर्धन</v>
      </c>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f ca="1">IFERROR(__xludf.DUMMYFUNCTION("""COMPUTED_VALUE"""),104)</f>
        <v>104</v>
      </c>
      <c r="BX970" s="1">
        <f ca="1">IFERROR(__xludf.DUMMYFUNCTION("""COMPUTED_VALUE"""),106)</f>
        <v>106</v>
      </c>
      <c r="BY970" s="1">
        <f ca="1">IFERROR(__xludf.DUMMYFUNCTION("""COMPUTED_VALUE"""),9)</f>
        <v>9</v>
      </c>
      <c r="BZ970" s="1">
        <f ca="1">IFERROR(__xludf.DUMMYFUNCTION("""COMPUTED_VALUE"""),43)</f>
        <v>43</v>
      </c>
      <c r="CA970" s="1" t="str">
        <f ca="1">IFERROR(__xludf.DUMMYFUNCTION("""COMPUTED_VALUE"""),"Yes")</f>
        <v>Yes</v>
      </c>
      <c r="CB970" s="5">
        <f ca="1">IFERROR(__xludf.DUMMYFUNCTION("""COMPUTED_VALUE"""),45082.9535707754)</f>
        <v>45082.953570775397</v>
      </c>
      <c r="CC970" s="1" t="str">
        <f ca="1">IFERROR(__xludf.DUMMYFUNCTION("""COMPUTED_VALUE"""),"निरोग जीवन का रहस्य : Rare Book")</f>
        <v>निरोग जीवन का रहस्य : Rare Book</v>
      </c>
      <c r="CD970" s="3" t="str">
        <f ca="1">IFERROR(__xludf.DUMMYFUNCTION("""COMPUTED_VALUE"""),"https://vicharkrantibooks.org/productdetail?book_name=HINP0604_NIROG_JIVAN_KA_RAHASY_xxyyyy&amp;product_id=1169")</f>
        <v>https://vicharkrantibooks.org/productdetail?book_name=HINP0604_NIROG_JIVAN_KA_RAHASY_xxyyyy&amp;product_id=1169</v>
      </c>
      <c r="CE970" s="1" t="str">
        <f ca="1">IFERROR(__xludf.DUMMYFUNCTION("""COMPUTED_VALUE"""),"Audiobook : निरोग जीवन का रहस्य : Rare Book : druma4107@gmail.com : Recorded")</f>
        <v>Audiobook : निरोग जीवन का रहस्य : Rare Book : druma4107@gmail.com : Recorded</v>
      </c>
      <c r="CF970" s="1" t="str">
        <f ca="1">IFERROR(__xludf.DUMMYFUNCTION("""COMPUTED_VALUE"""),"Audiobook : निरोग जीवन का रहस्य : Rare Book : druma4107@gmail.com : Recorded")</f>
        <v>Audiobook : निरोग जीवन का रहस्य : Rare Book : druma4107@gmail.com : Recorded</v>
      </c>
      <c r="CG970" s="1" t="str">
        <f ca="1">IFERROR(__xludf.DUMMYFUNCTION("""COMPUTED_VALUE"""),"Adarniya Dr Uma Agrawal ji निरोग जीवन का रहस्य : Rare Book : Allocated on 26-May-23 Contact Number  9410861182")</f>
        <v>Adarniya Dr Uma Agrawal ji निरोग जीवन का रहस्य : Rare Book : Allocated on 26-May-23 Contact Number  9410861182</v>
      </c>
      <c r="CH970" s="1"/>
      <c r="CI970" s="1"/>
    </row>
    <row r="971" spans="1:87" x14ac:dyDescent="0.25">
      <c r="A971" s="5">
        <f ca="1">IFERROR(__xludf.DUMMYFUNCTION("""COMPUTED_VALUE"""),45072.6633309143)</f>
        <v>45072.6633309143</v>
      </c>
      <c r="B971" s="1" t="str">
        <f ca="1">IFERROR(__xludf.DUMMYFUNCTION("""COMPUTED_VALUE"""),"nksaxena.yoga@gmail.com")</f>
        <v>nksaxena.yoga@gmail.com</v>
      </c>
      <c r="C971" s="1" t="str">
        <f ca="1">IFERROR(__xludf.DUMMYFUNCTION("""COMPUTED_VALUE"""),"Narendra Kumar Saxena")</f>
        <v>Narendra Kumar Saxena</v>
      </c>
      <c r="D971" s="1">
        <f ca="1">IFERROR(__xludf.DUMMYFUNCTION("""COMPUTED_VALUE"""),8826499188)</f>
        <v>8826499188</v>
      </c>
      <c r="E971" s="1" t="str">
        <f ca="1">IFERROR(__xludf.DUMMYFUNCTION("""COMPUTED_VALUE"""),"Yes")</f>
        <v>Yes</v>
      </c>
      <c r="F971" s="1" t="str">
        <f ca="1">IFERROR(__xludf.DUMMYFUNCTION("""COMPUTED_VALUE"""),"हिन्दी")</f>
        <v>हिन्दी</v>
      </c>
      <c r="G971" s="1" t="str">
        <f ca="1">IFERROR(__xludf.DUMMYFUNCTION("""COMPUTED_VALUE"""),"समग्र स्वास्थ्य")</f>
        <v>समग्र स्वास्थ्य</v>
      </c>
      <c r="H971" s="1"/>
      <c r="I971" s="1"/>
      <c r="J971" s="1"/>
      <c r="K971" s="1"/>
      <c r="L971" s="1"/>
      <c r="M971" s="1"/>
      <c r="N971" s="1"/>
      <c r="O971" s="1"/>
      <c r="P971" s="1"/>
      <c r="Q971" s="1"/>
      <c r="R971" s="1"/>
      <c r="S971" s="1"/>
      <c r="T971" s="1"/>
      <c r="U971" s="1" t="str">
        <f ca="1">IFERROR(__xludf.DUMMYFUNCTION("""COMPUTED_VALUE"""),"आहार-विहार एवं उपवास")</f>
        <v>आहार-विहार एवं उपवास</v>
      </c>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f ca="1">IFERROR(__xludf.DUMMYFUNCTION("""COMPUTED_VALUE"""),29)</f>
        <v>29</v>
      </c>
      <c r="BX971" s="1">
        <f ca="1">IFERROR(__xludf.DUMMYFUNCTION("""COMPUTED_VALUE"""),30)</f>
        <v>30</v>
      </c>
      <c r="BY971" s="1">
        <f ca="1">IFERROR(__xludf.DUMMYFUNCTION("""COMPUTED_VALUE"""),3)</f>
        <v>3</v>
      </c>
      <c r="BZ971" s="1">
        <f ca="1">IFERROR(__xludf.DUMMYFUNCTION("""COMPUTED_VALUE"""),25)</f>
        <v>25</v>
      </c>
      <c r="CA971" s="1" t="str">
        <f ca="1">IFERROR(__xludf.DUMMYFUNCTION("""COMPUTED_VALUE"""),"Yes")</f>
        <v>Yes</v>
      </c>
      <c r="CB971" s="5">
        <f ca="1">IFERROR(__xludf.DUMMYFUNCTION("""COMPUTED_VALUE"""),45082.6633309143)</f>
        <v>45082.6633309143</v>
      </c>
      <c r="CC971" s="1" t="str">
        <f ca="1">IFERROR(__xludf.DUMMYFUNCTION("""COMPUTED_VALUE"""),"दीर्घ जीवन की प्राप्ति : H_SV_52")</f>
        <v>दीर्घ जीवन की प्राप्ति : H_SV_52</v>
      </c>
      <c r="CD971" s="3" t="str">
        <f ca="1">IFERROR(__xludf.DUMMYFUNCTION("""COMPUTED_VALUE"""),"https://vicharkrantibooks.org/productdetail?book_name=HINP0253_DIRGH_JIVAN_KI_PRAPTI_xxyyyy&amp;product_id=818")</f>
        <v>https://vicharkrantibooks.org/productdetail?book_name=HINP0253_DIRGH_JIVAN_KI_PRAPTI_xxyyyy&amp;product_id=818</v>
      </c>
      <c r="CE971" s="1" t="str">
        <f ca="1">IFERROR(__xludf.DUMMYFUNCTION("""COMPUTED_VALUE"""),"Audiobook : दीर्घ जीवन की प्राप्ति : H_SV_52 : nksaxena.yoga@gmail.com : Recorded")</f>
        <v>Audiobook : दीर्घ जीवन की प्राप्ति : H_SV_52 : nksaxena.yoga@gmail.com : Recorded</v>
      </c>
      <c r="CF971" s="1" t="str">
        <f ca="1">IFERROR(__xludf.DUMMYFUNCTION("""COMPUTED_VALUE"""),"Audiobook : दीर्घ जीवन की प्राप्ति : H_SV_52 : nksaxena.yoga@gmail.com : Recorded")</f>
        <v>Audiobook : दीर्घ जीवन की प्राप्ति : H_SV_52 : nksaxena.yoga@gmail.com : Recorded</v>
      </c>
      <c r="CG971" s="1" t="str">
        <f ca="1">IFERROR(__xludf.DUMMYFUNCTION("""COMPUTED_VALUE"""),"Adarniya Narendra Kumar Saxena ji दीर्घ जीवन की प्राप्ति : H_SV_52 : Allocated on 26-May-23 Contact Number  8826499188")</f>
        <v>Adarniya Narendra Kumar Saxena ji दीर्घ जीवन की प्राप्ति : H_SV_52 : Allocated on 26-May-23 Contact Number  8826499188</v>
      </c>
      <c r="CH971" s="1"/>
      <c r="CI971" s="1"/>
    </row>
    <row r="972" spans="1:87" x14ac:dyDescent="0.25">
      <c r="A972" s="5">
        <f ca="1">IFERROR(__xludf.DUMMYFUNCTION("""COMPUTED_VALUE"""),45072.4676972685)</f>
        <v>45072.467697268497</v>
      </c>
      <c r="B972" s="1" t="str">
        <f ca="1">IFERROR(__xludf.DUMMYFUNCTION("""COMPUTED_VALUE"""),"brphodmba@gmail.com")</f>
        <v>brphodmba@gmail.com</v>
      </c>
      <c r="C972" s="1" t="str">
        <f ca="1">IFERROR(__xludf.DUMMYFUNCTION("""COMPUTED_VALUE"""),"Dr.Baidyanath Ram Prajapati ")</f>
        <v xml:space="preserve">Dr.Baidyanath Ram Prajapati </v>
      </c>
      <c r="D972" s="1">
        <f ca="1">IFERROR(__xludf.DUMMYFUNCTION("""COMPUTED_VALUE"""),9811724821)</f>
        <v>9811724821</v>
      </c>
      <c r="E972" s="1" t="str">
        <f ca="1">IFERROR(__xludf.DUMMYFUNCTION("""COMPUTED_VALUE"""),"Yes")</f>
        <v>Yes</v>
      </c>
      <c r="F972" s="1" t="str">
        <f ca="1">IFERROR(__xludf.DUMMYFUNCTION("""COMPUTED_VALUE"""),"हिन्दी or English")</f>
        <v>हिन्दी or English</v>
      </c>
      <c r="G972" s="1" t="str">
        <f ca="1">IFERROR(__xludf.DUMMYFUNCTION("""COMPUTED_VALUE"""),"जीवन प्रबंध")</f>
        <v>जीवन प्रबंध</v>
      </c>
      <c r="H972" s="1"/>
      <c r="I972" s="1"/>
      <c r="J972" s="1"/>
      <c r="K972" s="1"/>
      <c r="L972" s="1" t="str">
        <f ca="1">IFERROR(__xludf.DUMMYFUNCTION("""COMPUTED_VALUE"""),"सद्‌चिंतन, विचार एवं सूक्तियाँ")</f>
        <v>सद्‌चिंतन, विचार एवं सूक्तियाँ</v>
      </c>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f ca="1">IFERROR(__xludf.DUMMYFUNCTION("""COMPUTED_VALUE"""),12)</f>
        <v>12</v>
      </c>
      <c r="BX972" s="1">
        <f ca="1">IFERROR(__xludf.DUMMYFUNCTION("""COMPUTED_VALUE"""),10)</f>
        <v>10</v>
      </c>
      <c r="BY972" s="1">
        <f ca="1">IFERROR(__xludf.DUMMYFUNCTION("""COMPUTED_VALUE"""),4)</f>
        <v>4</v>
      </c>
      <c r="BZ972" s="1">
        <f ca="1">IFERROR(__xludf.DUMMYFUNCTION("""COMPUTED_VALUE"""),0)</f>
        <v>0</v>
      </c>
      <c r="CA972" s="1" t="str">
        <f ca="1">IFERROR(__xludf.DUMMYFUNCTION("""COMPUTED_VALUE"""),"Yes")</f>
        <v>Yes</v>
      </c>
      <c r="CB972" s="5">
        <f ca="1">IFERROR(__xludf.DUMMYFUNCTION("""COMPUTED_VALUE"""),45082.4676972685)</f>
        <v>45082.467697268497</v>
      </c>
      <c r="CC972" s="1" t="str">
        <f ca="1">IFERROR(__xludf.DUMMYFUNCTION("""COMPUTED_VALUE"""),"ऋषि चिंतन के सान्निध्य में ०६ (पोकेट) : H_SJ_28_6")</f>
        <v>ऋषि चिंतन के सान्निध्य में ०६ (पोकेट) : H_SJ_28_6</v>
      </c>
      <c r="CD972" s="3" t="str">
        <f ca="1">IFERROR(__xludf.DUMMYFUNCTION("""COMPUTED_VALUE"""),"https://vicharkrantibooks.org/productdetail?book_name=HINP0717_RUSHI_CHINTAN_KE_SANIDHYA_MEIN_06_(POCKET)_xxyyyy&amp;product_id=1282")</f>
        <v>https://vicharkrantibooks.org/productdetail?book_name=HINP0717_RUSHI_CHINTAN_KE_SANIDHYA_MEIN_06_(POCKET)_xxyyyy&amp;product_id=1282</v>
      </c>
      <c r="CE972" s="1" t="str">
        <f ca="1">IFERROR(__xludf.DUMMYFUNCTION("""COMPUTED_VALUE"""),"Audiobook : ऋषि चिंतन के सान्निध्य में ०६ (पोकेट) : H_SJ_28_6 : brphodmba@gmail.com : Recorded")</f>
        <v>Audiobook : ऋषि चिंतन के सान्निध्य में ०६ (पोकेट) : H_SJ_28_6 : brphodmba@gmail.com : Recorded</v>
      </c>
      <c r="CF972" s="1" t="str">
        <f ca="1">IFERROR(__xludf.DUMMYFUNCTION("""COMPUTED_VALUE"""),"Audiobook : ऋषि चिंतन के सान्निध्य में ०६ (पोकेट) : H_SJ_28_6 : brphodmba@gmail.com : Recorded")</f>
        <v>Audiobook : ऋषि चिंतन के सान्निध्य में ०६ (पोकेट) : H_SJ_28_6 : brphodmba@gmail.com : Recorded</v>
      </c>
      <c r="CG972" s="1" t="str">
        <f ca="1">IFERROR(__xludf.DUMMYFUNCTION("""COMPUTED_VALUE"""),"Adarniya Dr.Baidyanath Ram Prajapati  ji ऋषि चिंतन के सान्निध्य में ०६ (पोकेट) : H_SJ_28_6 : Allocated on 26-May-23 Contact Number  9811724821")</f>
        <v>Adarniya Dr.Baidyanath Ram Prajapati  ji ऋषि चिंतन के सान्निध्य में ०६ (पोकेट) : H_SJ_28_6 : Allocated on 26-May-23 Contact Number  9811724821</v>
      </c>
      <c r="CH972" s="1"/>
      <c r="CI972" s="1"/>
    </row>
    <row r="973" spans="1:87" x14ac:dyDescent="0.25">
      <c r="A973" s="5">
        <f ca="1">IFERROR(__xludf.DUMMYFUNCTION("""COMPUTED_VALUE"""),45071.5401757986)</f>
        <v>45071.540175798596</v>
      </c>
      <c r="B973" s="1" t="str">
        <f ca="1">IFERROR(__xludf.DUMMYFUNCTION("""COMPUTED_VALUE"""),"rajniverma24.vns@gmail.com")</f>
        <v>rajniverma24.vns@gmail.com</v>
      </c>
      <c r="C973" s="1" t="str">
        <f ca="1">IFERROR(__xludf.DUMMYFUNCTION("""COMPUTED_VALUE"""),"Rajani  varma")</f>
        <v>Rajani  varma</v>
      </c>
      <c r="D973" s="1">
        <f ca="1">IFERROR(__xludf.DUMMYFUNCTION("""COMPUTED_VALUE"""),9335661433)</f>
        <v>9335661433</v>
      </c>
      <c r="E973" s="1" t="str">
        <f ca="1">IFERROR(__xludf.DUMMYFUNCTION("""COMPUTED_VALUE"""),"No")</f>
        <v>No</v>
      </c>
      <c r="F973" s="1" t="str">
        <f ca="1">IFERROR(__xludf.DUMMYFUNCTION("""COMPUTED_VALUE"""),"हिन्दी")</f>
        <v>हिन्दी</v>
      </c>
      <c r="G973" s="1" t="str">
        <f ca="1">IFERROR(__xludf.DUMMYFUNCTION("""COMPUTED_VALUE"""),"वैज्ञानिक अध्यात्मवाद का प्रतिपादन")</f>
        <v>वैज्ञानिक अध्यात्मवाद का प्रतिपादन</v>
      </c>
      <c r="H973" s="1"/>
      <c r="I973" s="1"/>
      <c r="J973" s="1"/>
      <c r="K973" s="1"/>
      <c r="L973" s="1"/>
      <c r="M973" s="1"/>
      <c r="N973" s="1"/>
      <c r="O973" s="1"/>
      <c r="P973" s="1"/>
      <c r="Q973" s="1"/>
      <c r="R973" s="1"/>
      <c r="S973" s="1" t="str">
        <f ca="1">IFERROR(__xludf.DUMMYFUNCTION("""COMPUTED_VALUE"""),"वैज्ञानिक अध्यात्मवाद का प्रतिपादन")</f>
        <v>वैज्ञानिक अध्यात्मवाद का प्रतिपादन</v>
      </c>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f ca="1">IFERROR(__xludf.DUMMYFUNCTION("""COMPUTED_VALUE"""),9)</f>
        <v>9</v>
      </c>
      <c r="BX973" s="1">
        <f ca="1">IFERROR(__xludf.DUMMYFUNCTION("""COMPUTED_VALUE"""),6)</f>
        <v>6</v>
      </c>
      <c r="BY973" s="1">
        <f ca="1">IFERROR(__xludf.DUMMYFUNCTION("""COMPUTED_VALUE"""),3)</f>
        <v>3</v>
      </c>
      <c r="BZ973" s="1">
        <f ca="1">IFERROR(__xludf.DUMMYFUNCTION("""COMPUTED_VALUE"""),1)</f>
        <v>1</v>
      </c>
      <c r="CA973" s="1" t="str">
        <f ca="1">IFERROR(__xludf.DUMMYFUNCTION("""COMPUTED_VALUE"""),"Yes")</f>
        <v>Yes</v>
      </c>
      <c r="CB973" s="5">
        <f ca="1">IFERROR(__xludf.DUMMYFUNCTION("""COMPUTED_VALUE"""),45081.5401757986)</f>
        <v>45081.540175798596</v>
      </c>
      <c r="CC973" s="1" t="str">
        <f ca="1">IFERROR(__xludf.DUMMYFUNCTION("""COMPUTED_VALUE"""),"बुढ़ापे से कैसे बचें ? : Rare Book")</f>
        <v>बुढ़ापे से कैसे बचें ? : Rare Book</v>
      </c>
      <c r="CD973" s="3" t="str">
        <f ca="1">IFERROR(__xludf.DUMMYFUNCTION("""COMPUTED_VALUE"""),"https://vicharkrantibooks.org/productdetail?book_name=HINP0186_BUDHAPE_SE_KAISE_BACHEN_xxyyyy&amp;product_id=751")</f>
        <v>https://vicharkrantibooks.org/productdetail?book_name=HINP0186_BUDHAPE_SE_KAISE_BACHEN_xxyyyy&amp;product_id=751</v>
      </c>
      <c r="CE973" s="1" t="str">
        <f ca="1">IFERROR(__xludf.DUMMYFUNCTION("""COMPUTED_VALUE"""),"Audiobook : बुढ़ापे से कैसे बचें ? : Rare Book : rajniverma24.vns@gmail.com : Recorded")</f>
        <v>Audiobook : बुढ़ापे से कैसे बचें ? : Rare Book : rajniverma24.vns@gmail.com : Recorded</v>
      </c>
      <c r="CF973" s="1" t="str">
        <f ca="1">IFERROR(__xludf.DUMMYFUNCTION("""COMPUTED_VALUE"""),"Audiobook : बुढ़ापे से कैसे बचें ? : Rare Book : rajniverma24.vns@gmail.com : Recorded")</f>
        <v>Audiobook : बुढ़ापे से कैसे बचें ? : Rare Book : rajniverma24.vns@gmail.com : Recorded</v>
      </c>
      <c r="CG973" s="1" t="str">
        <f ca="1">IFERROR(__xludf.DUMMYFUNCTION("""COMPUTED_VALUE"""),"Adarniya Rajani  varma ji बुढ़ापे से कैसे बचें ? : Rare Book : Allocated on 25-May-23 Contact Number  9335661433")</f>
        <v>Adarniya Rajani  varma ji बुढ़ापे से कैसे बचें ? : Rare Book : Allocated on 25-May-23 Contact Number  9335661433</v>
      </c>
      <c r="CH973" s="1"/>
      <c r="CI973" s="1"/>
    </row>
    <row r="974" spans="1:87" x14ac:dyDescent="0.25">
      <c r="A974" s="5">
        <f ca="1">IFERROR(__xludf.DUMMYFUNCTION("""COMPUTED_VALUE"""),45069.7243498032)</f>
        <v>45069.724349803197</v>
      </c>
      <c r="B974" s="1" t="str">
        <f ca="1">IFERROR(__xludf.DUMMYFUNCTION("""COMPUTED_VALUE"""),"amrita_dube@yahoo.com")</f>
        <v>amrita_dube@yahoo.com</v>
      </c>
      <c r="C974" s="1" t="str">
        <f ca="1">IFERROR(__xludf.DUMMYFUNCTION("""COMPUTED_VALUE"""),"Amrita")</f>
        <v>Amrita</v>
      </c>
      <c r="D974" s="1"/>
      <c r="E974" s="1" t="str">
        <f ca="1">IFERROR(__xludf.DUMMYFUNCTION("""COMPUTED_VALUE"""),"No")</f>
        <v>No</v>
      </c>
      <c r="F974" s="1" t="str">
        <f ca="1">IFERROR(__xludf.DUMMYFUNCTION("""COMPUTED_VALUE"""),"English")</f>
        <v>English</v>
      </c>
      <c r="G974" s="1" t="str">
        <f ca="1">IFERROR(__xludf.DUMMYFUNCTION("""COMPUTED_VALUE"""),"व्यक्ति निर्माण, युवा/विद्यार्थी एवं शिक्षक")</f>
        <v>व्यक्ति निर्माण, युवा/विद्यार्थी एवं शिक्षक</v>
      </c>
      <c r="H974" s="1"/>
      <c r="I974" s="1"/>
      <c r="J974" s="1"/>
      <c r="K974" s="1"/>
      <c r="L974" s="1"/>
      <c r="M974" s="1"/>
      <c r="N974" s="1"/>
      <c r="O974" s="1"/>
      <c r="P974" s="1"/>
      <c r="Q974" s="1"/>
      <c r="R974" s="1"/>
      <c r="S974" s="1"/>
      <c r="T974" s="1" t="str">
        <f ca="1">IFERROR(__xludf.DUMMYFUNCTION("""COMPUTED_VALUE"""),"व्यक्तित्व परिष्कार")</f>
        <v>व्यक्तित्व परिष्कार</v>
      </c>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f ca="1">IFERROR(__xludf.DUMMYFUNCTION("""COMPUTED_VALUE"""),17)</f>
        <v>17</v>
      </c>
      <c r="BX974" s="1">
        <f ca="1">IFERROR(__xludf.DUMMYFUNCTION("""COMPUTED_VALUE"""),14)</f>
        <v>14</v>
      </c>
      <c r="BY974" s="1">
        <f ca="1">IFERROR(__xludf.DUMMYFUNCTION("""COMPUTED_VALUE"""),6)</f>
        <v>6</v>
      </c>
      <c r="BZ974" s="1">
        <f ca="1">IFERROR(__xludf.DUMMYFUNCTION("""COMPUTED_VALUE"""),5)</f>
        <v>5</v>
      </c>
      <c r="CA974" s="1" t="str">
        <f ca="1">IFERROR(__xludf.DUMMYFUNCTION("""COMPUTED_VALUE"""),"Yes")</f>
        <v>Yes</v>
      </c>
      <c r="CB974" s="5">
        <f ca="1">IFERROR(__xludf.DUMMYFUNCTION("""COMPUTED_VALUE"""),45079.7243498032)</f>
        <v>45079.724349803197</v>
      </c>
      <c r="CC974" s="1" t="str">
        <f ca="1">IFERROR(__xludf.DUMMYFUNCTION("""COMPUTED_VALUE"""),"Diagnose Cure And Empower Your Self By Current Of Breath : EP_67")</f>
        <v>Diagnose Cure And Empower Your Self By Current Of Breath : EP_67</v>
      </c>
      <c r="CD974" s="3" t="str">
        <f ca="1">IFERROR(__xludf.DUMMYFUNCTION("""COMPUTED_VALUE"""),"https://vicharkrantibooks.org/productdetail?book_name=ENGR1378_DIAGNOSE_CURE_AND_EMPOWER_YOUR_SELF_BY_CURRENT_OF_BREATH_RE2011&amp;product_id=3457")</f>
        <v>https://vicharkrantibooks.org/productdetail?book_name=ENGR1378_DIAGNOSE_CURE_AND_EMPOWER_YOUR_SELF_BY_CURRENT_OF_BREATH_RE2011&amp;product_id=3457</v>
      </c>
      <c r="CE974" s="1" t="str">
        <f ca="1">IFERROR(__xludf.DUMMYFUNCTION("""COMPUTED_VALUE"""),"Audiobook : Diagnose Cure And Empower Your Self By Current Of Breath : EP_67 : amrita_dube@yahoo.com : Recorded")</f>
        <v>Audiobook : Diagnose Cure And Empower Your Self By Current Of Breath : EP_67 : amrita_dube@yahoo.com : Recorded</v>
      </c>
      <c r="CF974" s="1" t="str">
        <f ca="1">IFERROR(__xludf.DUMMYFUNCTION("""COMPUTED_VALUE"""),"#N/A")</f>
        <v>#N/A</v>
      </c>
      <c r="CG974" s="1" t="str">
        <f ca="1">IFERROR(__xludf.DUMMYFUNCTION("""COMPUTED_VALUE"""),"Adarniya Amrita ji Diagnose Cure And Empower Your Self By Current Of Breath : EP_67 : Allocated on 23-May-23 Contact Number  ")</f>
        <v xml:space="preserve">Adarniya Amrita ji Diagnose Cure And Empower Your Self By Current Of Breath : EP_67 : Allocated on 23-May-23 Contact Number  </v>
      </c>
      <c r="CH974" s="1"/>
      <c r="CI974" s="1"/>
    </row>
    <row r="975" spans="1:87" x14ac:dyDescent="0.25">
      <c r="A975" s="5">
        <f ca="1">IFERROR(__xludf.DUMMYFUNCTION("""COMPUTED_VALUE"""),45069.5854281713)</f>
        <v>45069.585428171296</v>
      </c>
      <c r="B975" s="1" t="str">
        <f ca="1">IFERROR(__xludf.DUMMYFUNCTION("""COMPUTED_VALUE"""),"spmittalmumbai@gmail.com")</f>
        <v>spmittalmumbai@gmail.com</v>
      </c>
      <c r="C975" s="1" t="str">
        <f ca="1">IFERROR(__xludf.DUMMYFUNCTION("""COMPUTED_VALUE"""),"SPMittal")</f>
        <v>SPMittal</v>
      </c>
      <c r="D975" s="1">
        <f ca="1">IFERROR(__xludf.DUMMYFUNCTION("""COMPUTED_VALUE"""),9860003407)</f>
        <v>9860003407</v>
      </c>
      <c r="E975" s="1" t="str">
        <f ca="1">IFERROR(__xludf.DUMMYFUNCTION("""COMPUTED_VALUE"""),"Yes")</f>
        <v>Yes</v>
      </c>
      <c r="F975" s="1" t="str">
        <f ca="1">IFERROR(__xludf.DUMMYFUNCTION("""COMPUTED_VALUE"""),"हिन्दी")</f>
        <v>हिन्दी</v>
      </c>
      <c r="G975" s="1" t="str">
        <f ca="1">IFERROR(__xludf.DUMMYFUNCTION("""COMPUTED_VALUE"""),"पर्यावरण संरक्षण")</f>
        <v>पर्यावरण संरक्षण</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f ca="1">IFERROR(__xludf.DUMMYFUNCTION("""COMPUTED_VALUE"""),39)</f>
        <v>39</v>
      </c>
      <c r="BX975" s="1">
        <f ca="1">IFERROR(__xludf.DUMMYFUNCTION("""COMPUTED_VALUE"""),32)</f>
        <v>32</v>
      </c>
      <c r="BY975" s="1">
        <f ca="1">IFERROR(__xludf.DUMMYFUNCTION("""COMPUTED_VALUE"""),11)</f>
        <v>11</v>
      </c>
      <c r="BZ975" s="1">
        <f ca="1">IFERROR(__xludf.DUMMYFUNCTION("""COMPUTED_VALUE"""),23)</f>
        <v>23</v>
      </c>
      <c r="CA975" s="1" t="str">
        <f ca="1">IFERROR(__xludf.DUMMYFUNCTION("""COMPUTED_VALUE"""),"Yes")</f>
        <v>Yes</v>
      </c>
      <c r="CB975" s="5">
        <f ca="1">IFERROR(__xludf.DUMMYFUNCTION("""COMPUTED_VALUE"""),45079.5854281713)</f>
        <v>45079.585428171296</v>
      </c>
      <c r="CC975" s="1" t="str">
        <f ca="1">IFERROR(__xludf.DUMMYFUNCTION("""COMPUTED_VALUE"""),"वृक्ष संपदा को घटने न दें : Rare Book")</f>
        <v>वृक्ष संपदा को घटने न दें : Rare Book</v>
      </c>
      <c r="CD975" s="3" t="str">
        <f ca="1">IFERROR(__xludf.DUMMYFUNCTION("""COMPUTED_VALUE"""),"https://vicharkrantibooks.org/productdetail?book_name=HINP1003_VRUKSH_SAMPADA_KO_GHATANE_NA_DEN_xxyyyy&amp;product_id=1568")</f>
        <v>https://vicharkrantibooks.org/productdetail?book_name=HINP1003_VRUKSH_SAMPADA_KO_GHATANE_NA_DEN_xxyyyy&amp;product_id=1568</v>
      </c>
      <c r="CE975" s="1" t="str">
        <f ca="1">IFERROR(__xludf.DUMMYFUNCTION("""COMPUTED_VALUE"""),"Audiobook : वृक्ष संपदा को घटने न दें : Rare Book : spmittalmumbai@gmail.com : Recorded")</f>
        <v>Audiobook : वृक्ष संपदा को घटने न दें : Rare Book : spmittalmumbai@gmail.com : Recorded</v>
      </c>
      <c r="CF975" s="1" t="str">
        <f ca="1">IFERROR(__xludf.DUMMYFUNCTION("""COMPUTED_VALUE"""),"Audiobook : वृक्ष संपदा को घटने न दें : Rare Book : spmittalmumbai@gmail.com : Recorded")</f>
        <v>Audiobook : वृक्ष संपदा को घटने न दें : Rare Book : spmittalmumbai@gmail.com : Recorded</v>
      </c>
      <c r="CG975" s="1" t="str">
        <f ca="1">IFERROR(__xludf.DUMMYFUNCTION("""COMPUTED_VALUE"""),"Adarniya SPMittal ji वृक्ष संपदा को घटने न दें : Rare Book : Allocated on 23-May-23 Contact Number  9860003407")</f>
        <v>Adarniya SPMittal ji वृक्ष संपदा को घटने न दें : Rare Book : Allocated on 23-May-23 Contact Number  9860003407</v>
      </c>
      <c r="CH975" s="1"/>
      <c r="CI975" s="1"/>
    </row>
    <row r="976" spans="1:87" x14ac:dyDescent="0.25">
      <c r="A976" s="5">
        <f ca="1">IFERROR(__xludf.DUMMYFUNCTION("""COMPUTED_VALUE"""),45069.5500789236)</f>
        <v>45069.550078923603</v>
      </c>
      <c r="B976" s="1" t="str">
        <f ca="1">IFERROR(__xludf.DUMMYFUNCTION("""COMPUTED_VALUE"""),"csprasad108@gmail.com")</f>
        <v>csprasad108@gmail.com</v>
      </c>
      <c r="C976" s="1" t="str">
        <f ca="1">IFERROR(__xludf.DUMMYFUNCTION("""COMPUTED_VALUE"""),"Kumkum prasad")</f>
        <v>Kumkum prasad</v>
      </c>
      <c r="D976" s="1">
        <f ca="1">IFERROR(__xludf.DUMMYFUNCTION("""COMPUTED_VALUE"""),7978055621)</f>
        <v>7978055621</v>
      </c>
      <c r="E976" s="1"/>
      <c r="F976" s="1" t="str">
        <f ca="1">IFERROR(__xludf.DUMMYFUNCTION("""COMPUTED_VALUE"""),"हिन्दी")</f>
        <v>हिन्दी</v>
      </c>
      <c r="G976" s="1" t="str">
        <f ca="1">IFERROR(__xludf.DUMMYFUNCTION("""COMPUTED_VALUE"""),"संस्कार, कर्मकाण्ड, पाठ, पूजा, गीत-संगीत")</f>
        <v>संस्कार, कर्मकाण्ड, पाठ, पूजा, गीत-संगीत</v>
      </c>
      <c r="H976" s="1"/>
      <c r="I976" s="1"/>
      <c r="J976" s="1"/>
      <c r="K976" s="1"/>
      <c r="L976" s="1"/>
      <c r="M976" s="1"/>
      <c r="N976" s="1"/>
      <c r="O976" s="1"/>
      <c r="P976" s="1"/>
      <c r="Q976" s="1"/>
      <c r="R976" s="1"/>
      <c r="S976" s="1"/>
      <c r="T976" s="1"/>
      <c r="U976" s="1"/>
      <c r="V976" s="1"/>
      <c r="W976" s="1" t="str">
        <f ca="1">IFERROR(__xludf.DUMMYFUNCTION("""COMPUTED_VALUE"""),"पर्व-त्यौहार, कर्मकाण्ड")</f>
        <v>पर्व-त्यौहार, कर्मकाण्ड</v>
      </c>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t="str">
        <f ca="1">IFERROR(__xludf.DUMMYFUNCTION("""COMPUTED_VALUE"""),"कर्मकांड की प्रेरणाओं में छिपा अध्यात्म")</f>
        <v>कर्मकांड की प्रेरणाओं में छिपा अध्यात्म</v>
      </c>
      <c r="BH976" s="1"/>
      <c r="BI976" s="1"/>
      <c r="BJ976" s="1"/>
      <c r="BK976" s="1"/>
      <c r="BL976" s="1"/>
      <c r="BM976" s="1"/>
      <c r="BN976" s="1"/>
      <c r="BO976" s="1"/>
      <c r="BP976" s="1"/>
      <c r="BQ976" s="1"/>
      <c r="BR976" s="1"/>
      <c r="BS976" s="1"/>
      <c r="BT976" s="1"/>
      <c r="BU976" s="1"/>
      <c r="BV976" s="1"/>
      <c r="BW976" s="1">
        <f ca="1">IFERROR(__xludf.DUMMYFUNCTION("""COMPUTED_VALUE"""),52)</f>
        <v>52</v>
      </c>
      <c r="BX976" s="1">
        <f ca="1">IFERROR(__xludf.DUMMYFUNCTION("""COMPUTED_VALUE"""),54)</f>
        <v>54</v>
      </c>
      <c r="BY976" s="1">
        <f ca="1">IFERROR(__xludf.DUMMYFUNCTION("""COMPUTED_VALUE"""),3)</f>
        <v>3</v>
      </c>
      <c r="BZ976" s="1">
        <f ca="1">IFERROR(__xludf.DUMMYFUNCTION("""COMPUTED_VALUE"""),24)</f>
        <v>24</v>
      </c>
      <c r="CA976" s="1" t="str">
        <f ca="1">IFERROR(__xludf.DUMMYFUNCTION("""COMPUTED_VALUE"""),"Yes")</f>
        <v>Yes</v>
      </c>
      <c r="CB976" s="5">
        <f ca="1">IFERROR(__xludf.DUMMYFUNCTION("""COMPUTED_VALUE"""),45079.5500789236)</f>
        <v>45079.550078923603</v>
      </c>
      <c r="CC976" s="1" t="str">
        <f ca="1">IFERROR(__xludf.DUMMYFUNCTION("""COMPUTED_VALUE"""),"अध्यात्म का मर्म समझें : H_JS_42")</f>
        <v>अध्यात्म का मर्म समझें : H_JS_42</v>
      </c>
      <c r="CD976" s="3" t="str">
        <f ca="1">IFERROR(__xludf.DUMMYFUNCTION("""COMPUTED_VALUE"""),"https://vicharkrantibooks.org/productdetail?book_name=HINP0013_ADHYATM_KA_MARM_SAMAJHEN_xx2011&amp;product_id=578")</f>
        <v>https://vicharkrantibooks.org/productdetail?book_name=HINP0013_ADHYATM_KA_MARM_SAMAJHEN_xx2011&amp;product_id=578</v>
      </c>
      <c r="CE976" s="1" t="str">
        <f ca="1">IFERROR(__xludf.DUMMYFUNCTION("""COMPUTED_VALUE"""),"Audiobook : अध्यात्म का मर्म समझें : H_JS_42 : csprasad108@gmail.com : Recorded")</f>
        <v>Audiobook : अध्यात्म का मर्म समझें : H_JS_42 : csprasad108@gmail.com : Recorded</v>
      </c>
      <c r="CF976" s="1" t="str">
        <f ca="1">IFERROR(__xludf.DUMMYFUNCTION("""COMPUTED_VALUE"""),"Audiobook : अध्यात्म का मर्म समझें : H_JS_42 : csprasad108@gmail.com : Recorded")</f>
        <v>Audiobook : अध्यात्म का मर्म समझें : H_JS_42 : csprasad108@gmail.com : Recorded</v>
      </c>
      <c r="CG976" s="1" t="str">
        <f ca="1">IFERROR(__xludf.DUMMYFUNCTION("""COMPUTED_VALUE"""),"Adarniya Kumkum prasad ji अध्यात्म का मर्म समझें : H_JS_42 : Allocated on 23-May-23 Contact Number  7978055621")</f>
        <v>Adarniya Kumkum prasad ji अध्यात्म का मर्म समझें : H_JS_42 : Allocated on 23-May-23 Contact Number  7978055621</v>
      </c>
      <c r="CH976" s="1"/>
      <c r="CI976" s="1"/>
    </row>
    <row r="977" spans="1:87" x14ac:dyDescent="0.25">
      <c r="A977" s="5">
        <f ca="1">IFERROR(__xludf.DUMMYFUNCTION("""COMPUTED_VALUE"""),45068.3103168518)</f>
        <v>45068.310316851799</v>
      </c>
      <c r="B977" s="1" t="str">
        <f ca="1">IFERROR(__xludf.DUMMYFUNCTION("""COMPUTED_VALUE"""),"ojhakrishna2310@gmail.com")</f>
        <v>ojhakrishna2310@gmail.com</v>
      </c>
      <c r="C977" s="1" t="str">
        <f ca="1">IFERROR(__xludf.DUMMYFUNCTION("""COMPUTED_VALUE"""),"Krishna arunkumar. Ojha")</f>
        <v>Krishna arunkumar. Ojha</v>
      </c>
      <c r="D977" s="1">
        <f ca="1">IFERROR(__xludf.DUMMYFUNCTION("""COMPUTED_VALUE"""),9631907058)</f>
        <v>9631907058</v>
      </c>
      <c r="E977" s="1"/>
      <c r="F977" s="1" t="str">
        <f ca="1">IFERROR(__xludf.DUMMYFUNCTION("""COMPUTED_VALUE"""),"हिन्दी")</f>
        <v>हिन्दी</v>
      </c>
      <c r="G977" s="1" t="str">
        <f ca="1">IFERROR(__xludf.DUMMYFUNCTION("""COMPUTED_VALUE"""),"जीवन प्रबंध")</f>
        <v>जीवन प्रबंध</v>
      </c>
      <c r="H977" s="1"/>
      <c r="I977" s="1"/>
      <c r="J977" s="1"/>
      <c r="K977" s="1"/>
      <c r="L977" s="1" t="str">
        <f ca="1">IFERROR(__xludf.DUMMYFUNCTION("""COMPUTED_VALUE"""),"मन की शक्ति एवं मनोविज्ञान")</f>
        <v>मन की शक्ति एवं मनोविज्ञान</v>
      </c>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f ca="1">IFERROR(__xludf.DUMMYFUNCTION("""COMPUTED_VALUE"""),13)</f>
        <v>13</v>
      </c>
      <c r="BX977" s="1">
        <f ca="1">IFERROR(__xludf.DUMMYFUNCTION("""COMPUTED_VALUE"""),6)</f>
        <v>6</v>
      </c>
      <c r="BY977" s="1">
        <f ca="1">IFERROR(__xludf.DUMMYFUNCTION("""COMPUTED_VALUE"""),8)</f>
        <v>8</v>
      </c>
      <c r="BZ977" s="1">
        <f ca="1">IFERROR(__xludf.DUMMYFUNCTION("""COMPUTED_VALUE"""),0)</f>
        <v>0</v>
      </c>
      <c r="CA977" s="1" t="str">
        <f ca="1">IFERROR(__xludf.DUMMYFUNCTION("""COMPUTED_VALUE"""),"Yes")</f>
        <v>Yes</v>
      </c>
      <c r="CB977" s="5">
        <f ca="1">IFERROR(__xludf.DUMMYFUNCTION("""COMPUTED_VALUE"""),45078.3103168518)</f>
        <v>45078.310316851799</v>
      </c>
      <c r="CC977" s="1" t="str">
        <f ca="1">IFERROR(__xludf.DUMMYFUNCTION("""COMPUTED_VALUE"""),"जीवन की सार्थकता : Rare Book")</f>
        <v>जीवन की सार्थकता : Rare Book</v>
      </c>
      <c r="CD977" s="3" t="str">
        <f ca="1">IFERROR(__xludf.DUMMYFUNCTION("""COMPUTED_VALUE"""),"https://vicharkrantibooks.org/productdetail?book_name=HINP0389_JIVAN_KI_SARTHAKATA_xxyyyy&amp;product_id=954")</f>
        <v>https://vicharkrantibooks.org/productdetail?book_name=HINP0389_JIVAN_KI_SARTHAKATA_xxyyyy&amp;product_id=954</v>
      </c>
      <c r="CE977" s="1" t="str">
        <f ca="1">IFERROR(__xludf.DUMMYFUNCTION("""COMPUTED_VALUE"""),"Audiobook : जीवन की सार्थकता : Rare Book : ojhakrishna2310@gmail.com : Recorded")</f>
        <v>Audiobook : जीवन की सार्थकता : Rare Book : ojhakrishna2310@gmail.com : Recorded</v>
      </c>
      <c r="CF977" s="1" t="str">
        <f ca="1">IFERROR(__xludf.DUMMYFUNCTION("""COMPUTED_VALUE"""),"Audiobook : जीवन की सार्थकता : Rare Book : ojhakrishna2310@gmail.com : Recorded")</f>
        <v>Audiobook : जीवन की सार्थकता : Rare Book : ojhakrishna2310@gmail.com : Recorded</v>
      </c>
      <c r="CG977" s="1" t="str">
        <f ca="1">IFERROR(__xludf.DUMMYFUNCTION("""COMPUTED_VALUE"""),"Adarniya Krishna arunkumar. Ojha ji जीवन की सार्थकता : Rare Book : Allocated on 22-May-23 Contact Number  9631907058")</f>
        <v>Adarniya Krishna arunkumar. Ojha ji जीवन की सार्थकता : Rare Book : Allocated on 22-May-23 Contact Number  9631907058</v>
      </c>
      <c r="CH977" s="1"/>
      <c r="CI977" s="1"/>
    </row>
    <row r="978" spans="1:87" x14ac:dyDescent="0.25">
      <c r="A978" s="5">
        <f ca="1">IFERROR(__xludf.DUMMYFUNCTION("""COMPUTED_VALUE"""),45068.2871098032)</f>
        <v>45068.287109803197</v>
      </c>
      <c r="B978" s="1" t="str">
        <f ca="1">IFERROR(__xludf.DUMMYFUNCTION("""COMPUTED_VALUE"""),"sanjayneha1@yahoo.com")</f>
        <v>sanjayneha1@yahoo.com</v>
      </c>
      <c r="C978" s="1" t="str">
        <f ca="1">IFERROR(__xludf.DUMMYFUNCTION("""COMPUTED_VALUE"""),"Neha Manocha")</f>
        <v>Neha Manocha</v>
      </c>
      <c r="D978" s="1">
        <f ca="1">IFERROR(__xludf.DUMMYFUNCTION("""COMPUTED_VALUE"""),16174130446)</f>
        <v>16174130446</v>
      </c>
      <c r="E978" s="1" t="str">
        <f ca="1">IFERROR(__xludf.DUMMYFUNCTION("""COMPUTED_VALUE"""),"Yes")</f>
        <v>Yes</v>
      </c>
      <c r="F978" s="1" t="str">
        <f ca="1">IFERROR(__xludf.DUMMYFUNCTION("""COMPUTED_VALUE"""),"हिन्दी or English")</f>
        <v>हिन्दी or English</v>
      </c>
      <c r="G978" s="1" t="str">
        <f ca="1">IFERROR(__xludf.DUMMYFUNCTION("""COMPUTED_VALUE"""),"जीवन प्रबंध")</f>
        <v>जीवन प्रबंध</v>
      </c>
      <c r="H978" s="1"/>
      <c r="I978" s="1"/>
      <c r="J978" s="1"/>
      <c r="K978" s="1"/>
      <c r="L978" s="1" t="str">
        <f ca="1">IFERROR(__xludf.DUMMYFUNCTION("""COMPUTED_VALUE"""),"जीवन साधना")</f>
        <v>जीवन साधना</v>
      </c>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f ca="1">IFERROR(__xludf.DUMMYFUNCTION("""COMPUTED_VALUE"""),33)</f>
        <v>33</v>
      </c>
      <c r="BX978" s="1">
        <f ca="1">IFERROR(__xludf.DUMMYFUNCTION("""COMPUTED_VALUE"""),40)</f>
        <v>40</v>
      </c>
      <c r="BY978" s="1">
        <f ca="1">IFERROR(__xludf.DUMMYFUNCTION("""COMPUTED_VALUE"""),3)</f>
        <v>3</v>
      </c>
      <c r="BZ978" s="1">
        <f ca="1">IFERROR(__xludf.DUMMYFUNCTION("""COMPUTED_VALUE"""),22)</f>
        <v>22</v>
      </c>
      <c r="CA978" s="1" t="str">
        <f ca="1">IFERROR(__xludf.DUMMYFUNCTION("""COMPUTED_VALUE"""),"Yes")</f>
        <v>Yes</v>
      </c>
      <c r="CB978" s="5">
        <f ca="1">IFERROR(__xludf.DUMMYFUNCTION("""COMPUTED_VALUE"""),45078.2871098032)</f>
        <v>45078.287109803197</v>
      </c>
      <c r="CC978" s="1" t="str">
        <f ca="1">IFERROR(__xludf.DUMMYFUNCTION("""COMPUTED_VALUE"""),"उत्कृष्टता संपन्न दिव्य जीवन जीयें : Rare Book")</f>
        <v>उत्कृष्टता संपन्न दिव्य जीवन जीयें : Rare Book</v>
      </c>
      <c r="CD978" s="3" t="str">
        <f ca="1">IFERROR(__xludf.DUMMYFUNCTION("""COMPUTED_VALUE"""),"https://vicharkrantibooks.org/productdetail?book_name=HINP0938_UTKRUSHTATA_SAMPANN_DIVY_JIVAN_JIYEN_xx1981&amp;product_id=1503")</f>
        <v>https://vicharkrantibooks.org/productdetail?book_name=HINP0938_UTKRUSHTATA_SAMPANN_DIVY_JIVAN_JIYEN_xx1981&amp;product_id=1503</v>
      </c>
      <c r="CE978" s="1" t="str">
        <f ca="1">IFERROR(__xludf.DUMMYFUNCTION("""COMPUTED_VALUE"""),"Audiobook : उत्कृष्टता संपन्न दिव्य जीवन जीयें : Rare Book : sanjayneha1@yahoo.com : Recorded")</f>
        <v>Audiobook : उत्कृष्टता संपन्न दिव्य जीवन जीयें : Rare Book : sanjayneha1@yahoo.com : Recorded</v>
      </c>
      <c r="CF978" s="1" t="str">
        <f ca="1">IFERROR(__xludf.DUMMYFUNCTION("""COMPUTED_VALUE"""),"Audiobook : उत्कृष्टता संपन्न दिव्य जीवन जीयें : Rare Book : sanjayneha1@yahoo.com : Recorded")</f>
        <v>Audiobook : उत्कृष्टता संपन्न दिव्य जीवन जीयें : Rare Book : sanjayneha1@yahoo.com : Recorded</v>
      </c>
      <c r="CG978" s="1" t="str">
        <f ca="1">IFERROR(__xludf.DUMMYFUNCTION("""COMPUTED_VALUE"""),"Adarniya Neha Manocha ji उत्कृष्टता संपन्न दिव्य जीवन जीयें : Rare Book : Allocated on 22-May-23 Contact Number  16174130446")</f>
        <v>Adarniya Neha Manocha ji उत्कृष्टता संपन्न दिव्य जीवन जीयें : Rare Book : Allocated on 22-May-23 Contact Number  16174130446</v>
      </c>
      <c r="CH978" s="1"/>
      <c r="CI978" s="1"/>
    </row>
    <row r="979" spans="1:87" x14ac:dyDescent="0.25">
      <c r="A979" s="5">
        <f ca="1">IFERROR(__xludf.DUMMYFUNCTION("""COMPUTED_VALUE"""),45068.2853279861)</f>
        <v>45068.285327986101</v>
      </c>
      <c r="B979" s="1" t="str">
        <f ca="1">IFERROR(__xludf.DUMMYFUNCTION("""COMPUTED_VALUE"""),"jamunashukla17@gmail.com")</f>
        <v>jamunashukla17@gmail.com</v>
      </c>
      <c r="C979" s="1" t="str">
        <f ca="1">IFERROR(__xludf.DUMMYFUNCTION("""COMPUTED_VALUE"""),"mrs J S Shukla ")</f>
        <v xml:space="preserve">mrs J S Shukla </v>
      </c>
      <c r="D979" s="1" t="str">
        <f ca="1">IFERROR(__xludf.DUMMYFUNCTION("""COMPUTED_VALUE"""),"+918390353167")</f>
        <v>+918390353167</v>
      </c>
      <c r="E979" s="1" t="str">
        <f ca="1">IFERROR(__xludf.DUMMYFUNCTION("""COMPUTED_VALUE"""),"Yes")</f>
        <v>Yes</v>
      </c>
      <c r="F979" s="1" t="str">
        <f ca="1">IFERROR(__xludf.DUMMYFUNCTION("""COMPUTED_VALUE"""),"हिन्दी")</f>
        <v>हिन्दी</v>
      </c>
      <c r="G979" s="1" t="str">
        <f ca="1">IFERROR(__xludf.DUMMYFUNCTION("""COMPUTED_VALUE"""),"अध्यात्म, धर्म एवं दर्शन")</f>
        <v>अध्यात्म, धर्म एवं दर्शन</v>
      </c>
      <c r="H979" s="1" t="str">
        <f ca="1">IFERROR(__xludf.DUMMYFUNCTION("""COMPUTED_VALUE"""),"उपासना")</f>
        <v>उपासना</v>
      </c>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f ca="1">IFERROR(__xludf.DUMMYFUNCTION("""COMPUTED_VALUE"""),53)</f>
        <v>53</v>
      </c>
      <c r="BX979" s="1">
        <f ca="1">IFERROR(__xludf.DUMMYFUNCTION("""COMPUTED_VALUE"""),53)</f>
        <v>53</v>
      </c>
      <c r="BY979" s="1">
        <f ca="1">IFERROR(__xludf.DUMMYFUNCTION("""COMPUTED_VALUE"""),9)</f>
        <v>9</v>
      </c>
      <c r="BZ979" s="1">
        <f ca="1">IFERROR(__xludf.DUMMYFUNCTION("""COMPUTED_VALUE"""),25)</f>
        <v>25</v>
      </c>
      <c r="CA979" s="1" t="str">
        <f ca="1">IFERROR(__xludf.DUMMYFUNCTION("""COMPUTED_VALUE"""),"Yes")</f>
        <v>Yes</v>
      </c>
      <c r="CB979" s="5">
        <f ca="1">IFERROR(__xludf.DUMMYFUNCTION("""COMPUTED_VALUE"""),45078.2853279861)</f>
        <v>45078.285327986101</v>
      </c>
      <c r="CC979" s="1" t="str">
        <f ca="1">IFERROR(__xludf.DUMMYFUNCTION("""COMPUTED_VALUE"""),"उपासनाऐं सफल क्यों नहीं होतीं ? : Rare Book")</f>
        <v>उपासनाऐं सफल क्यों नहीं होतीं ? : Rare Book</v>
      </c>
      <c r="CD979" s="3" t="str">
        <f ca="1">IFERROR(__xludf.DUMMYFUNCTION("""COMPUTED_VALUE"""),"https://vicharkrantibooks.org/productdetail?book_name=HINP0929_UPASANAE_SAPHAL_KYON_NAHIN_HOTIN_xx1981&amp;product_id=1494")</f>
        <v>https://vicharkrantibooks.org/productdetail?book_name=HINP0929_UPASANAE_SAPHAL_KYON_NAHIN_HOTIN_xx1981&amp;product_id=1494</v>
      </c>
      <c r="CE979" s="1" t="str">
        <f ca="1">IFERROR(__xludf.DUMMYFUNCTION("""COMPUTED_VALUE"""),"Audiobook : उपासनाऐं सफल क्यों नहीं होतीं ? : Rare Book : jamunashukla17@gmail.com : Recorded")</f>
        <v>Audiobook : उपासनाऐं सफल क्यों नहीं होतीं ? : Rare Book : jamunashukla17@gmail.com : Recorded</v>
      </c>
      <c r="CF979" s="1" t="str">
        <f ca="1">IFERROR(__xludf.DUMMYFUNCTION("""COMPUTED_VALUE"""),"Audiobook : उपासनाऐं सफल क्यों नहीं होतीं ? : Rare Book : jamunashukla17@gmail.com : Recorded")</f>
        <v>Audiobook : उपासनाऐं सफल क्यों नहीं होतीं ? : Rare Book : jamunashukla17@gmail.com : Recorded</v>
      </c>
      <c r="CG979" s="1" t="str">
        <f ca="1">IFERROR(__xludf.DUMMYFUNCTION("""COMPUTED_VALUE"""),"Adarniya mrs J S Shukla  ji उपासनाऐं सफल क्यों नहीं होतीं ? : Rare Book : Allocated on 22-May-23 Contact Number  +918390353167")</f>
        <v>Adarniya mrs J S Shukla  ji उपासनाऐं सफल क्यों नहीं होतीं ? : Rare Book : Allocated on 22-May-23 Contact Number  +918390353167</v>
      </c>
      <c r="CH979" s="1"/>
      <c r="CI979" s="1"/>
    </row>
    <row r="980" spans="1:87" x14ac:dyDescent="0.25">
      <c r="A980" s="5">
        <f ca="1">IFERROR(__xludf.DUMMYFUNCTION("""COMPUTED_VALUE"""),45066.95590728)</f>
        <v>45066.955907279997</v>
      </c>
      <c r="B980" s="1" t="str">
        <f ca="1">IFERROR(__xludf.DUMMYFUNCTION("""COMPUTED_VALUE"""),"druma4107@gmail.com")</f>
        <v>druma4107@gmail.com</v>
      </c>
      <c r="C980" s="1" t="str">
        <f ca="1">IFERROR(__xludf.DUMMYFUNCTION("""COMPUTED_VALUE"""),"Dr Uma Agrawal")</f>
        <v>Dr Uma Agrawal</v>
      </c>
      <c r="D980" s="1">
        <f ca="1">IFERROR(__xludf.DUMMYFUNCTION("""COMPUTED_VALUE"""),94108611182)</f>
        <v>94108611182</v>
      </c>
      <c r="E980" s="1" t="str">
        <f ca="1">IFERROR(__xludf.DUMMYFUNCTION("""COMPUTED_VALUE"""),"Yes")</f>
        <v>Yes</v>
      </c>
      <c r="F980" s="1" t="str">
        <f ca="1">IFERROR(__xludf.DUMMYFUNCTION("""COMPUTED_VALUE"""),"हिन्दी")</f>
        <v>हिन्दी</v>
      </c>
      <c r="G980" s="1" t="str">
        <f ca="1">IFERROR(__xludf.DUMMYFUNCTION("""COMPUTED_VALUE"""),"समग्र स्वास्थ्य")</f>
        <v>समग्र स्वास्थ्य</v>
      </c>
      <c r="H980" s="1"/>
      <c r="I980" s="1"/>
      <c r="J980" s="1"/>
      <c r="K980" s="1"/>
      <c r="L980" s="1"/>
      <c r="M980" s="1"/>
      <c r="N980" s="1"/>
      <c r="O980" s="1"/>
      <c r="P980" s="1"/>
      <c r="Q980" s="1"/>
      <c r="R980" s="1"/>
      <c r="S980" s="1"/>
      <c r="T980" s="1"/>
      <c r="U980" s="1" t="str">
        <f ca="1">IFERROR(__xludf.DUMMYFUNCTION("""COMPUTED_VALUE"""),"स्वास्थ्य संवर्धन")</f>
        <v>स्वास्थ्य संवर्धन</v>
      </c>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f ca="1">IFERROR(__xludf.DUMMYFUNCTION("""COMPUTED_VALUE"""),104)</f>
        <v>104</v>
      </c>
      <c r="BX980" s="1">
        <f ca="1">IFERROR(__xludf.DUMMYFUNCTION("""COMPUTED_VALUE"""),106)</f>
        <v>106</v>
      </c>
      <c r="BY980" s="1">
        <f ca="1">IFERROR(__xludf.DUMMYFUNCTION("""COMPUTED_VALUE"""),9)</f>
        <v>9</v>
      </c>
      <c r="BZ980" s="1">
        <f ca="1">IFERROR(__xludf.DUMMYFUNCTION("""COMPUTED_VALUE"""),43)</f>
        <v>43</v>
      </c>
      <c r="CA980" s="1" t="str">
        <f ca="1">IFERROR(__xludf.DUMMYFUNCTION("""COMPUTED_VALUE"""),"Yes")</f>
        <v>Yes</v>
      </c>
      <c r="CB980" s="5">
        <f ca="1">IFERROR(__xludf.DUMMYFUNCTION("""COMPUTED_VALUE"""),45076.95590728)</f>
        <v>45076.955907279997</v>
      </c>
      <c r="CC980" s="1" t="str">
        <f ca="1">IFERROR(__xludf.DUMMYFUNCTION("""COMPUTED_VALUE"""),"अधिकार गौण और कर्तव्य प्रधान : Rare Book")</f>
        <v>अधिकार गौण और कर्तव्य प्रधान : Rare Book</v>
      </c>
      <c r="CD980" s="3" t="str">
        <f ca="1">IFERROR(__xludf.DUMMYFUNCTION("""COMPUTED_VALUE"""),"https://vicharkrantibooks.org/productdetail?book_name=HINP0006_ADHIKAR_GAUN_AUR_KARTAVY_PRADHAN_xxyyyy&amp;product_id=571")</f>
        <v>https://vicharkrantibooks.org/productdetail?book_name=HINP0006_ADHIKAR_GAUN_AUR_KARTAVY_PRADHAN_xxyyyy&amp;product_id=571</v>
      </c>
      <c r="CE980" s="1" t="str">
        <f ca="1">IFERROR(__xludf.DUMMYFUNCTION("""COMPUTED_VALUE"""),"Audiobook : अधिकार गौण और कर्तव्य प्रधान : Rare Book : druma4107@gmail.com : Recorded")</f>
        <v>Audiobook : अधिकार गौण और कर्तव्य प्रधान : Rare Book : druma4107@gmail.com : Recorded</v>
      </c>
      <c r="CF980" s="1" t="str">
        <f ca="1">IFERROR(__xludf.DUMMYFUNCTION("""COMPUTED_VALUE"""),"Audiobook : अधिकार गौण और कर्तव्य प्रधान : Rare Book : druma4107@gmail.com : Recorded")</f>
        <v>Audiobook : अधिकार गौण और कर्तव्य प्रधान : Rare Book : druma4107@gmail.com : Recorded</v>
      </c>
      <c r="CG980" s="1" t="str">
        <f ca="1">IFERROR(__xludf.DUMMYFUNCTION("""COMPUTED_VALUE"""),"Adarniya Dr Uma Agrawal ji अधिकार गौण और कर्तव्य प्रधान : Rare Book : Allocated on 20-May-23 Contact Number  94108611182")</f>
        <v>Adarniya Dr Uma Agrawal ji अधिकार गौण और कर्तव्य प्रधान : Rare Book : Allocated on 20-May-23 Contact Number  94108611182</v>
      </c>
      <c r="CH980" s="1"/>
      <c r="CI980" s="1"/>
    </row>
    <row r="981" spans="1:87" x14ac:dyDescent="0.25">
      <c r="A981" s="5">
        <f ca="1">IFERROR(__xludf.DUMMYFUNCTION("""COMPUTED_VALUE"""),45066.9057841551)</f>
        <v>45066.905784155097</v>
      </c>
      <c r="B981" s="1" t="str">
        <f ca="1">IFERROR(__xludf.DUMMYFUNCTION("""COMPUTED_VALUE"""),"csprasad108@gmail.com")</f>
        <v>csprasad108@gmail.com</v>
      </c>
      <c r="C981" s="1" t="str">
        <f ca="1">IFERROR(__xludf.DUMMYFUNCTION("""COMPUTED_VALUE"""),"Kumkum prasad")</f>
        <v>Kumkum prasad</v>
      </c>
      <c r="D981" s="1">
        <f ca="1">IFERROR(__xludf.DUMMYFUNCTION("""COMPUTED_VALUE"""),7978055621)</f>
        <v>7978055621</v>
      </c>
      <c r="E981" s="1"/>
      <c r="F981" s="1" t="str">
        <f ca="1">IFERROR(__xludf.DUMMYFUNCTION("""COMPUTED_VALUE"""),"हिन्दी")</f>
        <v>हिन्दी</v>
      </c>
      <c r="G981" s="1" t="str">
        <f ca="1">IFERROR(__xludf.DUMMYFUNCTION("""COMPUTED_VALUE"""),"संस्कार, कर्मकाण्ड, पाठ, पूजा, गीत-संगीत")</f>
        <v>संस्कार, कर्मकाण्ड, पाठ, पूजा, गीत-संगीत</v>
      </c>
      <c r="H981" s="1"/>
      <c r="I981" s="1"/>
      <c r="J981" s="1"/>
      <c r="K981" s="1"/>
      <c r="L981" s="1"/>
      <c r="M981" s="1"/>
      <c r="N981" s="1"/>
      <c r="O981" s="1"/>
      <c r="P981" s="1"/>
      <c r="Q981" s="1"/>
      <c r="R981" s="1"/>
      <c r="S981" s="1"/>
      <c r="T981" s="1"/>
      <c r="U981" s="1"/>
      <c r="V981" s="1"/>
      <c r="W981" s="1" t="str">
        <f ca="1">IFERROR(__xludf.DUMMYFUNCTION("""COMPUTED_VALUE"""),"पाठ, पूजा, चालीसा, प्रार्थना,")</f>
        <v>पाठ, पूजा, चालीसा, प्रार्थना,</v>
      </c>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t="str">
        <f ca="1">IFERROR(__xludf.DUMMYFUNCTION("""COMPUTED_VALUE"""),"गायत्री चालीसा")</f>
        <v>गायत्री चालीसा</v>
      </c>
      <c r="BI981" s="1"/>
      <c r="BJ981" s="1"/>
      <c r="BK981" s="1"/>
      <c r="BL981" s="1"/>
      <c r="BM981" s="1"/>
      <c r="BN981" s="1"/>
      <c r="BO981" s="1"/>
      <c r="BP981" s="1"/>
      <c r="BQ981" s="1"/>
      <c r="BR981" s="1"/>
      <c r="BS981" s="1"/>
      <c r="BT981" s="1"/>
      <c r="BU981" s="1"/>
      <c r="BV981" s="1"/>
      <c r="BW981" s="1">
        <f ca="1">IFERROR(__xludf.DUMMYFUNCTION("""COMPUTED_VALUE"""),52)</f>
        <v>52</v>
      </c>
      <c r="BX981" s="1">
        <f ca="1">IFERROR(__xludf.DUMMYFUNCTION("""COMPUTED_VALUE"""),54)</f>
        <v>54</v>
      </c>
      <c r="BY981" s="1">
        <f ca="1">IFERROR(__xludf.DUMMYFUNCTION("""COMPUTED_VALUE"""),3)</f>
        <v>3</v>
      </c>
      <c r="BZ981" s="1">
        <f ca="1">IFERROR(__xludf.DUMMYFUNCTION("""COMPUTED_VALUE"""),24)</f>
        <v>24</v>
      </c>
      <c r="CA981" s="1" t="str">
        <f ca="1">IFERROR(__xludf.DUMMYFUNCTION("""COMPUTED_VALUE"""),"Yes")</f>
        <v>Yes</v>
      </c>
      <c r="CB981" s="5">
        <f ca="1">IFERROR(__xludf.DUMMYFUNCTION("""COMPUTED_VALUE"""),45076.9057841551)</f>
        <v>45076.905784155097</v>
      </c>
      <c r="CC981" s="1" t="str">
        <f ca="1">IFERROR(__xludf.DUMMYFUNCTION("""COMPUTED_VALUE"""),"ऋषि चिंतन के सान्निध्य में ०२ (पोकेट) : H_SJ_28_2")</f>
        <v>ऋषि चिंतन के सान्निध्य में ०२ (पोकेट) : H_SJ_28_2</v>
      </c>
      <c r="CD981" s="3" t="str">
        <f ca="1">IFERROR(__xludf.DUMMYFUNCTION("""COMPUTED_VALUE"""),"https://vicharkrantibooks.org/productdetail?book_name=HINP0713_RUSHI_CHINTAN_KE_SANIDHYA_MEIN_02_(POCKET)_xxyyyy&amp;product_id=1278")</f>
        <v>https://vicharkrantibooks.org/productdetail?book_name=HINP0713_RUSHI_CHINTAN_KE_SANIDHYA_MEIN_02_(POCKET)_xxyyyy&amp;product_id=1278</v>
      </c>
      <c r="CE981" s="1" t="str">
        <f ca="1">IFERROR(__xludf.DUMMYFUNCTION("""COMPUTED_VALUE"""),"Audiobook : ऋषि चिंतन के सान्निध्य में ०२ (पोकेट) : H_SJ_28_2 : csprasad108@gmail.com : Recorded")</f>
        <v>Audiobook : ऋषि चिंतन के सान्निध्य में ०२ (पोकेट) : H_SJ_28_2 : csprasad108@gmail.com : Recorded</v>
      </c>
      <c r="CF981" s="1" t="str">
        <f ca="1">IFERROR(__xludf.DUMMYFUNCTION("""COMPUTED_VALUE"""),"Audiobook : ऋषि चिंतन के सान्निध्य में ०२ (पोकेट) : H_SJ_28_2 : csprasad108@gmail.com : Recorded")</f>
        <v>Audiobook : ऋषि चिंतन के सान्निध्य में ०२ (पोकेट) : H_SJ_28_2 : csprasad108@gmail.com : Recorded</v>
      </c>
      <c r="CG981" s="1" t="str">
        <f ca="1">IFERROR(__xludf.DUMMYFUNCTION("""COMPUTED_VALUE"""),"Adarniya Kumkum prasad ji ऋषि चिंतन के सान्निध्य में ०२ (पोकेट) : H_SJ_28_2 : Allocated on 20-May-23 Contact Number  7978055621")</f>
        <v>Adarniya Kumkum prasad ji ऋषि चिंतन के सान्निध्य में ०२ (पोकेट) : H_SJ_28_2 : Allocated on 20-May-23 Contact Number  7978055621</v>
      </c>
      <c r="CH981" s="1"/>
      <c r="CI981" s="1"/>
    </row>
    <row r="982" spans="1:87" x14ac:dyDescent="0.25">
      <c r="A982" s="5">
        <f ca="1">IFERROR(__xludf.DUMMYFUNCTION("""COMPUTED_VALUE"""),45066.566574375)</f>
        <v>45066.566574375</v>
      </c>
      <c r="B982" s="1" t="str">
        <f ca="1">IFERROR(__xludf.DUMMYFUNCTION("""COMPUTED_VALUE"""),"rajniverma24.vns@gmail.com")</f>
        <v>rajniverma24.vns@gmail.com</v>
      </c>
      <c r="C982" s="1" t="str">
        <f ca="1">IFERROR(__xludf.DUMMYFUNCTION("""COMPUTED_VALUE"""),"Rajni varma")</f>
        <v>Rajni varma</v>
      </c>
      <c r="D982" s="1">
        <f ca="1">IFERROR(__xludf.DUMMYFUNCTION("""COMPUTED_VALUE"""),9335661433)</f>
        <v>9335661433</v>
      </c>
      <c r="E982" s="1" t="str">
        <f ca="1">IFERROR(__xludf.DUMMYFUNCTION("""COMPUTED_VALUE"""),"No")</f>
        <v>No</v>
      </c>
      <c r="F982" s="1" t="str">
        <f ca="1">IFERROR(__xludf.DUMMYFUNCTION("""COMPUTED_VALUE"""),"हिन्दी")</f>
        <v>हिन्दी</v>
      </c>
      <c r="G982" s="1" t="str">
        <f ca="1">IFERROR(__xludf.DUMMYFUNCTION("""COMPUTED_VALUE"""),"युग परिवर्तन-विचार क्रांति")</f>
        <v>युग परिवर्तन-विचार क्रांति</v>
      </c>
      <c r="H982" s="1"/>
      <c r="I982" s="1"/>
      <c r="J982" s="1"/>
      <c r="K982" s="1"/>
      <c r="L982" s="1"/>
      <c r="M982" s="1"/>
      <c r="N982" s="1"/>
      <c r="O982" s="1"/>
      <c r="P982" s="1"/>
      <c r="Q982" s="1" t="str">
        <f ca="1">IFERROR(__xludf.DUMMYFUNCTION("""COMPUTED_VALUE"""),"युग निर्माण योजना एवं युग परिवर्तन")</f>
        <v>युग निर्माण योजना एवं युग परिवर्तन</v>
      </c>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f ca="1">IFERROR(__xludf.DUMMYFUNCTION("""COMPUTED_VALUE"""),9)</f>
        <v>9</v>
      </c>
      <c r="BX982" s="1">
        <f ca="1">IFERROR(__xludf.DUMMYFUNCTION("""COMPUTED_VALUE"""),6)</f>
        <v>6</v>
      </c>
      <c r="BY982" s="1">
        <f ca="1">IFERROR(__xludf.DUMMYFUNCTION("""COMPUTED_VALUE"""),3)</f>
        <v>3</v>
      </c>
      <c r="BZ982" s="1">
        <f ca="1">IFERROR(__xludf.DUMMYFUNCTION("""COMPUTED_VALUE"""),1)</f>
        <v>1</v>
      </c>
      <c r="CA982" s="1" t="str">
        <f ca="1">IFERROR(__xludf.DUMMYFUNCTION("""COMPUTED_VALUE"""),"Yes")</f>
        <v>Yes</v>
      </c>
      <c r="CB982" s="5">
        <f ca="1">IFERROR(__xludf.DUMMYFUNCTION("""COMPUTED_VALUE"""),45076.566574375)</f>
        <v>45076.566574375</v>
      </c>
      <c r="CC982" s="1" t="str">
        <f ca="1">IFERROR(__xludf.DUMMYFUNCTION("""COMPUTED_VALUE"""),"जीवन जीने की कला : Rare Book")</f>
        <v>जीवन जीने की कला : Rare Book</v>
      </c>
      <c r="CD982" s="3" t="str">
        <f ca="1">IFERROR(__xludf.DUMMYFUNCTION("""COMPUTED_VALUE"""),"https://vicharkrantibooks.org/productdetail?book_name=HINP0387_JIVAN_JINE_KI_KALA_xxyyyy&amp;product_id=952")</f>
        <v>https://vicharkrantibooks.org/productdetail?book_name=HINP0387_JIVAN_JINE_KI_KALA_xxyyyy&amp;product_id=952</v>
      </c>
      <c r="CE982" s="1" t="str">
        <f ca="1">IFERROR(__xludf.DUMMYFUNCTION("""COMPUTED_VALUE"""),"Audiobook : जीवन जीने की कला : Rare Book : rajniverma24.vns@gmail.com : Recorded")</f>
        <v>Audiobook : जीवन जीने की कला : Rare Book : rajniverma24.vns@gmail.com : Recorded</v>
      </c>
      <c r="CF982" s="1" t="str">
        <f ca="1">IFERROR(__xludf.DUMMYFUNCTION("""COMPUTED_VALUE"""),"Audiobook : जीवन जीने की कला : Rare Book : rajniverma24.vns@gmail.com : Recorded")</f>
        <v>Audiobook : जीवन जीने की कला : Rare Book : rajniverma24.vns@gmail.com : Recorded</v>
      </c>
      <c r="CG982" s="1" t="str">
        <f ca="1">IFERROR(__xludf.DUMMYFUNCTION("""COMPUTED_VALUE"""),"Adarniya Rajni varma ji जीवन जीने की कला : Rare Book : Allocated on 20-May-23 Contact Number  9335661433")</f>
        <v>Adarniya Rajni varma ji जीवन जीने की कला : Rare Book : Allocated on 20-May-23 Contact Number  9335661433</v>
      </c>
      <c r="CH982" s="1"/>
      <c r="CI982" s="1"/>
    </row>
    <row r="983" spans="1:87" x14ac:dyDescent="0.25">
      <c r="A983" s="5">
        <f ca="1">IFERROR(__xludf.DUMMYFUNCTION("""COMPUTED_VALUE"""),45066.443547662)</f>
        <v>45066.443547661998</v>
      </c>
      <c r="B983" s="1" t="str">
        <f ca="1">IFERROR(__xludf.DUMMYFUNCTION("""COMPUTED_VALUE"""),"rekhabhagat2511@gmail.com")</f>
        <v>rekhabhagat2511@gmail.com</v>
      </c>
      <c r="C983" s="1" t="str">
        <f ca="1">IFERROR(__xludf.DUMMYFUNCTION("""COMPUTED_VALUE"""),"Rekha Bhagat")</f>
        <v>Rekha Bhagat</v>
      </c>
      <c r="D983" s="1">
        <f ca="1">IFERROR(__xludf.DUMMYFUNCTION("""COMPUTED_VALUE"""),9424811235)</f>
        <v>9424811235</v>
      </c>
      <c r="E983" s="1" t="str">
        <f ca="1">IFERROR(__xludf.DUMMYFUNCTION("""COMPUTED_VALUE"""),"Yes")</f>
        <v>Yes</v>
      </c>
      <c r="F983" s="1" t="str">
        <f ca="1">IFERROR(__xludf.DUMMYFUNCTION("""COMPUTED_VALUE"""),"हिन्दी")</f>
        <v>हिन्दी</v>
      </c>
      <c r="G983" s="1" t="str">
        <f ca="1">IFERROR(__xludf.DUMMYFUNCTION("""COMPUTED_VALUE"""),"वैज्ञानिक अध्यात्मवाद का प्रतिपादन")</f>
        <v>वैज्ञानिक अध्यात्मवाद का प्रतिपादन</v>
      </c>
      <c r="H983" s="1"/>
      <c r="I983" s="1"/>
      <c r="J983" s="1"/>
      <c r="K983" s="1"/>
      <c r="L983" s="1"/>
      <c r="M983" s="1"/>
      <c r="N983" s="1"/>
      <c r="O983" s="1"/>
      <c r="P983" s="1"/>
      <c r="Q983" s="1"/>
      <c r="R983" s="1"/>
      <c r="S983" s="1" t="str">
        <f ca="1">IFERROR(__xludf.DUMMYFUNCTION("""COMPUTED_VALUE"""),"वैज्ञानिक अध्यात्मवाद का प्रतिपादन")</f>
        <v>वैज्ञानिक अध्यात्मवाद का प्रतिपादन</v>
      </c>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f ca="1">IFERROR(__xludf.DUMMYFUNCTION("""COMPUTED_VALUE"""),19)</f>
        <v>19</v>
      </c>
      <c r="BX983" s="1">
        <f ca="1">IFERROR(__xludf.DUMMYFUNCTION("""COMPUTED_VALUE"""),11)</f>
        <v>11</v>
      </c>
      <c r="BY983" s="1">
        <f ca="1">IFERROR(__xludf.DUMMYFUNCTION("""COMPUTED_VALUE"""),8)</f>
        <v>8</v>
      </c>
      <c r="BZ983" s="1">
        <f ca="1">IFERROR(__xludf.DUMMYFUNCTION("""COMPUTED_VALUE"""),4)</f>
        <v>4</v>
      </c>
      <c r="CA983" s="1" t="str">
        <f ca="1">IFERROR(__xludf.DUMMYFUNCTION("""COMPUTED_VALUE"""),"Yes")</f>
        <v>Yes</v>
      </c>
      <c r="CB983" s="5">
        <f ca="1">IFERROR(__xludf.DUMMYFUNCTION("""COMPUTED_VALUE"""),45076.443547662)</f>
        <v>45076.443547661998</v>
      </c>
      <c r="CC983" s="1" t="str">
        <f ca="1">IFERROR(__xludf.DUMMYFUNCTION("""COMPUTED_VALUE"""),"शब्द ब्रह्म और योग विज्ञान : Rare Book")</f>
        <v>शब्द ब्रह्म और योग विज्ञान : Rare Book</v>
      </c>
      <c r="CD983" s="3" t="str">
        <f ca="1">IFERROR(__xludf.DUMMYFUNCTION("""COMPUTED_VALUE"""),"https://vicharkrantibooks.org/productdetail?book_name=HINP0830_SHABD_BRAHM_AUR_YOG_VIGYAN_xx1982&amp;product_id=1395")</f>
        <v>https://vicharkrantibooks.org/productdetail?book_name=HINP0830_SHABD_BRAHM_AUR_YOG_VIGYAN_xx1982&amp;product_id=1395</v>
      </c>
      <c r="CE983" s="1" t="str">
        <f ca="1">IFERROR(__xludf.DUMMYFUNCTION("""COMPUTED_VALUE"""),"Audiobook : शब्द ब्रह्म और योग विज्ञान : Rare Book : rekhabhagat2511@gmail.com : Recorded")</f>
        <v>Audiobook : शब्द ब्रह्म और योग विज्ञान : Rare Book : rekhabhagat2511@gmail.com : Recorded</v>
      </c>
      <c r="CF983" s="1" t="str">
        <f ca="1">IFERROR(__xludf.DUMMYFUNCTION("""COMPUTED_VALUE"""),"Audiobook : शब्द ब्रह्म और योग विज्ञान : Rare Book : rekhabhagat2511@gmail.com : Recorded")</f>
        <v>Audiobook : शब्द ब्रह्म और योग विज्ञान : Rare Book : rekhabhagat2511@gmail.com : Recorded</v>
      </c>
      <c r="CG983" s="1" t="str">
        <f ca="1">IFERROR(__xludf.DUMMYFUNCTION("""COMPUTED_VALUE"""),"Adarniya Rekha Bhagat ji शब्द ब्रह्म और योग विज्ञान : Rare Book : Allocated on 20-May-23 Contact Number  9424811235")</f>
        <v>Adarniya Rekha Bhagat ji शब्द ब्रह्म और योग विज्ञान : Rare Book : Allocated on 20-May-23 Contact Number  9424811235</v>
      </c>
      <c r="CH983" s="1"/>
      <c r="CI983" s="1"/>
    </row>
    <row r="984" spans="1:87" x14ac:dyDescent="0.25">
      <c r="A984" s="5">
        <f ca="1">IFERROR(__xludf.DUMMYFUNCTION("""COMPUTED_VALUE"""),45064.8188690509)</f>
        <v>45064.818869050898</v>
      </c>
      <c r="B984" s="1" t="str">
        <f ca="1">IFERROR(__xludf.DUMMYFUNCTION("""COMPUTED_VALUE"""),"spmittalmumbai@gmail.com")</f>
        <v>spmittalmumbai@gmail.com</v>
      </c>
      <c r="C984" s="1" t="str">
        <f ca="1">IFERROR(__xludf.DUMMYFUNCTION("""COMPUTED_VALUE"""),"Satya prabha Mittal")</f>
        <v>Satya prabha Mittal</v>
      </c>
      <c r="D984" s="1">
        <f ca="1">IFERROR(__xludf.DUMMYFUNCTION("""COMPUTED_VALUE"""),7045537099)</f>
        <v>7045537099</v>
      </c>
      <c r="E984" s="1" t="str">
        <f ca="1">IFERROR(__xludf.DUMMYFUNCTION("""COMPUTED_VALUE"""),"Yes")</f>
        <v>Yes</v>
      </c>
      <c r="F984" s="1" t="str">
        <f ca="1">IFERROR(__xludf.DUMMYFUNCTION("""COMPUTED_VALUE"""),"हिन्दी")</f>
        <v>हिन्दी</v>
      </c>
      <c r="G984" s="1" t="str">
        <f ca="1">IFERROR(__xludf.DUMMYFUNCTION("""COMPUTED_VALUE"""),"जीवन प्रबंध")</f>
        <v>जीवन प्रबंध</v>
      </c>
      <c r="H984" s="1"/>
      <c r="I984" s="1"/>
      <c r="J984" s="1"/>
      <c r="K984" s="1"/>
      <c r="L984" s="1" t="str">
        <f ca="1">IFERROR(__xludf.DUMMYFUNCTION("""COMPUTED_VALUE"""),"जीवन साधना")</f>
        <v>जीवन साधना</v>
      </c>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f ca="1">IFERROR(__xludf.DUMMYFUNCTION("""COMPUTED_VALUE"""),39)</f>
        <v>39</v>
      </c>
      <c r="BX984" s="1">
        <f ca="1">IFERROR(__xludf.DUMMYFUNCTION("""COMPUTED_VALUE"""),32)</f>
        <v>32</v>
      </c>
      <c r="BY984" s="1">
        <f ca="1">IFERROR(__xludf.DUMMYFUNCTION("""COMPUTED_VALUE"""),11)</f>
        <v>11</v>
      </c>
      <c r="BZ984" s="1">
        <f ca="1">IFERROR(__xludf.DUMMYFUNCTION("""COMPUTED_VALUE"""),23)</f>
        <v>23</v>
      </c>
      <c r="CA984" s="1" t="str">
        <f ca="1">IFERROR(__xludf.DUMMYFUNCTION("""COMPUTED_VALUE"""),"Yes")</f>
        <v>Yes</v>
      </c>
      <c r="CB984" s="5">
        <f ca="1">IFERROR(__xludf.DUMMYFUNCTION("""COMPUTED_VALUE"""),45074.8188690509)</f>
        <v>45074.818869050898</v>
      </c>
      <c r="CC984" s="1" t="str">
        <f ca="1">IFERROR(__xludf.DUMMYFUNCTION("""COMPUTED_VALUE"""),"परिष्कृत मनःस्थिति ही स्वर्ग है : H_JS_92")</f>
        <v>परिष्कृत मनःस्थिति ही स्वर्ग है : H_JS_92</v>
      </c>
      <c r="CD984" s="3" t="str">
        <f ca="1">IFERROR(__xludf.DUMMYFUNCTION("""COMPUTED_VALUE"""),"https://vicharkrantibooks.org/productdetail?book_name=HINP0625_PARISHKRUT_MANAHSTHITI_HI_SWARG_HAI_xx2011&amp;product_id=1190")</f>
        <v>https://vicharkrantibooks.org/productdetail?book_name=HINP0625_PARISHKRUT_MANAHSTHITI_HI_SWARG_HAI_xx2011&amp;product_id=1190</v>
      </c>
      <c r="CE984" s="1" t="str">
        <f ca="1">IFERROR(__xludf.DUMMYFUNCTION("""COMPUTED_VALUE"""),"Audiobook : परिष्कृत मनःस्थिति ही स्वर्ग है : H_JS_92 : spmittalmumbai@gmail.com : Recorded")</f>
        <v>Audiobook : परिष्कृत मनःस्थिति ही स्वर्ग है : H_JS_92 : spmittalmumbai@gmail.com : Recorded</v>
      </c>
      <c r="CF984" s="1" t="str">
        <f ca="1">IFERROR(__xludf.DUMMYFUNCTION("""COMPUTED_VALUE"""),"Audiobook : परिष्कृत मनःस्थिति ही स्वर्ग है : H_JS_92 : spmittalmumbai@gmail.com : Recorded")</f>
        <v>Audiobook : परिष्कृत मनःस्थिति ही स्वर्ग है : H_JS_92 : spmittalmumbai@gmail.com : Recorded</v>
      </c>
      <c r="CG984" s="1" t="str">
        <f ca="1">IFERROR(__xludf.DUMMYFUNCTION("""COMPUTED_VALUE"""),"Adarniya Satya prabha Mittal ji परिष्कृत मनःस्थिति ही स्वर्ग है : H_JS_92 : Allocated on 18-May-23 Contact Number  7045537099")</f>
        <v>Adarniya Satya prabha Mittal ji परिष्कृत मनःस्थिति ही स्वर्ग है : H_JS_92 : Allocated on 18-May-23 Contact Number  7045537099</v>
      </c>
      <c r="CH984" s="1"/>
      <c r="CI984" s="1"/>
    </row>
    <row r="985" spans="1:87" x14ac:dyDescent="0.25">
      <c r="A985" s="5">
        <f ca="1">IFERROR(__xludf.DUMMYFUNCTION("""COMPUTED_VALUE"""),45063.704881655)</f>
        <v>45063.704881655001</v>
      </c>
      <c r="B985" s="1" t="str">
        <f ca="1">IFERROR(__xludf.DUMMYFUNCTION("""COMPUTED_VALUE"""),"shivisweetmusic@gmail.com")</f>
        <v>shivisweetmusic@gmail.com</v>
      </c>
      <c r="C985" s="1" t="str">
        <f ca="1">IFERROR(__xludf.DUMMYFUNCTION("""COMPUTED_VALUE"""),"Shivangini")</f>
        <v>Shivangini</v>
      </c>
      <c r="D985" s="1" t="str">
        <f ca="1">IFERROR(__xludf.DUMMYFUNCTION("""COMPUTED_VALUE"""),"+971506036052")</f>
        <v>+971506036052</v>
      </c>
      <c r="E985" s="1" t="str">
        <f ca="1">IFERROR(__xludf.DUMMYFUNCTION("""COMPUTED_VALUE"""),"Yes")</f>
        <v>Yes</v>
      </c>
      <c r="F985" s="1" t="str">
        <f ca="1">IFERROR(__xludf.DUMMYFUNCTION("""COMPUTED_VALUE"""),"हिन्दी")</f>
        <v>हिन्दी</v>
      </c>
      <c r="G985" s="1" t="str">
        <f ca="1">IFERROR(__xludf.DUMMYFUNCTION("""COMPUTED_VALUE"""),"भारतीय संस्कृति")</f>
        <v>भारतीय संस्कृति</v>
      </c>
      <c r="H985" s="1"/>
      <c r="I985" s="1"/>
      <c r="J985" s="1"/>
      <c r="K985" s="1"/>
      <c r="L985" s="1"/>
      <c r="M985" s="1"/>
      <c r="N985" s="1"/>
      <c r="O985" s="1" t="str">
        <f ca="1">IFERROR(__xludf.DUMMYFUNCTION("""COMPUTED_VALUE"""),"भारतीय संस्कृति")</f>
        <v>भारतीय संस्कृति</v>
      </c>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f ca="1">IFERROR(__xludf.DUMMYFUNCTION("""COMPUTED_VALUE"""),3)</f>
        <v>3</v>
      </c>
      <c r="BX985" s="1">
        <f ca="1">IFERROR(__xludf.DUMMYFUNCTION("""COMPUTED_VALUE"""),0)</f>
        <v>0</v>
      </c>
      <c r="BY985" s="1">
        <f ca="1">IFERROR(__xludf.DUMMYFUNCTION("""COMPUTED_VALUE"""),0)</f>
        <v>0</v>
      </c>
      <c r="BZ985" s="1">
        <f ca="1">IFERROR(__xludf.DUMMYFUNCTION("""COMPUTED_VALUE"""),0)</f>
        <v>0</v>
      </c>
      <c r="CA985" s="1" t="str">
        <f ca="1">IFERROR(__xludf.DUMMYFUNCTION("""COMPUTED_VALUE"""),"Yes")</f>
        <v>Yes</v>
      </c>
      <c r="CB985" s="5">
        <f ca="1">IFERROR(__xludf.DUMMYFUNCTION("""COMPUTED_VALUE"""),45073.704881655)</f>
        <v>45073.704881655001</v>
      </c>
      <c r="CC985" s="1" t="str">
        <f ca="1">IFERROR(__xludf.DUMMYFUNCTION("""COMPUTED_VALUE"""),"गायत्री की दैनिक एवं विशिष्ट अनुष्ठान परक साधनाएँ : H_VS_12")</f>
        <v>गायत्री की दैनिक एवं विशिष्ट अनुष्ठान परक साधनाएँ : H_VS_12</v>
      </c>
      <c r="CD985" s="1" t="str">
        <f ca="1">IFERROR(__xludf.DUMMYFUNCTION("""COMPUTED_VALUE"""),"#N/A")</f>
        <v>#N/A</v>
      </c>
      <c r="CE985" s="1" t="str">
        <f ca="1">IFERROR(__xludf.DUMMYFUNCTION("""COMPUTED_VALUE"""),"Audiobook : गायत्री की दैनिक एवं विशिष्ट अनुष्ठान परक साधनाएँ : H_VS_12 : shivisweetmusic@gmail.com : Recorded")</f>
        <v>Audiobook : गायत्री की दैनिक एवं विशिष्ट अनुष्ठान परक साधनाएँ : H_VS_12 : shivisweetmusic@gmail.com : Recorded</v>
      </c>
      <c r="CF985" s="1"/>
      <c r="CG985" s="1" t="str">
        <f ca="1">IFERROR(__xludf.DUMMYFUNCTION("""COMPUTED_VALUE"""),"Adarniya Shivangini ji गायत्री की दैनिक एवं विशिष्ट अनुष्ठान परक साधनाएँ : H_VS_12 : Allocated on 17-May-23 Contact Number  +971506036052")</f>
        <v>Adarniya Shivangini ji गायत्री की दैनिक एवं विशिष्ट अनुष्ठान परक साधनाएँ : H_VS_12 : Allocated on 17-May-23 Contact Number  +971506036052</v>
      </c>
      <c r="CH985" s="1"/>
      <c r="CI985" s="1"/>
    </row>
    <row r="986" spans="1:87" x14ac:dyDescent="0.25">
      <c r="A986" s="5">
        <f ca="1">IFERROR(__xludf.DUMMYFUNCTION("""COMPUTED_VALUE"""),45061.7074882291)</f>
        <v>45061.707488229098</v>
      </c>
      <c r="B986" s="1" t="str">
        <f ca="1">IFERROR(__xludf.DUMMYFUNCTION("""COMPUTED_VALUE"""),"druma4107@gmail.com")</f>
        <v>druma4107@gmail.com</v>
      </c>
      <c r="C986" s="1" t="str">
        <f ca="1">IFERROR(__xludf.DUMMYFUNCTION("""COMPUTED_VALUE"""),"Dr Uma Agrawal")</f>
        <v>Dr Uma Agrawal</v>
      </c>
      <c r="D986" s="1">
        <f ca="1">IFERROR(__xludf.DUMMYFUNCTION("""COMPUTED_VALUE"""),9410861182)</f>
        <v>9410861182</v>
      </c>
      <c r="E986" s="1" t="str">
        <f ca="1">IFERROR(__xludf.DUMMYFUNCTION("""COMPUTED_VALUE"""),"Yes")</f>
        <v>Yes</v>
      </c>
      <c r="F986" s="1" t="str">
        <f ca="1">IFERROR(__xludf.DUMMYFUNCTION("""COMPUTED_VALUE"""),"हिन्दी")</f>
        <v>हिन्दी</v>
      </c>
      <c r="G986" s="1" t="str">
        <f ca="1">IFERROR(__xludf.DUMMYFUNCTION("""COMPUTED_VALUE"""),"समग्र स्वास्थ्य")</f>
        <v>समग्र स्वास्थ्य</v>
      </c>
      <c r="H986" s="1"/>
      <c r="I986" s="1"/>
      <c r="J986" s="1"/>
      <c r="K986" s="1"/>
      <c r="L986" s="1"/>
      <c r="M986" s="1"/>
      <c r="N986" s="1"/>
      <c r="O986" s="1"/>
      <c r="P986" s="1"/>
      <c r="Q986" s="1"/>
      <c r="R986" s="1"/>
      <c r="S986" s="1"/>
      <c r="T986" s="1"/>
      <c r="U986" s="1" t="str">
        <f ca="1">IFERROR(__xludf.DUMMYFUNCTION("""COMPUTED_VALUE"""),"स्वास्थ्य संवर्धन")</f>
        <v>स्वास्थ्य संवर्धन</v>
      </c>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f ca="1">IFERROR(__xludf.DUMMYFUNCTION("""COMPUTED_VALUE"""),104)</f>
        <v>104</v>
      </c>
      <c r="BX986" s="1">
        <f ca="1">IFERROR(__xludf.DUMMYFUNCTION("""COMPUTED_VALUE"""),106)</f>
        <v>106</v>
      </c>
      <c r="BY986" s="1">
        <f ca="1">IFERROR(__xludf.DUMMYFUNCTION("""COMPUTED_VALUE"""),9)</f>
        <v>9</v>
      </c>
      <c r="BZ986" s="1">
        <f ca="1">IFERROR(__xludf.DUMMYFUNCTION("""COMPUTED_VALUE"""),43)</f>
        <v>43</v>
      </c>
      <c r="CA986" s="1" t="str">
        <f ca="1">IFERROR(__xludf.DUMMYFUNCTION("""COMPUTED_VALUE"""),"Yes")</f>
        <v>Yes</v>
      </c>
      <c r="CB986" s="5">
        <f ca="1">IFERROR(__xludf.DUMMYFUNCTION("""COMPUTED_VALUE"""),45071.7074882291)</f>
        <v>45071.707488229098</v>
      </c>
      <c r="CC986" s="1" t="str">
        <f ca="1">IFERROR(__xludf.DUMMYFUNCTION("""COMPUTED_VALUE"""),"आंगनवाड़ी लगाएं : Rare Book")</f>
        <v>आंगनवाड़ी लगाएं : Rare Book</v>
      </c>
      <c r="CD986" s="3" t="str">
        <f ca="1">IFERROR(__xludf.DUMMYFUNCTION("""COMPUTED_VALUE"""),"https://vicharkrantibooks.org/productdetail?book_name=HINP0041_ANGANAVADI_LAGAEN_xxyyyy&amp;product_id=606")</f>
        <v>https://vicharkrantibooks.org/productdetail?book_name=HINP0041_ANGANAVADI_LAGAEN_xxyyyy&amp;product_id=606</v>
      </c>
      <c r="CE986" s="1" t="str">
        <f ca="1">IFERROR(__xludf.DUMMYFUNCTION("""COMPUTED_VALUE"""),"Audiobook : आंगनवाड़ी लगाएं : Rare Book : druma4107@gmail.com : Recorded")</f>
        <v>Audiobook : आंगनवाड़ी लगाएं : Rare Book : druma4107@gmail.com : Recorded</v>
      </c>
      <c r="CF986" s="1" t="str">
        <f ca="1">IFERROR(__xludf.DUMMYFUNCTION("""COMPUTED_VALUE"""),"Audiobook : आंगनवाड़ी लगाएं : Rare Book : druma4107@gmail.com : Recorded")</f>
        <v>Audiobook : आंगनवाड़ी लगाएं : Rare Book : druma4107@gmail.com : Recorded</v>
      </c>
      <c r="CG986" s="1" t="str">
        <f ca="1">IFERROR(__xludf.DUMMYFUNCTION("""COMPUTED_VALUE"""),"Adarniya Dr Uma Agrawal ji आंगनवाड़ी लगाएं : Rare Book : Allocated on 15-May-23 Contact Number  9410861182")</f>
        <v>Adarniya Dr Uma Agrawal ji आंगनवाड़ी लगाएं : Rare Book : Allocated on 15-May-23 Contact Number  9410861182</v>
      </c>
      <c r="CH986" s="1"/>
      <c r="CI986" s="1"/>
    </row>
    <row r="987" spans="1:87" x14ac:dyDescent="0.25">
      <c r="A987" s="5">
        <f ca="1">IFERROR(__xludf.DUMMYFUNCTION("""COMPUTED_VALUE"""),45061.3834210648)</f>
        <v>45061.383421064798</v>
      </c>
      <c r="B987" s="1" t="str">
        <f ca="1">IFERROR(__xludf.DUMMYFUNCTION("""COMPUTED_VALUE"""),"shivisweetmusic@gmail.com")</f>
        <v>shivisweetmusic@gmail.com</v>
      </c>
      <c r="C987" s="1" t="str">
        <f ca="1">IFERROR(__xludf.DUMMYFUNCTION("""COMPUTED_VALUE"""),"Shivangini")</f>
        <v>Shivangini</v>
      </c>
      <c r="D987" s="1" t="str">
        <f ca="1">IFERROR(__xludf.DUMMYFUNCTION("""COMPUTED_VALUE"""),"+971506036052")</f>
        <v>+971506036052</v>
      </c>
      <c r="E987" s="1" t="str">
        <f ca="1">IFERROR(__xludf.DUMMYFUNCTION("""COMPUTED_VALUE"""),"Yes")</f>
        <v>Yes</v>
      </c>
      <c r="F987" s="1" t="str">
        <f ca="1">IFERROR(__xludf.DUMMYFUNCTION("""COMPUTED_VALUE"""),"हिन्दी or English")</f>
        <v>हिन्दी or English</v>
      </c>
      <c r="G987" s="1" t="str">
        <f ca="1">IFERROR(__xludf.DUMMYFUNCTION("""COMPUTED_VALUE"""),"संस्कार, कर्मकाण्ड, पाठ, पूजा, गीत-संगीत")</f>
        <v>संस्कार, कर्मकाण्ड, पाठ, पूजा, गीत-संगीत</v>
      </c>
      <c r="H987" s="1"/>
      <c r="I987" s="1"/>
      <c r="J987" s="1"/>
      <c r="K987" s="1"/>
      <c r="L987" s="1"/>
      <c r="M987" s="1"/>
      <c r="N987" s="1"/>
      <c r="O987" s="1"/>
      <c r="P987" s="1"/>
      <c r="Q987" s="1"/>
      <c r="R987" s="1"/>
      <c r="S987" s="1"/>
      <c r="T987" s="1"/>
      <c r="U987" s="1"/>
      <c r="V987" s="1"/>
      <c r="W987" s="1" t="str">
        <f ca="1">IFERROR(__xludf.DUMMYFUNCTION("""COMPUTED_VALUE"""),"स्वाध्याय, सत्संग, चिंतन, मनन")</f>
        <v>स्वाध्याय, सत्संग, चिंतन, मनन</v>
      </c>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t="str">
        <f ca="1">IFERROR(__xludf.DUMMYFUNCTION("""COMPUTED_VALUE"""),"उत्कृष्ट विचारों का सतत सानिध्य")</f>
        <v>उत्कृष्ट विचारों का सतत सानिध्य</v>
      </c>
      <c r="BK987" s="1"/>
      <c r="BL987" s="1"/>
      <c r="BM987" s="1"/>
      <c r="BN987" s="1"/>
      <c r="BO987" s="1"/>
      <c r="BP987" s="1"/>
      <c r="BQ987" s="1"/>
      <c r="BR987" s="1"/>
      <c r="BS987" s="1"/>
      <c r="BT987" s="1"/>
      <c r="BU987" s="1"/>
      <c r="BV987" s="1"/>
      <c r="BW987" s="1">
        <f ca="1">IFERROR(__xludf.DUMMYFUNCTION("""COMPUTED_VALUE"""),3)</f>
        <v>3</v>
      </c>
      <c r="BX987" s="1">
        <f ca="1">IFERROR(__xludf.DUMMYFUNCTION("""COMPUTED_VALUE"""),0)</f>
        <v>0</v>
      </c>
      <c r="BY987" s="1">
        <f ca="1">IFERROR(__xludf.DUMMYFUNCTION("""COMPUTED_VALUE"""),0)</f>
        <v>0</v>
      </c>
      <c r="BZ987" s="1">
        <f ca="1">IFERROR(__xludf.DUMMYFUNCTION("""COMPUTED_VALUE"""),0)</f>
        <v>0</v>
      </c>
      <c r="CA987" s="1" t="str">
        <f ca="1">IFERROR(__xludf.DUMMYFUNCTION("""COMPUTED_VALUE"""),"Yes")</f>
        <v>Yes</v>
      </c>
      <c r="CB987" s="5">
        <f ca="1">IFERROR(__xludf.DUMMYFUNCTION("""COMPUTED_VALUE"""),45071.3834210648)</f>
        <v>45071.383421064798</v>
      </c>
      <c r="CC987" s="1" t="str">
        <f ca="1">IFERROR(__xludf.DUMMYFUNCTION("""COMPUTED_VALUE"""),"षोडश संस्कार विवेचन : H_VS_33")</f>
        <v>षोडश संस्कार विवेचन : H_VS_33</v>
      </c>
      <c r="CD987" s="1" t="str">
        <f ca="1">IFERROR(__xludf.DUMMYFUNCTION("""COMPUTED_VALUE"""),"#N/A")</f>
        <v>#N/A</v>
      </c>
      <c r="CE987" s="1" t="str">
        <f ca="1">IFERROR(__xludf.DUMMYFUNCTION("""COMPUTED_VALUE"""),"Audiobook : षोडश संस्कार विवेचन : H_VS_33 : shivisweetmusic@gmail.com : Recorded")</f>
        <v>Audiobook : षोडश संस्कार विवेचन : H_VS_33 : shivisweetmusic@gmail.com : Recorded</v>
      </c>
      <c r="CF987" s="1"/>
      <c r="CG987" s="1" t="str">
        <f ca="1">IFERROR(__xludf.DUMMYFUNCTION("""COMPUTED_VALUE"""),"Adarniya Shivangini ji षोडश संस्कार विवेचन : H_VS_33 : Allocated on 15-May-23 Contact Number  +971506036052")</f>
        <v>Adarniya Shivangini ji षोडश संस्कार विवेचन : H_VS_33 : Allocated on 15-May-23 Contact Number  +971506036052</v>
      </c>
      <c r="CH987" s="1"/>
      <c r="CI987" s="1"/>
    </row>
    <row r="988" spans="1:87" x14ac:dyDescent="0.25">
      <c r="A988" s="5">
        <f ca="1">IFERROR(__xludf.DUMMYFUNCTION("""COMPUTED_VALUE"""),45061.1555155439)</f>
        <v>45061.155515543898</v>
      </c>
      <c r="B988" s="1" t="str">
        <f ca="1">IFERROR(__xludf.DUMMYFUNCTION("""COMPUTED_VALUE"""),"csprasad108@gmail.com")</f>
        <v>csprasad108@gmail.com</v>
      </c>
      <c r="C988" s="1" t="str">
        <f ca="1">IFERROR(__xludf.DUMMYFUNCTION("""COMPUTED_VALUE""")," Kumkum prasad")</f>
        <v xml:space="preserve"> Kumkum prasad</v>
      </c>
      <c r="D988" s="1">
        <f ca="1">IFERROR(__xludf.DUMMYFUNCTION("""COMPUTED_VALUE"""),7978055621)</f>
        <v>7978055621</v>
      </c>
      <c r="E988" s="1"/>
      <c r="F988" s="1" t="str">
        <f ca="1">IFERROR(__xludf.DUMMYFUNCTION("""COMPUTED_VALUE"""),"हिन्दी")</f>
        <v>हिन्दी</v>
      </c>
      <c r="G988" s="1" t="str">
        <f ca="1">IFERROR(__xludf.DUMMYFUNCTION("""COMPUTED_VALUE"""),"संस्कार, कर्मकाण्ड, पाठ, पूजा, गीत-संगीत")</f>
        <v>संस्कार, कर्मकाण्ड, पाठ, पूजा, गीत-संगीत</v>
      </c>
      <c r="H988" s="1"/>
      <c r="I988" s="1"/>
      <c r="J988" s="1"/>
      <c r="K988" s="1"/>
      <c r="L988" s="1"/>
      <c r="M988" s="1"/>
      <c r="N988" s="1"/>
      <c r="O988" s="1"/>
      <c r="P988" s="1"/>
      <c r="Q988" s="1"/>
      <c r="R988" s="1"/>
      <c r="S988" s="1"/>
      <c r="T988" s="1"/>
      <c r="U988" s="1"/>
      <c r="V988" s="1"/>
      <c r="W988" s="1" t="str">
        <f ca="1">IFERROR(__xludf.DUMMYFUNCTION("""COMPUTED_VALUE"""),"पर्व-त्यौहार, कर्मकाण्ड")</f>
        <v>पर्व-त्यौहार, कर्मकाण्ड</v>
      </c>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t="str">
        <f ca="1">IFERROR(__xludf.DUMMYFUNCTION("""COMPUTED_VALUE"""),"कर्मकांड की प्रेरणाओं में छिपा अध्यात्म")</f>
        <v>कर्मकांड की प्रेरणाओं में छिपा अध्यात्म</v>
      </c>
      <c r="BH988" s="1"/>
      <c r="BI988" s="1"/>
      <c r="BJ988" s="1"/>
      <c r="BK988" s="1"/>
      <c r="BL988" s="1"/>
      <c r="BM988" s="1"/>
      <c r="BN988" s="1"/>
      <c r="BO988" s="1"/>
      <c r="BP988" s="1"/>
      <c r="BQ988" s="1"/>
      <c r="BR988" s="1"/>
      <c r="BS988" s="1"/>
      <c r="BT988" s="1"/>
      <c r="BU988" s="1"/>
      <c r="BV988" s="1"/>
      <c r="BW988" s="1">
        <f ca="1">IFERROR(__xludf.DUMMYFUNCTION("""COMPUTED_VALUE"""),52)</f>
        <v>52</v>
      </c>
      <c r="BX988" s="1">
        <f ca="1">IFERROR(__xludf.DUMMYFUNCTION("""COMPUTED_VALUE"""),54)</f>
        <v>54</v>
      </c>
      <c r="BY988" s="1">
        <f ca="1">IFERROR(__xludf.DUMMYFUNCTION("""COMPUTED_VALUE"""),3)</f>
        <v>3</v>
      </c>
      <c r="BZ988" s="1">
        <f ca="1">IFERROR(__xludf.DUMMYFUNCTION("""COMPUTED_VALUE"""),24)</f>
        <v>24</v>
      </c>
      <c r="CA988" s="1" t="str">
        <f ca="1">IFERROR(__xludf.DUMMYFUNCTION("""COMPUTED_VALUE"""),"Yes")</f>
        <v>Yes</v>
      </c>
      <c r="CB988" s="5">
        <f ca="1">IFERROR(__xludf.DUMMYFUNCTION("""COMPUTED_VALUE"""),45071.1555155439)</f>
        <v>45071.155515543898</v>
      </c>
      <c r="CC988" s="1" t="str">
        <f ca="1">IFERROR(__xludf.DUMMYFUNCTION("""COMPUTED_VALUE"""),"युग निर्माण परिवार के सदस्य इस भाँति सोचें : H_PP_04")</f>
        <v>युग निर्माण परिवार के सदस्य इस भाँति सोचें : H_PP_04</v>
      </c>
      <c r="CD988" s="3" t="str">
        <f ca="1">IFERROR(__xludf.DUMMYFUNCTION("""COMPUTED_VALUE"""),"https://vicharkrantibooks.org/productdetail?book_name=HINP1039_YUG_NIRMAN_PARIWAR_KE_SADASY_IS_BHANTI_SOCHEN_xxyyyy&amp;product_id=1604")</f>
        <v>https://vicharkrantibooks.org/productdetail?book_name=HINP1039_YUG_NIRMAN_PARIWAR_KE_SADASY_IS_BHANTI_SOCHEN_xxyyyy&amp;product_id=1604</v>
      </c>
      <c r="CE988" s="1" t="str">
        <f ca="1">IFERROR(__xludf.DUMMYFUNCTION("""COMPUTED_VALUE"""),"Audiobook : युग निर्माण परिवार के सदस्य इस भाँति सोचें : H_PP_04 : csprasad108@gmail.com : Recorded")</f>
        <v>Audiobook : युग निर्माण परिवार के सदस्य इस भाँति सोचें : H_PP_04 : csprasad108@gmail.com : Recorded</v>
      </c>
      <c r="CF988" s="1" t="str">
        <f ca="1">IFERROR(__xludf.DUMMYFUNCTION("""COMPUTED_VALUE"""),"Audiobook : युग निर्माण परिवार के सदस्य इस भाँति सोचें : H_PP_04 : csprasad108@gmail.com : Recorded")</f>
        <v>Audiobook : युग निर्माण परिवार के सदस्य इस भाँति सोचें : H_PP_04 : csprasad108@gmail.com : Recorded</v>
      </c>
      <c r="CG988" s="1" t="str">
        <f ca="1">IFERROR(__xludf.DUMMYFUNCTION("""COMPUTED_VALUE"""),"Adarniya  Kumkum prasad ji युग निर्माण परिवार के सदस्य इस भाँति सोचें : H_PP_04 : Allocated on 15-May-23 Contact Number  7978055621")</f>
        <v>Adarniya  Kumkum prasad ji युग निर्माण परिवार के सदस्य इस भाँति सोचें : H_PP_04 : Allocated on 15-May-23 Contact Number  7978055621</v>
      </c>
      <c r="CH988" s="1"/>
      <c r="CI988" s="1"/>
    </row>
    <row r="989" spans="1:87" x14ac:dyDescent="0.25">
      <c r="A989" s="5">
        <f ca="1">IFERROR(__xludf.DUMMYFUNCTION("""COMPUTED_VALUE"""),45060.8387021643)</f>
        <v>45060.838702164299</v>
      </c>
      <c r="B989" s="1" t="str">
        <f ca="1">IFERROR(__xludf.DUMMYFUNCTION("""COMPUTED_VALUE"""),"csprasad108@gmail.com")</f>
        <v>csprasad108@gmail.com</v>
      </c>
      <c r="C989" s="1" t="str">
        <f ca="1">IFERROR(__xludf.DUMMYFUNCTION("""COMPUTED_VALUE"""),"Kumkum prasad")</f>
        <v>Kumkum prasad</v>
      </c>
      <c r="D989" s="1">
        <f ca="1">IFERROR(__xludf.DUMMYFUNCTION("""COMPUTED_VALUE"""),7978055621)</f>
        <v>7978055621</v>
      </c>
      <c r="E989" s="1"/>
      <c r="F989" s="1" t="str">
        <f ca="1">IFERROR(__xludf.DUMMYFUNCTION("""COMPUTED_VALUE"""),"हिन्दी")</f>
        <v>हिन्दी</v>
      </c>
      <c r="G989" s="1" t="str">
        <f ca="1">IFERROR(__xludf.DUMMYFUNCTION("""COMPUTED_VALUE"""),"अध्यात्म, धर्म एवं दर्शन")</f>
        <v>अध्यात्म, धर्म एवं दर्शन</v>
      </c>
      <c r="H989" s="1" t="str">
        <f ca="1">IFERROR(__xludf.DUMMYFUNCTION("""COMPUTED_VALUE"""),"अध्यात्म, धर्म एवं आस्तिकता")</f>
        <v>अध्यात्म, धर्म एवं आस्तिकता</v>
      </c>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f ca="1">IFERROR(__xludf.DUMMYFUNCTION("""COMPUTED_VALUE"""),52)</f>
        <v>52</v>
      </c>
      <c r="BX989" s="1">
        <f ca="1">IFERROR(__xludf.DUMMYFUNCTION("""COMPUTED_VALUE"""),54)</f>
        <v>54</v>
      </c>
      <c r="BY989" s="1">
        <f ca="1">IFERROR(__xludf.DUMMYFUNCTION("""COMPUTED_VALUE"""),3)</f>
        <v>3</v>
      </c>
      <c r="BZ989" s="1">
        <f ca="1">IFERROR(__xludf.DUMMYFUNCTION("""COMPUTED_VALUE"""),24)</f>
        <v>24</v>
      </c>
      <c r="CA989" s="1" t="str">
        <f ca="1">IFERROR(__xludf.DUMMYFUNCTION("""COMPUTED_VALUE"""),"Yes")</f>
        <v>Yes</v>
      </c>
      <c r="CB989" s="5">
        <f ca="1">IFERROR(__xludf.DUMMYFUNCTION("""COMPUTED_VALUE"""),45070.8387021643)</f>
        <v>45070.838702164299</v>
      </c>
      <c r="CC989" s="1" t="str">
        <f ca="1">IFERROR(__xludf.DUMMYFUNCTION("""COMPUTED_VALUE"""),"उपासना ही नहीं साधना भी : Rare Book")</f>
        <v>उपासना ही नहीं साधना भी : Rare Book</v>
      </c>
      <c r="CD989" s="3" t="str">
        <f ca="1">IFERROR(__xludf.DUMMYFUNCTION("""COMPUTED_VALUE"""),"https://vicharkrantibooks.org/productdetail?book_name=HINP0923_UPASANA_HI_NAHI_SADHANA_BHI_xx1982&amp;product_id=1488")</f>
        <v>https://vicharkrantibooks.org/productdetail?book_name=HINP0923_UPASANA_HI_NAHI_SADHANA_BHI_xx1982&amp;product_id=1488</v>
      </c>
      <c r="CE989" s="1" t="str">
        <f ca="1">IFERROR(__xludf.DUMMYFUNCTION("""COMPUTED_VALUE"""),"Audiobook : उपासना ही नहीं साधना भी : Rare Book : csprasad108@gmail.com : Recorded")</f>
        <v>Audiobook : उपासना ही नहीं साधना भी : Rare Book : csprasad108@gmail.com : Recorded</v>
      </c>
      <c r="CF989" s="1" t="str">
        <f ca="1">IFERROR(__xludf.DUMMYFUNCTION("""COMPUTED_VALUE"""),"Audiobook : उपासना ही नहीं साधना भी : Rare Book : csprasad108@gmail.com : Recorded")</f>
        <v>Audiobook : उपासना ही नहीं साधना भी : Rare Book : csprasad108@gmail.com : Recorded</v>
      </c>
      <c r="CG989" s="1" t="str">
        <f ca="1">IFERROR(__xludf.DUMMYFUNCTION("""COMPUTED_VALUE"""),"Adarniya Kumkum prasad ji उपासना ही नहीं साधना भी : Rare Book : Allocated on 14-May-23 Contact Number  7978055621")</f>
        <v>Adarniya Kumkum prasad ji उपासना ही नहीं साधना भी : Rare Book : Allocated on 14-May-23 Contact Number  7978055621</v>
      </c>
      <c r="CH989" s="1"/>
      <c r="CI989" s="1"/>
    </row>
    <row r="990" spans="1:87" x14ac:dyDescent="0.25">
      <c r="A990" s="5">
        <f ca="1">IFERROR(__xludf.DUMMYFUNCTION("""COMPUTED_VALUE"""),45060.3650823842)</f>
        <v>45060.365082384204</v>
      </c>
      <c r="B990" s="1" t="str">
        <f ca="1">IFERROR(__xludf.DUMMYFUNCTION("""COMPUTED_VALUE"""),"mayurrao24@gmail.com")</f>
        <v>mayurrao24@gmail.com</v>
      </c>
      <c r="C990" s="1" t="str">
        <f ca="1">IFERROR(__xludf.DUMMYFUNCTION("""COMPUTED_VALUE"""),"Mayur Rao")</f>
        <v>Mayur Rao</v>
      </c>
      <c r="D990" s="1" t="str">
        <f ca="1">IFERROR(__xludf.DUMMYFUNCTION("""COMPUTED_VALUE"""),"+15126261132  USA  /   +918866200990  Bharat")</f>
        <v>+15126261132  USA  /   +918866200990  Bharat</v>
      </c>
      <c r="E990" s="1" t="str">
        <f ca="1">IFERROR(__xludf.DUMMYFUNCTION("""COMPUTED_VALUE"""),"No")</f>
        <v>No</v>
      </c>
      <c r="F990" s="1" t="str">
        <f ca="1">IFERROR(__xludf.DUMMYFUNCTION("""COMPUTED_VALUE"""),"हिन्दी")</f>
        <v>हिन्दी</v>
      </c>
      <c r="G990" s="1" t="str">
        <f ca="1">IFERROR(__xludf.DUMMYFUNCTION("""COMPUTED_VALUE"""),"मैंने अभीतक 45 बुक्स की ऑडिओ बुक बनाई है जिसमे 6 वंगमय है। 13 22 34 35 53 66  ")</f>
        <v xml:space="preserve">मैंने अभीतक 45 बुक्स की ऑडिओ बुक बनाई है जिसमे 6 वंगमय है। 13 22 34 35 53 66  </v>
      </c>
      <c r="H990" s="1" t="str">
        <f ca="1">IFERROR(__xludf.DUMMYFUNCTION("""COMPUTED_VALUE"""),"अध्यात्म, धर्म एवं आस्तिकता")</f>
        <v>अध्यात्म, धर्म एवं आस्तिकता</v>
      </c>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f ca="1">IFERROR(__xludf.DUMMYFUNCTION("""COMPUTED_VALUE"""),1)</f>
        <v>1</v>
      </c>
      <c r="BX990" s="1">
        <f ca="1">IFERROR(__xludf.DUMMYFUNCTION("""COMPUTED_VALUE"""),0)</f>
        <v>0</v>
      </c>
      <c r="BY990" s="1">
        <f ca="1">IFERROR(__xludf.DUMMYFUNCTION("""COMPUTED_VALUE"""),1)</f>
        <v>1</v>
      </c>
      <c r="BZ990" s="1">
        <f ca="1">IFERROR(__xludf.DUMMYFUNCTION("""COMPUTED_VALUE"""),0)</f>
        <v>0</v>
      </c>
      <c r="CA990" s="1" t="str">
        <f ca="1">IFERROR(__xludf.DUMMYFUNCTION("""COMPUTED_VALUE"""),"Yes")</f>
        <v>Yes</v>
      </c>
      <c r="CB990" s="5">
        <f ca="1">IFERROR(__xludf.DUMMYFUNCTION("""COMPUTED_VALUE"""),45070.3650823842)</f>
        <v>45070.365082384204</v>
      </c>
      <c r="CC990" s="1" t="str">
        <f ca="1">IFERROR(__xludf.DUMMYFUNCTION("""COMPUTED_VALUE"""),"वायु प्रदूषण और तुलसी रोपण : Rare Book")</f>
        <v>वायु प्रदूषण और तुलसी रोपण : Rare Book</v>
      </c>
      <c r="CD990" s="3" t="str">
        <f ca="1">IFERROR(__xludf.DUMMYFUNCTION("""COMPUTED_VALUE"""),"https://vicharkrantibooks.org/productdetail?book_name=HINP0953_VAYU_PRADUSHAN_AUR_TULASI_ROPAN_xxyyyy&amp;product_id=1518")</f>
        <v>https://vicharkrantibooks.org/productdetail?book_name=HINP0953_VAYU_PRADUSHAN_AUR_TULASI_ROPAN_xxyyyy&amp;product_id=1518</v>
      </c>
      <c r="CE990" s="1" t="str">
        <f ca="1">IFERROR(__xludf.DUMMYFUNCTION("""COMPUTED_VALUE"""),"Audiobook : वायु प्रदूषण और तुलसी रोपण : Rare Book : mayurrao24@gmail.com : Recorded")</f>
        <v>Audiobook : वायु प्रदूषण और तुलसी रोपण : Rare Book : mayurrao24@gmail.com : Recorded</v>
      </c>
      <c r="CF990" s="1" t="str">
        <f ca="1">IFERROR(__xludf.DUMMYFUNCTION("""COMPUTED_VALUE"""),"#N/A")</f>
        <v>#N/A</v>
      </c>
      <c r="CG990" s="1" t="str">
        <f ca="1">IFERROR(__xludf.DUMMYFUNCTION("""COMPUTED_VALUE"""),"Adarniya Mayur Rao ji वायु प्रदूषण और तुलसी रोपण : Rare Book : Allocated on 14-May-23 Contact Number  +15126261132  USA  /   +918866200990  Bharat")</f>
        <v>Adarniya Mayur Rao ji वायु प्रदूषण और तुलसी रोपण : Rare Book : Allocated on 14-May-23 Contact Number  +15126261132  USA  /   +918866200990  Bharat</v>
      </c>
      <c r="CH990" s="1"/>
      <c r="CI990" s="1"/>
    </row>
    <row r="991" spans="1:87" x14ac:dyDescent="0.25">
      <c r="A991" s="5">
        <f ca="1">IFERROR(__xludf.DUMMYFUNCTION("""COMPUTED_VALUE"""),45059.6988263194)</f>
        <v>45059.6988263194</v>
      </c>
      <c r="B991" s="1" t="str">
        <f ca="1">IFERROR(__xludf.DUMMYFUNCTION("""COMPUTED_VALUE"""),"naimesh.bhatt@gmail.com")</f>
        <v>naimesh.bhatt@gmail.com</v>
      </c>
      <c r="C991" s="1" t="str">
        <f ca="1">IFERROR(__xludf.DUMMYFUNCTION("""COMPUTED_VALUE"""),"Naimesh Bhatt ")</f>
        <v xml:space="preserve">Naimesh Bhatt </v>
      </c>
      <c r="D991" s="1" t="str">
        <f ca="1">IFERROR(__xludf.DUMMYFUNCTION("""COMPUTED_VALUE"""),"318-243-0316")</f>
        <v>318-243-0316</v>
      </c>
      <c r="E991" s="1" t="str">
        <f ca="1">IFERROR(__xludf.DUMMYFUNCTION("""COMPUTED_VALUE"""),"No")</f>
        <v>No</v>
      </c>
      <c r="F991" s="1" t="str">
        <f ca="1">IFERROR(__xludf.DUMMYFUNCTION("""COMPUTED_VALUE"""),"हिन्दी or English")</f>
        <v>हिन्दी or English</v>
      </c>
      <c r="G991" s="1" t="str">
        <f ca="1">IFERROR(__xludf.DUMMYFUNCTION("""COMPUTED_VALUE"""),"English")</f>
        <v>English</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f ca="1">IFERROR(__xludf.DUMMYFUNCTION("""COMPUTED_VALUE"""),2)</f>
        <v>2</v>
      </c>
      <c r="BX991" s="1">
        <f ca="1">IFERROR(__xludf.DUMMYFUNCTION("""COMPUTED_VALUE"""),1)</f>
        <v>1</v>
      </c>
      <c r="BY991" s="1">
        <f ca="1">IFERROR(__xludf.DUMMYFUNCTION("""COMPUTED_VALUE"""),1)</f>
        <v>1</v>
      </c>
      <c r="BZ991" s="1">
        <f ca="1">IFERROR(__xludf.DUMMYFUNCTION("""COMPUTED_VALUE"""),0)</f>
        <v>0</v>
      </c>
      <c r="CA991" s="1" t="str">
        <f ca="1">IFERROR(__xludf.DUMMYFUNCTION("""COMPUTED_VALUE"""),"Yes")</f>
        <v>Yes</v>
      </c>
      <c r="CB991" s="5">
        <f ca="1">IFERROR(__xludf.DUMMYFUNCTION("""COMPUTED_VALUE"""),45069.6988263194)</f>
        <v>45069.6988263194</v>
      </c>
      <c r="CC991" s="1" t="str">
        <f ca="1">IFERROR(__xludf.DUMMYFUNCTION("""COMPUTED_VALUE"""),"In The Angelic Light Of Rishi Thoughts 4 : EP_70_4")</f>
        <v>In The Angelic Light Of Rishi Thoughts 4 : EP_70_4</v>
      </c>
      <c r="CD991" s="3" t="str">
        <f ca="1">IFERROR(__xludf.DUMMYFUNCTION("""COMPUTED_VALUE"""),"https://vicharkrantibooks.org/productdetail?book_name=ENGP0715_IN_THE_ANGELIC_LIGHT_OF_RISHI_THOUGHTS_4_xxyyyy&amp;product_id=3463")</f>
        <v>https://vicharkrantibooks.org/productdetail?book_name=ENGP0715_IN_THE_ANGELIC_LIGHT_OF_RISHI_THOUGHTS_4_xxyyyy&amp;product_id=3463</v>
      </c>
      <c r="CE991" s="1" t="str">
        <f ca="1">IFERROR(__xludf.DUMMYFUNCTION("""COMPUTED_VALUE"""),"Audiobook : In The Angelic Light Of Rishi Thoughts 4 : EP_70_4 : naimesh.bhatt@gmail.com : Recorded")</f>
        <v>Audiobook : In The Angelic Light Of Rishi Thoughts 4 : EP_70_4 : naimesh.bhatt@gmail.com : Recorded</v>
      </c>
      <c r="CF991" s="1" t="str">
        <f ca="1">IFERROR(__xludf.DUMMYFUNCTION("""COMPUTED_VALUE"""),"Audiobook : In The Angelic Light Of Rishi Thoughts 4 : EP_70_4 : naimesh.bhatt@gmail.com : Recorded")</f>
        <v>Audiobook : In The Angelic Light Of Rishi Thoughts 4 : EP_70_4 : naimesh.bhatt@gmail.com : Recorded</v>
      </c>
      <c r="CG991" s="1" t="str">
        <f ca="1">IFERROR(__xludf.DUMMYFUNCTION("""COMPUTED_VALUE"""),"Adarniya Naimesh Bhatt  ji In The Angelic Light Of Rishi Thoughts 4 : EP_70_4 : Allocated on 13-May-23 Contact Number  318-243-0316")</f>
        <v>Adarniya Naimesh Bhatt  ji In The Angelic Light Of Rishi Thoughts 4 : EP_70_4 : Allocated on 13-May-23 Contact Number  318-243-0316</v>
      </c>
      <c r="CH991" s="1"/>
      <c r="CI991" s="1"/>
    </row>
    <row r="992" spans="1:87" x14ac:dyDescent="0.25">
      <c r="A992" s="5">
        <f ca="1">IFERROR(__xludf.DUMMYFUNCTION("""COMPUTED_VALUE"""),45058.6697521296)</f>
        <v>45058.669752129601</v>
      </c>
      <c r="B992" s="1" t="str">
        <f ca="1">IFERROR(__xludf.DUMMYFUNCTION("""COMPUTED_VALUE"""),"druma4107@gmail.com")</f>
        <v>druma4107@gmail.com</v>
      </c>
      <c r="C992" s="1" t="str">
        <f ca="1">IFERROR(__xludf.DUMMYFUNCTION("""COMPUTED_VALUE"""),"Dr Uma Agrawal")</f>
        <v>Dr Uma Agrawal</v>
      </c>
      <c r="D992" s="1">
        <f ca="1">IFERROR(__xludf.DUMMYFUNCTION("""COMPUTED_VALUE"""),9410861182)</f>
        <v>9410861182</v>
      </c>
      <c r="E992" s="1" t="str">
        <f ca="1">IFERROR(__xludf.DUMMYFUNCTION("""COMPUTED_VALUE"""),"Yes")</f>
        <v>Yes</v>
      </c>
      <c r="F992" s="1" t="str">
        <f ca="1">IFERROR(__xludf.DUMMYFUNCTION("""COMPUTED_VALUE"""),"हिन्दी")</f>
        <v>हिन्दी</v>
      </c>
      <c r="G992" s="1" t="str">
        <f ca="1">IFERROR(__xludf.DUMMYFUNCTION("""COMPUTED_VALUE"""),"समग्र स्वास्थ्य")</f>
        <v>समग्र स्वास्थ्य</v>
      </c>
      <c r="H992" s="1"/>
      <c r="I992" s="1"/>
      <c r="J992" s="1"/>
      <c r="K992" s="1"/>
      <c r="L992" s="1"/>
      <c r="M992" s="1"/>
      <c r="N992" s="1"/>
      <c r="O992" s="1"/>
      <c r="P992" s="1"/>
      <c r="Q992" s="1"/>
      <c r="R992" s="1"/>
      <c r="S992" s="1"/>
      <c r="T992" s="1"/>
      <c r="U992" s="1" t="str">
        <f ca="1">IFERROR(__xludf.DUMMYFUNCTION("""COMPUTED_VALUE"""),"स्वास्थ्य संवर्धन")</f>
        <v>स्वास्थ्य संवर्धन</v>
      </c>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f ca="1">IFERROR(__xludf.DUMMYFUNCTION("""COMPUTED_VALUE"""),104)</f>
        <v>104</v>
      </c>
      <c r="BX992" s="1">
        <f ca="1">IFERROR(__xludf.DUMMYFUNCTION("""COMPUTED_VALUE"""),106)</f>
        <v>106</v>
      </c>
      <c r="BY992" s="1">
        <f ca="1">IFERROR(__xludf.DUMMYFUNCTION("""COMPUTED_VALUE"""),9)</f>
        <v>9</v>
      </c>
      <c r="BZ992" s="1">
        <f ca="1">IFERROR(__xludf.DUMMYFUNCTION("""COMPUTED_VALUE"""),43)</f>
        <v>43</v>
      </c>
      <c r="CA992" s="1" t="str">
        <f ca="1">IFERROR(__xludf.DUMMYFUNCTION("""COMPUTED_VALUE"""),"Yes")</f>
        <v>Yes</v>
      </c>
      <c r="CB992" s="5">
        <f ca="1">IFERROR(__xludf.DUMMYFUNCTION("""COMPUTED_VALUE"""),45068.6697521296)</f>
        <v>45068.669752129601</v>
      </c>
      <c r="CC992" s="1" t="str">
        <f ca="1">IFERROR(__xludf.DUMMYFUNCTION("""COMPUTED_VALUE"""),"धूप स्नान : Rare Book")</f>
        <v>धूप स्नान : Rare Book</v>
      </c>
      <c r="CD992" s="3" t="str">
        <f ca="1">IFERROR(__xludf.DUMMYFUNCTION("""COMPUTED_VALUE"""),"https://vicharkrantibooks.org/productdetail?book_name=HINP0249_DHUP_SNAN_xxyyyy&amp;product_id=814")</f>
        <v>https://vicharkrantibooks.org/productdetail?book_name=HINP0249_DHUP_SNAN_xxyyyy&amp;product_id=814</v>
      </c>
      <c r="CE992" s="1" t="str">
        <f ca="1">IFERROR(__xludf.DUMMYFUNCTION("""COMPUTED_VALUE"""),"Audiobook : धूप स्नान : Rare Book : druma4107@gmail.com : Recorded")</f>
        <v>Audiobook : धूप स्नान : Rare Book : druma4107@gmail.com : Recorded</v>
      </c>
      <c r="CF992" s="1" t="str">
        <f ca="1">IFERROR(__xludf.DUMMYFUNCTION("""COMPUTED_VALUE"""),"Audiobook : धूप स्नान : Rare Book : druma4107@gmail.com : Recorded")</f>
        <v>Audiobook : धूप स्नान : Rare Book : druma4107@gmail.com : Recorded</v>
      </c>
      <c r="CG992" s="1" t="str">
        <f ca="1">IFERROR(__xludf.DUMMYFUNCTION("""COMPUTED_VALUE"""),"Adarniya Dr Uma Agrawal ji धूप स्नान : Rare Book : Allocated on 12-May-23 Contact Number  9410861182")</f>
        <v>Adarniya Dr Uma Agrawal ji धूप स्नान : Rare Book : Allocated on 12-May-23 Contact Number  9410861182</v>
      </c>
      <c r="CH992" s="1"/>
      <c r="CI992" s="1"/>
    </row>
    <row r="993" spans="1:87" x14ac:dyDescent="0.25">
      <c r="A993" s="5">
        <f ca="1">IFERROR(__xludf.DUMMYFUNCTION("""COMPUTED_VALUE"""),45058.5606135995)</f>
        <v>45058.560613599497</v>
      </c>
      <c r="B993" s="1" t="str">
        <f ca="1">IFERROR(__xludf.DUMMYFUNCTION("""COMPUTED_VALUE"""),"csprasad108@gmail.com")</f>
        <v>csprasad108@gmail.com</v>
      </c>
      <c r="C993" s="1" t="str">
        <f ca="1">IFERROR(__xludf.DUMMYFUNCTION("""COMPUTED_VALUE"""),"Kumkum prasad")</f>
        <v>Kumkum prasad</v>
      </c>
      <c r="D993" s="1">
        <f ca="1">IFERROR(__xludf.DUMMYFUNCTION("""COMPUTED_VALUE"""),7978055621)</f>
        <v>7978055621</v>
      </c>
      <c r="E993" s="1"/>
      <c r="F993" s="1" t="str">
        <f ca="1">IFERROR(__xludf.DUMMYFUNCTION("""COMPUTED_VALUE"""),"हिन्दी")</f>
        <v>हिन्दी</v>
      </c>
      <c r="G993" s="1" t="str">
        <f ca="1">IFERROR(__xludf.DUMMYFUNCTION("""COMPUTED_VALUE"""),"संस्कार, कर्मकाण्ड, पाठ, पूजा, गीत-संगीत")</f>
        <v>संस्कार, कर्मकाण्ड, पाठ, पूजा, गीत-संगीत</v>
      </c>
      <c r="H993" s="1"/>
      <c r="I993" s="1"/>
      <c r="J993" s="1"/>
      <c r="K993" s="1"/>
      <c r="L993" s="1"/>
      <c r="M993" s="1"/>
      <c r="N993" s="1"/>
      <c r="O993" s="1"/>
      <c r="P993" s="1"/>
      <c r="Q993" s="1"/>
      <c r="R993" s="1"/>
      <c r="S993" s="1"/>
      <c r="T993" s="1"/>
      <c r="U993" s="1"/>
      <c r="V993" s="1"/>
      <c r="W993" s="1" t="str">
        <f ca="1">IFERROR(__xludf.DUMMYFUNCTION("""COMPUTED_VALUE"""),"पाठ, पूजा, चालीसा, प्रार्थना,")</f>
        <v>पाठ, पूजा, चालीसा, प्रार्थना,</v>
      </c>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t="str">
        <f ca="1">IFERROR(__xludf.DUMMYFUNCTION("""COMPUTED_VALUE"""),"गायत्री चालीसा")</f>
        <v>गायत्री चालीसा</v>
      </c>
      <c r="BI993" s="1"/>
      <c r="BJ993" s="1"/>
      <c r="BK993" s="1"/>
      <c r="BL993" s="1"/>
      <c r="BM993" s="1"/>
      <c r="BN993" s="1"/>
      <c r="BO993" s="1"/>
      <c r="BP993" s="1"/>
      <c r="BQ993" s="1"/>
      <c r="BR993" s="1"/>
      <c r="BS993" s="1"/>
      <c r="BT993" s="1"/>
      <c r="BU993" s="1"/>
      <c r="BV993" s="1"/>
      <c r="BW993" s="1">
        <f ca="1">IFERROR(__xludf.DUMMYFUNCTION("""COMPUTED_VALUE"""),52)</f>
        <v>52</v>
      </c>
      <c r="BX993" s="1">
        <f ca="1">IFERROR(__xludf.DUMMYFUNCTION("""COMPUTED_VALUE"""),54)</f>
        <v>54</v>
      </c>
      <c r="BY993" s="1">
        <f ca="1">IFERROR(__xludf.DUMMYFUNCTION("""COMPUTED_VALUE"""),3)</f>
        <v>3</v>
      </c>
      <c r="BZ993" s="1">
        <f ca="1">IFERROR(__xludf.DUMMYFUNCTION("""COMPUTED_VALUE"""),24)</f>
        <v>24</v>
      </c>
      <c r="CA993" s="1" t="str">
        <f ca="1">IFERROR(__xludf.DUMMYFUNCTION("""COMPUTED_VALUE"""),"Yes")</f>
        <v>Yes</v>
      </c>
      <c r="CB993" s="5">
        <f ca="1">IFERROR(__xludf.DUMMYFUNCTION("""COMPUTED_VALUE"""),45068.5606135995)</f>
        <v>45068.560613599497</v>
      </c>
      <c r="CC993" s="1" t="str">
        <f ca="1">IFERROR(__xludf.DUMMYFUNCTION("""COMPUTED_VALUE"""),"युग देवता की समय दान याचना : Rare Book")</f>
        <v>युग देवता की समय दान याचना : Rare Book</v>
      </c>
      <c r="CD993" s="3" t="str">
        <f ca="1">IFERROR(__xludf.DUMMYFUNCTION("""COMPUTED_VALUE"""),"https://vicharkrantibooks.org/productdetail?book_name=HINP1031_YUG_DEVATA_KI_SAMAYDAN_YACHANA_xxyyyy&amp;product_id=1596")</f>
        <v>https://vicharkrantibooks.org/productdetail?book_name=HINP1031_YUG_DEVATA_KI_SAMAYDAN_YACHANA_xxyyyy&amp;product_id=1596</v>
      </c>
      <c r="CE993" s="1" t="str">
        <f ca="1">IFERROR(__xludf.DUMMYFUNCTION("""COMPUTED_VALUE"""),"Audiobook : युग देवता की समय दान याचना : Rare Book : csprasad108@gmail.com : Recorded")</f>
        <v>Audiobook : युग देवता की समय दान याचना : Rare Book : csprasad108@gmail.com : Recorded</v>
      </c>
      <c r="CF993" s="1" t="str">
        <f ca="1">IFERROR(__xludf.DUMMYFUNCTION("""COMPUTED_VALUE"""),"Audiobook : युग देवता की समय दान याचना : Rare Book : csprasad108@gmail.com : Recorded")</f>
        <v>Audiobook : युग देवता की समय दान याचना : Rare Book : csprasad108@gmail.com : Recorded</v>
      </c>
      <c r="CG993" s="1" t="str">
        <f ca="1">IFERROR(__xludf.DUMMYFUNCTION("""COMPUTED_VALUE"""),"Adarniya Kumkum prasad ji युग देवता की समय दान याचना : Rare Book : Allocated on 12-May-23 Contact Number  7978055621")</f>
        <v>Adarniya Kumkum prasad ji युग देवता की समय दान याचना : Rare Book : Allocated on 12-May-23 Contact Number  7978055621</v>
      </c>
      <c r="CH993" s="1"/>
      <c r="CI993" s="1"/>
    </row>
    <row r="994" spans="1:87" x14ac:dyDescent="0.25">
      <c r="A994" s="5">
        <f ca="1">IFERROR(__xludf.DUMMYFUNCTION("""COMPUTED_VALUE"""),45058.5495506134)</f>
        <v>45058.549550613403</v>
      </c>
      <c r="B994" s="1" t="str">
        <f ca="1">IFERROR(__xludf.DUMMYFUNCTION("""COMPUTED_VALUE"""),"smartpragnesh@gmail.com")</f>
        <v>smartpragnesh@gmail.com</v>
      </c>
      <c r="C994" s="1" t="str">
        <f ca="1">IFERROR(__xludf.DUMMYFUNCTION("""COMPUTED_VALUE"""),"Pragnesh Prajapati")</f>
        <v>Pragnesh Prajapati</v>
      </c>
      <c r="D994" s="1">
        <f ca="1">IFERROR(__xludf.DUMMYFUNCTION("""COMPUTED_VALUE"""),9904076456)</f>
        <v>9904076456</v>
      </c>
      <c r="E994" s="1" t="str">
        <f ca="1">IFERROR(__xludf.DUMMYFUNCTION("""COMPUTED_VALUE"""),"Yes")</f>
        <v>Yes</v>
      </c>
      <c r="F994" s="1" t="str">
        <f ca="1">IFERROR(__xludf.DUMMYFUNCTION("""COMPUTED_VALUE"""),"हिन्दी")</f>
        <v>हिन्दी</v>
      </c>
      <c r="G994" s="1" t="str">
        <f ca="1">IFERROR(__xludf.DUMMYFUNCTION("""COMPUTED_VALUE"""),"व्यक्ति निर्माण, युवा/विद्यार्थी एवं शिक्षक")</f>
        <v>व्यक्ति निर्माण, युवा/विद्यार्थी एवं शिक्षक</v>
      </c>
      <c r="H994" s="1"/>
      <c r="I994" s="1"/>
      <c r="J994" s="1"/>
      <c r="K994" s="1"/>
      <c r="L994" s="1"/>
      <c r="M994" s="1"/>
      <c r="N994" s="1"/>
      <c r="O994" s="1"/>
      <c r="P994" s="1"/>
      <c r="Q994" s="1"/>
      <c r="R994" s="1"/>
      <c r="S994" s="1"/>
      <c r="T994" s="1" t="str">
        <f ca="1">IFERROR(__xludf.DUMMYFUNCTION("""COMPUTED_VALUE"""),"युवा जागृति")</f>
        <v>युवा जागृति</v>
      </c>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f ca="1">IFERROR(__xludf.DUMMYFUNCTION("""COMPUTED_VALUE"""),2)</f>
        <v>2</v>
      </c>
      <c r="BX994" s="1">
        <f ca="1">IFERROR(__xludf.DUMMYFUNCTION("""COMPUTED_VALUE"""),3)</f>
        <v>3</v>
      </c>
      <c r="BY994" s="1">
        <f ca="1">IFERROR(__xludf.DUMMYFUNCTION("""COMPUTED_VALUE"""),1)</f>
        <v>1</v>
      </c>
      <c r="BZ994" s="1">
        <f ca="1">IFERROR(__xludf.DUMMYFUNCTION("""COMPUTED_VALUE"""),0)</f>
        <v>0</v>
      </c>
      <c r="CA994" s="1" t="str">
        <f ca="1">IFERROR(__xludf.DUMMYFUNCTION("""COMPUTED_VALUE"""),"Yes")</f>
        <v>Yes</v>
      </c>
      <c r="CB994" s="5">
        <f ca="1">IFERROR(__xludf.DUMMYFUNCTION("""COMPUTED_VALUE"""),45068.5495506134)</f>
        <v>45068.549550613403</v>
      </c>
      <c r="CC994" s="1" t="str">
        <f ca="1">IFERROR(__xludf.DUMMYFUNCTION("""COMPUTED_VALUE"""),"आत्मबल जीवन की सर्वोपरि संपदा : H_VN_72")</f>
        <v>आत्मबल जीवन की सर्वोपरि संपदा : H_VN_72</v>
      </c>
      <c r="CD994" s="3" t="str">
        <f ca="1">IFERROR(__xludf.DUMMYFUNCTION("""COMPUTED_VALUE"""),"https://vicharkrantibooks.org/productdetail?book_name=HINP0091_ATMABAL_JIVAN_KI_SARVOPARI_SAMPADA_xxyyyy&amp;product_id=656")</f>
        <v>https://vicharkrantibooks.org/productdetail?book_name=HINP0091_ATMABAL_JIVAN_KI_SARVOPARI_SAMPADA_xxyyyy&amp;product_id=656</v>
      </c>
      <c r="CE994" s="1" t="str">
        <f ca="1">IFERROR(__xludf.DUMMYFUNCTION("""COMPUTED_VALUE"""),"Audiobook : आत्मबल जीवन की सर्वोपरि संपदा : H_VN_72 : smartpragnesh@gmail.com : Recorded")</f>
        <v>Audiobook : आत्मबल जीवन की सर्वोपरि संपदा : H_VN_72 : smartpragnesh@gmail.com : Recorded</v>
      </c>
      <c r="CF994" s="1" t="str">
        <f ca="1">IFERROR(__xludf.DUMMYFUNCTION("""COMPUTED_VALUE"""),"Audiobook : आत्मबल जीवन की सर्वोपरि संपदा : H_VN_72 : smartpragnesh@gmail.com : Recorded")</f>
        <v>Audiobook : आत्मबल जीवन की सर्वोपरि संपदा : H_VN_72 : smartpragnesh@gmail.com : Recorded</v>
      </c>
      <c r="CG994" s="1" t="str">
        <f ca="1">IFERROR(__xludf.DUMMYFUNCTION("""COMPUTED_VALUE"""),"Adarniya Pragnesh Prajapati ji आत्मबल जीवन की सर्वोपरि संपदा : H_VN_72 : Allocated on 12-May-23 Contact Number  9904076456")</f>
        <v>Adarniya Pragnesh Prajapati ji आत्मबल जीवन की सर्वोपरि संपदा : H_VN_72 : Allocated on 12-May-23 Contact Number  9904076456</v>
      </c>
      <c r="CH994" s="1"/>
      <c r="CI994" s="1"/>
    </row>
    <row r="995" spans="1:87" x14ac:dyDescent="0.25">
      <c r="A995" s="5">
        <f ca="1">IFERROR(__xludf.DUMMYFUNCTION("""COMPUTED_VALUE"""),45058.4675557754)</f>
        <v>45058.467555775402</v>
      </c>
      <c r="B995" s="1" t="str">
        <f ca="1">IFERROR(__xludf.DUMMYFUNCTION("""COMPUTED_VALUE"""),"jamunashukla17@gmail.com")</f>
        <v>jamunashukla17@gmail.com</v>
      </c>
      <c r="C995" s="1" t="str">
        <f ca="1">IFERROR(__xludf.DUMMYFUNCTION("""COMPUTED_VALUE"""),"mrs J S Shukla ")</f>
        <v xml:space="preserve">mrs J S Shukla </v>
      </c>
      <c r="D995" s="1">
        <f ca="1">IFERROR(__xludf.DUMMYFUNCTION("""COMPUTED_VALUE"""),8390353167)</f>
        <v>8390353167</v>
      </c>
      <c r="E995" s="1" t="str">
        <f ca="1">IFERROR(__xludf.DUMMYFUNCTION("""COMPUTED_VALUE"""),"Yes")</f>
        <v>Yes</v>
      </c>
      <c r="F995" s="1" t="str">
        <f ca="1">IFERROR(__xludf.DUMMYFUNCTION("""COMPUTED_VALUE"""),"हिन्दी")</f>
        <v>हिन्दी</v>
      </c>
      <c r="G995" s="1" t="str">
        <f ca="1">IFERROR(__xludf.DUMMYFUNCTION("""COMPUTED_VALUE"""),"geet sangeet, prerak kavya ")</f>
        <v xml:space="preserve">geet sangeet, prerak kavya </v>
      </c>
      <c r="H995" s="1" t="str">
        <f ca="1">IFERROR(__xludf.DUMMYFUNCTION("""COMPUTED_VALUE"""),"साधना")</f>
        <v>साधना</v>
      </c>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f ca="1">IFERROR(__xludf.DUMMYFUNCTION("""COMPUTED_VALUE"""),53)</f>
        <v>53</v>
      </c>
      <c r="BX995" s="1">
        <f ca="1">IFERROR(__xludf.DUMMYFUNCTION("""COMPUTED_VALUE"""),53)</f>
        <v>53</v>
      </c>
      <c r="BY995" s="1">
        <f ca="1">IFERROR(__xludf.DUMMYFUNCTION("""COMPUTED_VALUE"""),9)</f>
        <v>9</v>
      </c>
      <c r="BZ995" s="1">
        <f ca="1">IFERROR(__xludf.DUMMYFUNCTION("""COMPUTED_VALUE"""),25)</f>
        <v>25</v>
      </c>
      <c r="CA995" s="1" t="str">
        <f ca="1">IFERROR(__xludf.DUMMYFUNCTION("""COMPUTED_VALUE"""),"Yes")</f>
        <v>Yes</v>
      </c>
      <c r="CB995" s="5">
        <f ca="1">IFERROR(__xludf.DUMMYFUNCTION("""COMPUTED_VALUE"""),45068.4675557754)</f>
        <v>45068.467555775402</v>
      </c>
      <c r="CC995" s="1" t="str">
        <f ca="1">IFERROR(__xludf.DUMMYFUNCTION("""COMPUTED_VALUE"""),"युग गायन : Rare Book")</f>
        <v>युग गायन : Rare Book</v>
      </c>
      <c r="CD995" s="3" t="str">
        <f ca="1">IFERROR(__xludf.DUMMYFUNCTION("""COMPUTED_VALUE"""),"https://vicharkrantibooks.org/productdetail?book_name=HINP1033_YUG_GAYAN_xx1982&amp;product_id=1598")</f>
        <v>https://vicharkrantibooks.org/productdetail?book_name=HINP1033_YUG_GAYAN_xx1982&amp;product_id=1598</v>
      </c>
      <c r="CE995" s="1" t="str">
        <f ca="1">IFERROR(__xludf.DUMMYFUNCTION("""COMPUTED_VALUE"""),"Audiobook : युग गायन : Rare Book : jamunashukla17@gmail.com : Recorded")</f>
        <v>Audiobook : युग गायन : Rare Book : jamunashukla17@gmail.com : Recorded</v>
      </c>
      <c r="CF995" s="1" t="str">
        <f ca="1">IFERROR(__xludf.DUMMYFUNCTION("""COMPUTED_VALUE"""),"Audiobook : युग गायन : Rare Book : jamunashukla17@gmail.com : Recorded")</f>
        <v>Audiobook : युग गायन : Rare Book : jamunashukla17@gmail.com : Recorded</v>
      </c>
      <c r="CG995" s="1" t="str">
        <f ca="1">IFERROR(__xludf.DUMMYFUNCTION("""COMPUTED_VALUE"""),"Adarniya mrs J S Shukla  ji युग गायन : Rare Book : Allocated on 12-May-23 Contact Number  8390353167")</f>
        <v>Adarniya mrs J S Shukla  ji युग गायन : Rare Book : Allocated on 12-May-23 Contact Number  8390353167</v>
      </c>
      <c r="CH995" s="1"/>
      <c r="CI995" s="1"/>
    </row>
    <row r="996" spans="1:87" x14ac:dyDescent="0.25">
      <c r="A996" s="5">
        <f ca="1">IFERROR(__xludf.DUMMYFUNCTION("""COMPUTED_VALUE"""),45058.4550920023)</f>
        <v>45058.455092002303</v>
      </c>
      <c r="B996" s="1" t="str">
        <f ca="1">IFERROR(__xludf.DUMMYFUNCTION("""COMPUTED_VALUE"""),"shivisweetmusic@gmail.coms")</f>
        <v>shivisweetmusic@gmail.coms</v>
      </c>
      <c r="C996" s="1" t="str">
        <f ca="1">IFERROR(__xludf.DUMMYFUNCTION("""COMPUTED_VALUE"""),"Shivangini pandey")</f>
        <v>Shivangini pandey</v>
      </c>
      <c r="D996" s="1" t="str">
        <f ca="1">IFERROR(__xludf.DUMMYFUNCTION("""COMPUTED_VALUE"""),"+971506036052")</f>
        <v>+971506036052</v>
      </c>
      <c r="E996" s="1" t="str">
        <f ca="1">IFERROR(__xludf.DUMMYFUNCTION("""COMPUTED_VALUE"""),"Yes")</f>
        <v>Yes</v>
      </c>
      <c r="F996" s="1" t="str">
        <f ca="1">IFERROR(__xludf.DUMMYFUNCTION("""COMPUTED_VALUE"""),"हिन्दी")</f>
        <v>हिन्दी</v>
      </c>
      <c r="G996" s="1" t="str">
        <f ca="1">IFERROR(__xludf.DUMMYFUNCTION("""COMPUTED_VALUE"""),"संस्कार, कर्मकाण्ड, पाठ, पूजा, गीत-संगीत")</f>
        <v>संस्कार, कर्मकाण्ड, पाठ, पूजा, गीत-संगीत</v>
      </c>
      <c r="H996" s="1"/>
      <c r="I996" s="1"/>
      <c r="J996" s="1"/>
      <c r="K996" s="1"/>
      <c r="L996" s="1"/>
      <c r="M996" s="1"/>
      <c r="N996" s="1"/>
      <c r="O996" s="1"/>
      <c r="P996" s="1"/>
      <c r="Q996" s="1"/>
      <c r="R996" s="1"/>
      <c r="S996" s="1"/>
      <c r="T996" s="1"/>
      <c r="U996" s="1"/>
      <c r="V996" s="1"/>
      <c r="W996" s="1" t="str">
        <f ca="1">IFERROR(__xludf.DUMMYFUNCTION("""COMPUTED_VALUE"""),"पाठ, पूजा, चालीसा, प्रार्थना,")</f>
        <v>पाठ, पूजा, चालीसा, प्रार्थना,</v>
      </c>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t="str">
        <f ca="1">IFERROR(__xludf.DUMMYFUNCTION("""COMPUTED_VALUE"""),"गायत्री चालीसा")</f>
        <v>गायत्री चालीसा</v>
      </c>
      <c r="BI996" s="1"/>
      <c r="BJ996" s="1"/>
      <c r="BK996" s="1"/>
      <c r="BL996" s="1"/>
      <c r="BM996" s="1"/>
      <c r="BN996" s="1"/>
      <c r="BO996" s="1"/>
      <c r="BP996" s="1"/>
      <c r="BQ996" s="1"/>
      <c r="BR996" s="1"/>
      <c r="BS996" s="1"/>
      <c r="BT996" s="1"/>
      <c r="BU996" s="1"/>
      <c r="BV996" s="1"/>
      <c r="BW996" s="1">
        <f ca="1">IFERROR(__xludf.DUMMYFUNCTION("""COMPUTED_VALUE"""),1)</f>
        <v>1</v>
      </c>
      <c r="BX996" s="1">
        <f ca="1">IFERROR(__xludf.DUMMYFUNCTION("""COMPUTED_VALUE"""),0)</f>
        <v>0</v>
      </c>
      <c r="BY996" s="1">
        <f ca="1">IFERROR(__xludf.DUMMYFUNCTION("""COMPUTED_VALUE"""),1)</f>
        <v>1</v>
      </c>
      <c r="BZ996" s="1">
        <f ca="1">IFERROR(__xludf.DUMMYFUNCTION("""COMPUTED_VALUE"""),0)</f>
        <v>0</v>
      </c>
      <c r="CA996" s="1" t="str">
        <f ca="1">IFERROR(__xludf.DUMMYFUNCTION("""COMPUTED_VALUE"""),"Yes")</f>
        <v>Yes</v>
      </c>
      <c r="CB996" s="5">
        <f ca="1">IFERROR(__xludf.DUMMYFUNCTION("""COMPUTED_VALUE"""),45068.4550920023)</f>
        <v>45068.455092002303</v>
      </c>
      <c r="CC996" s="1" t="str">
        <f ca="1">IFERROR(__xludf.DUMMYFUNCTION("""COMPUTED_VALUE"""),"अध्यात्म एक प्रकार का समर : H_JS_91")</f>
        <v>अध्यात्म एक प्रकार का समर : H_JS_91</v>
      </c>
      <c r="CD996" s="3" t="str">
        <f ca="1">IFERROR(__xludf.DUMMYFUNCTION("""COMPUTED_VALUE"""),"https://vicharkrantibooks.org/productdetail?book_name=HINP0012_ADHYATM_EK_PRAKAR_KA_SAMAR_xx2011&amp;product_id=577")</f>
        <v>https://vicharkrantibooks.org/productdetail?book_name=HINP0012_ADHYATM_EK_PRAKAR_KA_SAMAR_xx2011&amp;product_id=577</v>
      </c>
      <c r="CE996" s="1" t="str">
        <f ca="1">IFERROR(__xludf.DUMMYFUNCTION("""COMPUTED_VALUE"""),"Audiobook : अध्यात्म एक प्रकार का समर : H_JS_91 : shivisweetmusic@gmail.coms : Recorded")</f>
        <v>Audiobook : अध्यात्म एक प्रकार का समर : H_JS_91 : shivisweetmusic@gmail.coms : Recorded</v>
      </c>
      <c r="CF996" s="1" t="str">
        <f ca="1">IFERROR(__xludf.DUMMYFUNCTION("""COMPUTED_VALUE"""),"#N/A")</f>
        <v>#N/A</v>
      </c>
      <c r="CG996" s="1" t="str">
        <f ca="1">IFERROR(__xludf.DUMMYFUNCTION("""COMPUTED_VALUE"""),"Adarniya Shivangini pandey ji अध्यात्म एक प्रकार का समर : H_JS_91 : Allocated on 12-May-23 Contact Number  +971506036052")</f>
        <v>Adarniya Shivangini pandey ji अध्यात्म एक प्रकार का समर : H_JS_91 : Allocated on 12-May-23 Contact Number  +971506036052</v>
      </c>
      <c r="CH996" s="1"/>
      <c r="CI996" s="1"/>
    </row>
    <row r="997" spans="1:87" x14ac:dyDescent="0.25">
      <c r="A997" s="5">
        <f ca="1">IFERROR(__xludf.DUMMYFUNCTION("""COMPUTED_VALUE"""),45058.3922232407)</f>
        <v>45058.392223240699</v>
      </c>
      <c r="B997" s="1" t="str">
        <f ca="1">IFERROR(__xludf.DUMMYFUNCTION("""COMPUTED_VALUE"""),"shankar.ram290170@gmail.com")</f>
        <v>shankar.ram290170@gmail.com</v>
      </c>
      <c r="C997" s="1" t="str">
        <f ca="1">IFERROR(__xludf.DUMMYFUNCTION("""COMPUTED_VALUE"""),"Ram Shankar Virlley ")</f>
        <v xml:space="preserve">Ram Shankar Virlley </v>
      </c>
      <c r="D997" s="1" t="str">
        <f ca="1">IFERROR(__xludf.DUMMYFUNCTION("""COMPUTED_VALUE"""),"09412468049")</f>
        <v>09412468049</v>
      </c>
      <c r="E997" s="1" t="str">
        <f ca="1">IFERROR(__xludf.DUMMYFUNCTION("""COMPUTED_VALUE"""),"No")</f>
        <v>No</v>
      </c>
      <c r="F997" s="1" t="str">
        <f ca="1">IFERROR(__xludf.DUMMYFUNCTION("""COMPUTED_VALUE"""),"हिन्दी")</f>
        <v>हिन्दी</v>
      </c>
      <c r="G997" s="1" t="str">
        <f ca="1">IFERROR(__xludf.DUMMYFUNCTION("""COMPUTED_VALUE"""),"व्यक्ति निर्माण, युवा/विद्यार्थी एवं शिक्षक")</f>
        <v>व्यक्ति निर्माण, युवा/विद्यार्थी एवं शिक्षक</v>
      </c>
      <c r="H997" s="1"/>
      <c r="I997" s="1"/>
      <c r="J997" s="1"/>
      <c r="K997" s="1"/>
      <c r="L997" s="1"/>
      <c r="M997" s="1"/>
      <c r="N997" s="1"/>
      <c r="O997" s="1"/>
      <c r="P997" s="1"/>
      <c r="Q997" s="1"/>
      <c r="R997" s="1"/>
      <c r="S997" s="1"/>
      <c r="T997" s="1" t="str">
        <f ca="1">IFERROR(__xludf.DUMMYFUNCTION("""COMPUTED_VALUE"""),"विद्यार्थी एवं शिक्षक")</f>
        <v>विद्यार्थी एवं शिक्षक</v>
      </c>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f ca="1">IFERROR(__xludf.DUMMYFUNCTION("""COMPUTED_VALUE"""),2)</f>
        <v>2</v>
      </c>
      <c r="BX997" s="1">
        <f ca="1">IFERROR(__xludf.DUMMYFUNCTION("""COMPUTED_VALUE"""),0)</f>
        <v>0</v>
      </c>
      <c r="BY997" s="1">
        <f ca="1">IFERROR(__xludf.DUMMYFUNCTION("""COMPUTED_VALUE"""),2)</f>
        <v>2</v>
      </c>
      <c r="BZ997" s="1">
        <f ca="1">IFERROR(__xludf.DUMMYFUNCTION("""COMPUTED_VALUE"""),0)</f>
        <v>0</v>
      </c>
      <c r="CA997" s="1" t="str">
        <f ca="1">IFERROR(__xludf.DUMMYFUNCTION("""COMPUTED_VALUE"""),"Yes")</f>
        <v>Yes</v>
      </c>
      <c r="CB997" s="5">
        <f ca="1">IFERROR(__xludf.DUMMYFUNCTION("""COMPUTED_VALUE"""),45068.3922232407)</f>
        <v>45068.392223240699</v>
      </c>
      <c r="CC997" s="1" t="str">
        <f ca="1">IFERROR(__xludf.DUMMYFUNCTION("""COMPUTED_VALUE"""),"आकांक्षायें नियंत्रित एवं सोद्देश्य हों : Rare Book")</f>
        <v>आकांक्षायें नियंत्रित एवं सोद्देश्य हों : Rare Book</v>
      </c>
      <c r="CD997" s="3" t="str">
        <f ca="1">IFERROR(__xludf.DUMMYFUNCTION("""COMPUTED_VALUE"""),"https://vicharkrantibooks.org/productdetail?book_name=HINP0035_AKANKSHAEN_NIYANTRIT_AUR_SODDESHY_HO_xx1982&amp;product_id=600")</f>
        <v>https://vicharkrantibooks.org/productdetail?book_name=HINP0035_AKANKSHAEN_NIYANTRIT_AUR_SODDESHY_HO_xx1982&amp;product_id=600</v>
      </c>
      <c r="CE997" s="1" t="str">
        <f ca="1">IFERROR(__xludf.DUMMYFUNCTION("""COMPUTED_VALUE"""),"Audiobook : आकांक्षायें नियंत्रित एवं सोद्देश्य हों : Rare Book : shankar.ram290170@gmail.com : Recorded")</f>
        <v>Audiobook : आकांक्षायें नियंत्रित एवं सोद्देश्य हों : Rare Book : shankar.ram290170@gmail.com : Recorded</v>
      </c>
      <c r="CF997" s="1" t="str">
        <f ca="1">IFERROR(__xludf.DUMMYFUNCTION("""COMPUTED_VALUE"""),"#N/A")</f>
        <v>#N/A</v>
      </c>
      <c r="CG997" s="1" t="str">
        <f ca="1">IFERROR(__xludf.DUMMYFUNCTION("""COMPUTED_VALUE"""),"Adarniya Ram Shankar Virlley  ji आकांक्षायें नियंत्रित एवं सोद्देश्य हों : Rare Book : Allocated on 12-May-23 Contact Number  09412468049")</f>
        <v>Adarniya Ram Shankar Virlley  ji आकांक्षायें नियंत्रित एवं सोद्देश्य हों : Rare Book : Allocated on 12-May-23 Contact Number  09412468049</v>
      </c>
      <c r="CH997" s="1"/>
      <c r="CI997" s="1"/>
    </row>
    <row r="998" spans="1:87" x14ac:dyDescent="0.25">
      <c r="A998" s="5">
        <f ca="1">IFERROR(__xludf.DUMMYFUNCTION("""COMPUTED_VALUE"""),45057.8137510995)</f>
        <v>45057.8137510995</v>
      </c>
      <c r="B998" s="1" t="str">
        <f ca="1">IFERROR(__xludf.DUMMYFUNCTION("""COMPUTED_VALUE"""),"spmittalmumbai@gmail.com")</f>
        <v>spmittalmumbai@gmail.com</v>
      </c>
      <c r="C998" s="1" t="str">
        <f ca="1">IFERROR(__xludf.DUMMYFUNCTION("""COMPUTED_VALUE"""),"S PMittal")</f>
        <v>S PMittal</v>
      </c>
      <c r="D998" s="1">
        <f ca="1">IFERROR(__xludf.DUMMYFUNCTION("""COMPUTED_VALUE"""),9860003407)</f>
        <v>9860003407</v>
      </c>
      <c r="E998" s="1" t="str">
        <f ca="1">IFERROR(__xludf.DUMMYFUNCTION("""COMPUTED_VALUE"""),"Yes")</f>
        <v>Yes</v>
      </c>
      <c r="F998" s="1" t="str">
        <f ca="1">IFERROR(__xludf.DUMMYFUNCTION("""COMPUTED_VALUE"""),"हिन्दी")</f>
        <v>हिन्दी</v>
      </c>
      <c r="G998" s="1" t="str">
        <f ca="1">IFERROR(__xludf.DUMMYFUNCTION("""COMPUTED_VALUE"""),"अध्यात्म, धर्म एवं दर्शन")</f>
        <v>अध्यात्म, धर्म एवं दर्शन</v>
      </c>
      <c r="H998" s="1" t="str">
        <f ca="1">IFERROR(__xludf.DUMMYFUNCTION("""COMPUTED_VALUE"""),"उपासना")</f>
        <v>उपासना</v>
      </c>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f ca="1">IFERROR(__xludf.DUMMYFUNCTION("""COMPUTED_VALUE"""),39)</f>
        <v>39</v>
      </c>
      <c r="BX998" s="1">
        <f ca="1">IFERROR(__xludf.DUMMYFUNCTION("""COMPUTED_VALUE"""),32)</f>
        <v>32</v>
      </c>
      <c r="BY998" s="1">
        <f ca="1">IFERROR(__xludf.DUMMYFUNCTION("""COMPUTED_VALUE"""),11)</f>
        <v>11</v>
      </c>
      <c r="BZ998" s="1">
        <f ca="1">IFERROR(__xludf.DUMMYFUNCTION("""COMPUTED_VALUE"""),23)</f>
        <v>23</v>
      </c>
      <c r="CA998" s="1" t="str">
        <f ca="1">IFERROR(__xludf.DUMMYFUNCTION("""COMPUTED_VALUE"""),"Yes")</f>
        <v>Yes</v>
      </c>
      <c r="CB998" s="5">
        <f ca="1">IFERROR(__xludf.DUMMYFUNCTION("""COMPUTED_VALUE"""),45067.8137510995)</f>
        <v>45067.8137510995</v>
      </c>
      <c r="CC998" s="1" t="str">
        <f ca="1">IFERROR(__xludf.DUMMYFUNCTION("""COMPUTED_VALUE"""),"तप से मिलती है सिद्धियाँ : H_JS_59")</f>
        <v>तप से मिलती है सिद्धियाँ : H_JS_59</v>
      </c>
      <c r="CD998" s="3" t="str">
        <f ca="1">IFERROR(__xludf.DUMMYFUNCTION("""COMPUTED_VALUE"""),"https://vicharkrantibooks.org/productdetail?book_name=HINP0903_TAP_SE_MILATI_HAIN_SIDDHIYAN_xx2011&amp;product_id=1468")</f>
        <v>https://vicharkrantibooks.org/productdetail?book_name=HINP0903_TAP_SE_MILATI_HAIN_SIDDHIYAN_xx2011&amp;product_id=1468</v>
      </c>
      <c r="CE998" s="1" t="str">
        <f ca="1">IFERROR(__xludf.DUMMYFUNCTION("""COMPUTED_VALUE"""),"Audiobook : तप से मिलती है सिद्धियाँ : H_JS_59 : spmittalmumbai@gmail.com : Recorded")</f>
        <v>Audiobook : तप से मिलती है सिद्धियाँ : H_JS_59 : spmittalmumbai@gmail.com : Recorded</v>
      </c>
      <c r="CF998" s="1" t="str">
        <f ca="1">IFERROR(__xludf.DUMMYFUNCTION("""COMPUTED_VALUE"""),"Audiobook : तप से मिलती है सिद्धियाँ : H_JS_59 : spmittalmumbai@gmail.com : Recorded")</f>
        <v>Audiobook : तप से मिलती है सिद्धियाँ : H_JS_59 : spmittalmumbai@gmail.com : Recorded</v>
      </c>
      <c r="CG998" s="1" t="str">
        <f ca="1">IFERROR(__xludf.DUMMYFUNCTION("""COMPUTED_VALUE"""),"Adarniya S PMittal ji तप से मिलती है सिद्धियाँ : H_JS_59 : Allocated on 11-May-23 Contact Number  9860003407")</f>
        <v>Adarniya S PMittal ji तप से मिलती है सिद्धियाँ : H_JS_59 : Allocated on 11-May-23 Contact Number  9860003407</v>
      </c>
      <c r="CH998" s="1"/>
      <c r="CI998" s="1"/>
    </row>
    <row r="999" spans="1:87" x14ac:dyDescent="0.25">
      <c r="A999" s="5">
        <f ca="1">IFERROR(__xludf.DUMMYFUNCTION("""COMPUTED_VALUE"""),45056.9050125231)</f>
        <v>45056.905012523101</v>
      </c>
      <c r="B999" s="1" t="str">
        <f ca="1">IFERROR(__xludf.DUMMYFUNCTION("""COMPUTED_VALUE"""),"csprasad108@gmail.com")</f>
        <v>csprasad108@gmail.com</v>
      </c>
      <c r="C999" s="1" t="str">
        <f ca="1">IFERROR(__xludf.DUMMYFUNCTION("""COMPUTED_VALUE"""),"Kumkum pradad")</f>
        <v>Kumkum pradad</v>
      </c>
      <c r="D999" s="1">
        <f ca="1">IFERROR(__xludf.DUMMYFUNCTION("""COMPUTED_VALUE"""),7978055621)</f>
        <v>7978055621</v>
      </c>
      <c r="E999" s="1"/>
      <c r="F999" s="1" t="str">
        <f ca="1">IFERROR(__xludf.DUMMYFUNCTION("""COMPUTED_VALUE"""),"हिन्दी")</f>
        <v>हिन्दी</v>
      </c>
      <c r="G999" s="1" t="str">
        <f ca="1">IFERROR(__xludf.DUMMYFUNCTION("""COMPUTED_VALUE"""),"भारतीय संस्कृति")</f>
        <v>भारतीय संस्कृति</v>
      </c>
      <c r="H999" s="1"/>
      <c r="I999" s="1"/>
      <c r="J999" s="1"/>
      <c r="K999" s="1"/>
      <c r="L999" s="1"/>
      <c r="M999" s="1"/>
      <c r="N999" s="1"/>
      <c r="O999" s="1" t="str">
        <f ca="1">IFERROR(__xludf.DUMMYFUNCTION("""COMPUTED_VALUE"""),"भारतीय संस्कृति")</f>
        <v>भारतीय संस्कृति</v>
      </c>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f ca="1">IFERROR(__xludf.DUMMYFUNCTION("""COMPUTED_VALUE"""),52)</f>
        <v>52</v>
      </c>
      <c r="BX999" s="1">
        <f ca="1">IFERROR(__xludf.DUMMYFUNCTION("""COMPUTED_VALUE"""),54)</f>
        <v>54</v>
      </c>
      <c r="BY999" s="1">
        <f ca="1">IFERROR(__xludf.DUMMYFUNCTION("""COMPUTED_VALUE"""),3)</f>
        <v>3</v>
      </c>
      <c r="BZ999" s="1">
        <f ca="1">IFERROR(__xludf.DUMMYFUNCTION("""COMPUTED_VALUE"""),24)</f>
        <v>24</v>
      </c>
      <c r="CA999" s="1" t="str">
        <f ca="1">IFERROR(__xludf.DUMMYFUNCTION("""COMPUTED_VALUE"""),"Yes")</f>
        <v>Yes</v>
      </c>
      <c r="CB999" s="5">
        <f ca="1">IFERROR(__xludf.DUMMYFUNCTION("""COMPUTED_VALUE"""),45066.9050125231)</f>
        <v>45066.905012523101</v>
      </c>
      <c r="CC999" s="1" t="str">
        <f ca="1">IFERROR(__xludf.DUMMYFUNCTION("""COMPUTED_VALUE"""),"गायत्री उपासना से षट्‌‌चक्रों का जागरण : Rare Book")</f>
        <v>गायत्री उपासना से षट्‌‌चक्रों का जागरण : Rare Book</v>
      </c>
      <c r="CD999" s="3" t="str">
        <f ca="1">IFERROR(__xludf.DUMMYFUNCTION("""COMPUTED_VALUE"""),"https://vicharkrantibooks.org/productdetail?book_name=HINP0300_GAYATRI_UPASANA_SE_SHATCHAKRON_KA_JAGARAN_xx1976&amp;product_id=865")</f>
        <v>https://vicharkrantibooks.org/productdetail?book_name=HINP0300_GAYATRI_UPASANA_SE_SHATCHAKRON_KA_JAGARAN_xx1976&amp;product_id=865</v>
      </c>
      <c r="CE999" s="1" t="str">
        <f ca="1">IFERROR(__xludf.DUMMYFUNCTION("""COMPUTED_VALUE"""),"Audiobook : गायत्री उपासना से षट्‌‌चक्रों का जागरण : Rare Book : csprasad108@gmail.com : Recorded")</f>
        <v>Audiobook : गायत्री उपासना से षट्‌‌चक्रों का जागरण : Rare Book : csprasad108@gmail.com : Recorded</v>
      </c>
      <c r="CF999" s="1" t="str">
        <f ca="1">IFERROR(__xludf.DUMMYFUNCTION("""COMPUTED_VALUE"""),"Audiobook : गायत्री उपासना से षट्‌‌चक्रों का जागरण : Rare Book : csprasad108@gmail.com : Recorded")</f>
        <v>Audiobook : गायत्री उपासना से षट्‌‌चक्रों का जागरण : Rare Book : csprasad108@gmail.com : Recorded</v>
      </c>
      <c r="CG999" s="1" t="str">
        <f ca="1">IFERROR(__xludf.DUMMYFUNCTION("""COMPUTED_VALUE"""),"Adarniya Kumkum pradad ji गायत्री उपासना से षट्‌‌चक्रों का जागरण : Rare Book : Allocated on 10-May-23 Contact Number  7978055621")</f>
        <v>Adarniya Kumkum pradad ji गायत्री उपासना से षट्‌‌चक्रों का जागरण : Rare Book : Allocated on 10-May-23 Contact Number  7978055621</v>
      </c>
      <c r="CH999" s="1"/>
      <c r="CI999" s="1"/>
    </row>
    <row r="1000" spans="1:87" x14ac:dyDescent="0.25">
      <c r="A1000" s="5">
        <f ca="1">IFERROR(__xludf.DUMMYFUNCTION("""COMPUTED_VALUE"""),45056.5509734838)</f>
        <v>45056.550973483798</v>
      </c>
      <c r="B1000" s="1" t="str">
        <f ca="1">IFERROR(__xludf.DUMMYFUNCTION("""COMPUTED_VALUE"""),"shrutidube.86@gmail.com")</f>
        <v>shrutidube.86@gmail.com</v>
      </c>
      <c r="C1000" s="1" t="str">
        <f ca="1">IFERROR(__xludf.DUMMYFUNCTION("""COMPUTED_VALUE"""),"shruti")</f>
        <v>shruti</v>
      </c>
      <c r="D1000" s="1">
        <f ca="1">IFERROR(__xludf.DUMMYFUNCTION("""COMPUTED_VALUE"""),7021294023)</f>
        <v>7021294023</v>
      </c>
      <c r="E1000" s="1" t="str">
        <f ca="1">IFERROR(__xludf.DUMMYFUNCTION("""COMPUTED_VALUE"""),"Yes")</f>
        <v>Yes</v>
      </c>
      <c r="F1000" s="1" t="str">
        <f ca="1">IFERROR(__xludf.DUMMYFUNCTION("""COMPUTED_VALUE"""),"English")</f>
        <v>English</v>
      </c>
      <c r="G1000" s="1" t="str">
        <f ca="1">IFERROR(__xludf.DUMMYFUNCTION("""COMPUTED_VALUE"""),"English")</f>
        <v>English</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f ca="1">IFERROR(__xludf.DUMMYFUNCTION("""COMPUTED_VALUE"""),8)</f>
        <v>8</v>
      </c>
      <c r="BX1000" s="1">
        <f ca="1">IFERROR(__xludf.DUMMYFUNCTION("""COMPUTED_VALUE"""),4)</f>
        <v>4</v>
      </c>
      <c r="BY1000" s="1">
        <f ca="1">IFERROR(__xludf.DUMMYFUNCTION("""COMPUTED_VALUE"""),4)</f>
        <v>4</v>
      </c>
      <c r="BZ1000" s="1">
        <f ca="1">IFERROR(__xludf.DUMMYFUNCTION("""COMPUTED_VALUE"""),1)</f>
        <v>1</v>
      </c>
      <c r="CA1000" s="1" t="str">
        <f ca="1">IFERROR(__xludf.DUMMYFUNCTION("""COMPUTED_VALUE"""),"Yes")</f>
        <v>Yes</v>
      </c>
      <c r="CB1000" s="5">
        <f ca="1">IFERROR(__xludf.DUMMYFUNCTION("""COMPUTED_VALUE"""),45066.5509734838)</f>
        <v>45066.550973483798</v>
      </c>
      <c r="CC1000" s="1" t="str">
        <f ca="1">IFERROR(__xludf.DUMMYFUNCTION("""COMPUTED_VALUE"""),"Women! Abandon The Regressive Customs : EP_113")</f>
        <v>Women! Abandon The Regressive Customs : EP_113</v>
      </c>
      <c r="CD1000" s="3" t="str">
        <f ca="1">IFERROR(__xludf.DUMMYFUNCTION("""COMPUTED_VALUE"""),"https://vicharkrantibooks.org/productdetail?book_name=ENGP0589_WOMEN!_ABANDON_THE_REGRESSIVE_CUSTOMS_xxyyyy&amp;product_id=3498")</f>
        <v>https://vicharkrantibooks.org/productdetail?book_name=ENGP0589_WOMEN!_ABANDON_THE_REGRESSIVE_CUSTOMS_xxyyyy&amp;product_id=3498</v>
      </c>
      <c r="CE1000" s="1" t="str">
        <f ca="1">IFERROR(__xludf.DUMMYFUNCTION("""COMPUTED_VALUE"""),"Audiobook : Women! Abandon The Regressive Customs : EP_113 : shrutidube.86@gmail.com : Recorded")</f>
        <v>Audiobook : Women! Abandon The Regressive Customs : EP_113 : shrutidube.86@gmail.com : Recorded</v>
      </c>
      <c r="CF1000" s="1" t="str">
        <f ca="1">IFERROR(__xludf.DUMMYFUNCTION("""COMPUTED_VALUE"""),"Audiobook : Women! Abandon The Regressive Customs : EP_113 : shrutidube.86@gmail.com : Recorded")</f>
        <v>Audiobook : Women! Abandon The Regressive Customs : EP_113 : shrutidube.86@gmail.com : Recorded</v>
      </c>
      <c r="CG1000" s="1" t="str">
        <f ca="1">IFERROR(__xludf.DUMMYFUNCTION("""COMPUTED_VALUE"""),"Adarniya shruti ji Women! Abandon The Regressive Customs : EP_113 : Allocated on 10-May-23 Contact Number  7021294023")</f>
        <v>Adarniya shruti ji Women! Abandon The Regressive Customs : EP_113 : Allocated on 10-May-23 Contact Number  7021294023</v>
      </c>
      <c r="CH1000" s="1"/>
      <c r="CI1000" s="1"/>
    </row>
    <row r="1001" spans="1:87" x14ac:dyDescent="0.25">
      <c r="A1001" s="5">
        <f ca="1">IFERROR(__xludf.DUMMYFUNCTION("""COMPUTED_VALUE"""),45055.7836505671)</f>
        <v>45055.7836505671</v>
      </c>
      <c r="B1001" s="1" t="str">
        <f ca="1">IFERROR(__xludf.DUMMYFUNCTION("""COMPUTED_VALUE"""),"richasharma310575@gmail.com")</f>
        <v>richasharma310575@gmail.com</v>
      </c>
      <c r="C1001" s="1" t="str">
        <f ca="1">IFERROR(__xludf.DUMMYFUNCTION("""COMPUTED_VALUE"""),"Richa Sharma")</f>
        <v>Richa Sharma</v>
      </c>
      <c r="D1001" s="1" t="str">
        <f ca="1">IFERROR(__xludf.DUMMYFUNCTION("""COMPUTED_VALUE"""),"09479664049")</f>
        <v>09479664049</v>
      </c>
      <c r="E1001" s="1" t="str">
        <f ca="1">IFERROR(__xludf.DUMMYFUNCTION("""COMPUTED_VALUE"""),"Yes")</f>
        <v>Yes</v>
      </c>
      <c r="F1001" s="1"/>
      <c r="G1001" s="1" t="str">
        <f ca="1">IFERROR(__xludf.DUMMYFUNCTION("""COMPUTED_VALUE"""),"राष्ट्र निर्माण")</f>
        <v>राष्ट्र निर्माण</v>
      </c>
      <c r="H1001" s="1"/>
      <c r="I1001" s="1"/>
      <c r="J1001" s="1"/>
      <c r="K1001" s="1"/>
      <c r="L1001" s="1"/>
      <c r="M1001" s="1"/>
      <c r="N1001" s="1"/>
      <c r="O1001" s="1"/>
      <c r="P1001" s="1"/>
      <c r="Q1001" s="1"/>
      <c r="R1001" s="1" t="str">
        <f ca="1">IFERROR(__xludf.DUMMYFUNCTION("""COMPUTED_VALUE"""),"सार्थक एवं समग्र शिक्षा")</f>
        <v>सार्थक एवं समग्र शिक्षा</v>
      </c>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f ca="1">IFERROR(__xludf.DUMMYFUNCTION("""COMPUTED_VALUE"""),23)</f>
        <v>23</v>
      </c>
      <c r="BX1001" s="1">
        <f ca="1">IFERROR(__xludf.DUMMYFUNCTION("""COMPUTED_VALUE"""),28)</f>
        <v>28</v>
      </c>
      <c r="BY1001" s="1">
        <f ca="1">IFERROR(__xludf.DUMMYFUNCTION("""COMPUTED_VALUE"""),2)</f>
        <v>2</v>
      </c>
      <c r="BZ1001" s="1">
        <f ca="1">IFERROR(__xludf.DUMMYFUNCTION("""COMPUTED_VALUE"""),24)</f>
        <v>24</v>
      </c>
      <c r="CA1001" s="1" t="str">
        <f ca="1">IFERROR(__xludf.DUMMYFUNCTION("""COMPUTED_VALUE"""),"Yes")</f>
        <v>Yes</v>
      </c>
      <c r="CB1001" s="5">
        <f ca="1">IFERROR(__xludf.DUMMYFUNCTION("""COMPUTED_VALUE"""),45065.7836505671)</f>
        <v>45065.7836505671</v>
      </c>
      <c r="CC1001" s="1" t="str">
        <f ca="1">IFERROR(__xludf.DUMMYFUNCTION("""COMPUTED_VALUE"""),"शिक्षा व्यवस्था कैसी हो? : H_JS_20")</f>
        <v>शिक्षा व्यवस्था कैसी हो? : H_JS_20</v>
      </c>
      <c r="CD1001" s="3" t="str">
        <f ca="1">IFERROR(__xludf.DUMMYFUNCTION("""COMPUTED_VALUE"""),"https://vicharkrantibooks.org/productdetail?book_name=HINP0849_SHIKSHA_VYAVASTHA_KAISI_HO_xx2011&amp;product_id=1414")</f>
        <v>https://vicharkrantibooks.org/productdetail?book_name=HINP0849_SHIKSHA_VYAVASTHA_KAISI_HO_xx2011&amp;product_id=1414</v>
      </c>
      <c r="CE1001" s="1" t="str">
        <f ca="1">IFERROR(__xludf.DUMMYFUNCTION("""COMPUTED_VALUE"""),"Audiobook : शिक्षा व्यवस्था कैसी हो? : H_JS_20 : richasharma310575@gmail.com : Recorded")</f>
        <v>Audiobook : शिक्षा व्यवस्था कैसी हो? : H_JS_20 : richasharma310575@gmail.com : Recorded</v>
      </c>
      <c r="CF1001" s="1" t="str">
        <f ca="1">IFERROR(__xludf.DUMMYFUNCTION("""COMPUTED_VALUE"""),"Audiobook : शिक्षा व्यवस्था कैसी हो? : H_JS_20 : richasharma310575@gmail.com : Recorded")</f>
        <v>Audiobook : शिक्षा व्यवस्था कैसी हो? : H_JS_20 : richasharma310575@gmail.com : Recorded</v>
      </c>
      <c r="CG1001" s="1" t="str">
        <f ca="1">IFERROR(__xludf.DUMMYFUNCTION("""COMPUTED_VALUE"""),"Adarniya Richa Sharma ji शिक्षा व्यवस्था कैसी हो? : H_JS_20 : Allocated on 09-May-23 Contact Number  09479664049")</f>
        <v>Adarniya Richa Sharma ji शिक्षा व्यवस्था कैसी हो? : H_JS_20 : Allocated on 09-May-23 Contact Number  09479664049</v>
      </c>
      <c r="CH1001" s="1"/>
      <c r="CI1001" s="1"/>
    </row>
    <row r="1002" spans="1:87" x14ac:dyDescent="0.25">
      <c r="A1002" s="5">
        <f ca="1">IFERROR(__xludf.DUMMYFUNCTION("""COMPUTED_VALUE"""),45055.4081253587)</f>
        <v>45055.408125358699</v>
      </c>
      <c r="B1002" s="1" t="str">
        <f ca="1">IFERROR(__xludf.DUMMYFUNCTION("""COMPUTED_VALUE"""),"csprasad108@gmail.com")</f>
        <v>csprasad108@gmail.com</v>
      </c>
      <c r="C1002" s="1" t="str">
        <f ca="1">IFERROR(__xludf.DUMMYFUNCTION("""COMPUTED_VALUE"""),"Kumkum prasad")</f>
        <v>Kumkum prasad</v>
      </c>
      <c r="D1002" s="1">
        <f ca="1">IFERROR(__xludf.DUMMYFUNCTION("""COMPUTED_VALUE"""),7978055621)</f>
        <v>7978055621</v>
      </c>
      <c r="E1002" s="1" t="str">
        <f ca="1">IFERROR(__xludf.DUMMYFUNCTION("""COMPUTED_VALUE"""),"Yes")</f>
        <v>Yes</v>
      </c>
      <c r="F1002" s="1" t="str">
        <f ca="1">IFERROR(__xludf.DUMMYFUNCTION("""COMPUTED_VALUE"""),"हिन्दी")</f>
        <v>हिन्दी</v>
      </c>
      <c r="G1002" s="1" t="str">
        <f ca="1">IFERROR(__xludf.DUMMYFUNCTION("""COMPUTED_VALUE"""),"भारतीय संस्कृति")</f>
        <v>भारतीय संस्कृति</v>
      </c>
      <c r="H1002" s="1"/>
      <c r="I1002" s="1"/>
      <c r="J1002" s="1"/>
      <c r="K1002" s="1"/>
      <c r="L1002" s="1"/>
      <c r="M1002" s="1"/>
      <c r="N1002" s="1"/>
      <c r="O1002" s="1" t="str">
        <f ca="1">IFERROR(__xludf.DUMMYFUNCTION("""COMPUTED_VALUE"""),"यज्ञ")</f>
        <v>यज्ञ</v>
      </c>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f ca="1">IFERROR(__xludf.DUMMYFUNCTION("""COMPUTED_VALUE"""),52)</f>
        <v>52</v>
      </c>
      <c r="BX1002" s="1">
        <f ca="1">IFERROR(__xludf.DUMMYFUNCTION("""COMPUTED_VALUE"""),54)</f>
        <v>54</v>
      </c>
      <c r="BY1002" s="1">
        <f ca="1">IFERROR(__xludf.DUMMYFUNCTION("""COMPUTED_VALUE"""),3)</f>
        <v>3</v>
      </c>
      <c r="BZ1002" s="1">
        <f ca="1">IFERROR(__xludf.DUMMYFUNCTION("""COMPUTED_VALUE"""),24)</f>
        <v>24</v>
      </c>
      <c r="CA1002" s="1" t="str">
        <f ca="1">IFERROR(__xludf.DUMMYFUNCTION("""COMPUTED_VALUE"""),"Yes")</f>
        <v>Yes</v>
      </c>
      <c r="CB1002" s="5">
        <f ca="1">IFERROR(__xludf.DUMMYFUNCTION("""COMPUTED_VALUE"""),45065.4081253587)</f>
        <v>45065.408125358699</v>
      </c>
      <c r="CC1002" s="1" t="str">
        <f ca="1">IFERROR(__xludf.DUMMYFUNCTION("""COMPUTED_VALUE"""),"गायत्री उपासना से प्राण शक्ति का अभिवर्धन : Rare Book")</f>
        <v>गायत्री उपासना से प्राण शक्ति का अभिवर्धन : Rare Book</v>
      </c>
      <c r="CD1002" s="3" t="str">
        <f ca="1">IFERROR(__xludf.DUMMYFUNCTION("""COMPUTED_VALUE"""),"https://vicharkrantibooks.org/productdetail?book_name=HINP0299_GAYATRI_UPASANA_SE_PRAN_SHAKTI_KA_ABHIVARDHAN_xx1979&amp;product_id=864")</f>
        <v>https://vicharkrantibooks.org/productdetail?book_name=HINP0299_GAYATRI_UPASANA_SE_PRAN_SHAKTI_KA_ABHIVARDHAN_xx1979&amp;product_id=864</v>
      </c>
      <c r="CE1002" s="1" t="str">
        <f ca="1">IFERROR(__xludf.DUMMYFUNCTION("""COMPUTED_VALUE"""),"Audiobook : गायत्री उपासना से प्राण शक्ति का अभिवर्धन : Rare Book : csprasad108@gmail.com : Recorded")</f>
        <v>Audiobook : गायत्री उपासना से प्राण शक्ति का अभिवर्धन : Rare Book : csprasad108@gmail.com : Recorded</v>
      </c>
      <c r="CF1002" s="1" t="str">
        <f ca="1">IFERROR(__xludf.DUMMYFUNCTION("""COMPUTED_VALUE"""),"Audiobook : गायत्री उपासना से प्राण शक्ति का अभिवर्धन : Rare Book : csprasad108@gmail.com : Recorded")</f>
        <v>Audiobook : गायत्री उपासना से प्राण शक्ति का अभिवर्धन : Rare Book : csprasad108@gmail.com : Recorded</v>
      </c>
      <c r="CG1002" s="1" t="str">
        <f ca="1">IFERROR(__xludf.DUMMYFUNCTION("""COMPUTED_VALUE"""),"Adarniya Kumkum prasad ji गायत्री उपासना से प्राण शक्ति का अभिवर्धन : Rare Book : Allocated on 09-May-23 Contact Number  7978055621")</f>
        <v>Adarniya Kumkum prasad ji गायत्री उपासना से प्राण शक्ति का अभिवर्धन : Rare Book : Allocated on 09-May-23 Contact Number  7978055621</v>
      </c>
      <c r="CH1002" s="1"/>
      <c r="CI1002" s="1"/>
    </row>
    <row r="1003" spans="1:87" x14ac:dyDescent="0.25">
      <c r="A1003" s="5">
        <f ca="1">IFERROR(__xludf.DUMMYFUNCTION("""COMPUTED_VALUE"""),45055.0977527083)</f>
        <v>45055.097752708301</v>
      </c>
      <c r="B1003" s="1" t="str">
        <f ca="1">IFERROR(__xludf.DUMMYFUNCTION("""COMPUTED_VALUE"""),"sanjayneha1@yahoo.com")</f>
        <v>sanjayneha1@yahoo.com</v>
      </c>
      <c r="C1003" s="1" t="str">
        <f ca="1">IFERROR(__xludf.DUMMYFUNCTION("""COMPUTED_VALUE"""),"Neha Manocha")</f>
        <v>Neha Manocha</v>
      </c>
      <c r="D1003" s="1">
        <f ca="1">IFERROR(__xludf.DUMMYFUNCTION("""COMPUTED_VALUE"""),16174130446)</f>
        <v>16174130446</v>
      </c>
      <c r="E1003" s="1" t="str">
        <f ca="1">IFERROR(__xludf.DUMMYFUNCTION("""COMPUTED_VALUE"""),"Yes")</f>
        <v>Yes</v>
      </c>
      <c r="F1003" s="1" t="str">
        <f ca="1">IFERROR(__xludf.DUMMYFUNCTION("""COMPUTED_VALUE"""),"हिन्दी or English")</f>
        <v>हिन्दी or English</v>
      </c>
      <c r="G1003" s="1" t="str">
        <f ca="1">IFERROR(__xludf.DUMMYFUNCTION("""COMPUTED_VALUE"""),"युग परिवर्तन-विचार क्रांति")</f>
        <v>युग परिवर्तन-विचार क्रांति</v>
      </c>
      <c r="H1003" s="1"/>
      <c r="I1003" s="1"/>
      <c r="J1003" s="1"/>
      <c r="K1003" s="1"/>
      <c r="L1003" s="1"/>
      <c r="M1003" s="1"/>
      <c r="N1003" s="1"/>
      <c r="O1003" s="1"/>
      <c r="P1003" s="1"/>
      <c r="Q1003" s="1" t="str">
        <f ca="1">IFERROR(__xludf.DUMMYFUNCTION("""COMPUTED_VALUE"""),"विचार क्रांति")</f>
        <v>विचार क्रांति</v>
      </c>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f ca="1">IFERROR(__xludf.DUMMYFUNCTION("""COMPUTED_VALUE"""),33)</f>
        <v>33</v>
      </c>
      <c r="BX1003" s="1">
        <f ca="1">IFERROR(__xludf.DUMMYFUNCTION("""COMPUTED_VALUE"""),40)</f>
        <v>40</v>
      </c>
      <c r="BY1003" s="1">
        <f ca="1">IFERROR(__xludf.DUMMYFUNCTION("""COMPUTED_VALUE"""),3)</f>
        <v>3</v>
      </c>
      <c r="BZ1003" s="1">
        <f ca="1">IFERROR(__xludf.DUMMYFUNCTION("""COMPUTED_VALUE"""),22)</f>
        <v>22</v>
      </c>
      <c r="CA1003" s="1" t="str">
        <f ca="1">IFERROR(__xludf.DUMMYFUNCTION("""COMPUTED_VALUE"""),"Yes")</f>
        <v>Yes</v>
      </c>
      <c r="CB1003" s="5">
        <f ca="1">IFERROR(__xludf.DUMMYFUNCTION("""COMPUTED_VALUE"""),45065.0977527083)</f>
        <v>45065.097752708301</v>
      </c>
      <c r="CC1003" s="1" t="str">
        <f ca="1">IFERROR(__xludf.DUMMYFUNCTION("""COMPUTED_VALUE"""),"Gayatri A Unique Solutions For Problems : EP_35")</f>
        <v>Gayatri A Unique Solutions For Problems : EP_35</v>
      </c>
      <c r="CD1003" s="3" t="str">
        <f ca="1">IFERROR(__xludf.DUMMYFUNCTION("""COMPUTED_VALUE"""),"https://vicharkrantibooks.org/productdetail?book_name=ENGPE035_GAYATRI_A_UNIQUE_SOLUTIONS_FOR_PROBLEMS_xxyyyy&amp;product_id=3428")</f>
        <v>https://vicharkrantibooks.org/productdetail?book_name=ENGPE035_GAYATRI_A_UNIQUE_SOLUTIONS_FOR_PROBLEMS_xxyyyy&amp;product_id=3428</v>
      </c>
      <c r="CE1003" s="1" t="str">
        <f ca="1">IFERROR(__xludf.DUMMYFUNCTION("""COMPUTED_VALUE"""),"Audiobook : Gayatri A Unique Solutions For Problems : EP_35 : sanjayneha1@yahoo.com : Recorded")</f>
        <v>Audiobook : Gayatri A Unique Solutions For Problems : EP_35 : sanjayneha1@yahoo.com : Recorded</v>
      </c>
      <c r="CF1003" s="1" t="str">
        <f ca="1">IFERROR(__xludf.DUMMYFUNCTION("""COMPUTED_VALUE"""),"Audiobook : Gayatri A Unique Solutions For Problems : EP_35 : sanjayneha1@yahoo.com : Recorded")</f>
        <v>Audiobook : Gayatri A Unique Solutions For Problems : EP_35 : sanjayneha1@yahoo.com : Recorded</v>
      </c>
      <c r="CG1003" s="1" t="str">
        <f ca="1">IFERROR(__xludf.DUMMYFUNCTION("""COMPUTED_VALUE"""),"Adarniya Neha Manocha ji Gayatri A Unique Solutions For Problems : EP_35 : Allocated on 09-May-23 Contact Number  16174130446")</f>
        <v>Adarniya Neha Manocha ji Gayatri A Unique Solutions For Problems : EP_35 : Allocated on 09-May-23 Contact Number  16174130446</v>
      </c>
      <c r="CH1003" s="1"/>
      <c r="CI1003" s="1"/>
    </row>
    <row r="1004" spans="1:87" x14ac:dyDescent="0.25">
      <c r="A1004" s="5">
        <f ca="1">IFERROR(__xludf.DUMMYFUNCTION("""COMPUTED_VALUE"""),45054.6818597916)</f>
        <v>45054.681859791599</v>
      </c>
      <c r="B1004" s="1" t="str">
        <f ca="1">IFERROR(__xludf.DUMMYFUNCTION("""COMPUTED_VALUE"""),"ca.pbhawana@gmail.com")</f>
        <v>ca.pbhawana@gmail.com</v>
      </c>
      <c r="C1004" s="1" t="str">
        <f ca="1">IFERROR(__xludf.DUMMYFUNCTION("""COMPUTED_VALUE"""),"Bhawana Sharma")</f>
        <v>Bhawana Sharma</v>
      </c>
      <c r="D1004" s="1">
        <f ca="1">IFERROR(__xludf.DUMMYFUNCTION("""COMPUTED_VALUE"""),8287235841)</f>
        <v>8287235841</v>
      </c>
      <c r="E1004" s="1" t="str">
        <f ca="1">IFERROR(__xludf.DUMMYFUNCTION("""COMPUTED_VALUE"""),"No")</f>
        <v>No</v>
      </c>
      <c r="F1004" s="1" t="str">
        <f ca="1">IFERROR(__xludf.DUMMYFUNCTION("""COMPUTED_VALUE"""),"हिन्दी or English")</f>
        <v>हिन्दी or English</v>
      </c>
      <c r="G1004" s="1" t="str">
        <f ca="1">IFERROR(__xludf.DUMMYFUNCTION("""COMPUTED_VALUE"""),"जीवन प्रबंध")</f>
        <v>जीवन प्रबंध</v>
      </c>
      <c r="H1004" s="1"/>
      <c r="I1004" s="1"/>
      <c r="J1004" s="1"/>
      <c r="K1004" s="1"/>
      <c r="L1004" s="1" t="str">
        <f ca="1">IFERROR(__xludf.DUMMYFUNCTION("""COMPUTED_VALUE"""),"मन की शक्ति एवं मनोविज्ञान")</f>
        <v>मन की शक्ति एवं मनोविज्ञान</v>
      </c>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f ca="1">IFERROR(__xludf.DUMMYFUNCTION("""COMPUTED_VALUE"""),2)</f>
        <v>2</v>
      </c>
      <c r="BX1004" s="1">
        <f ca="1">IFERROR(__xludf.DUMMYFUNCTION("""COMPUTED_VALUE"""),1)</f>
        <v>1</v>
      </c>
      <c r="BY1004" s="1">
        <f ca="1">IFERROR(__xludf.DUMMYFUNCTION("""COMPUTED_VALUE"""),1)</f>
        <v>1</v>
      </c>
      <c r="BZ1004" s="1">
        <f ca="1">IFERROR(__xludf.DUMMYFUNCTION("""COMPUTED_VALUE"""),1)</f>
        <v>1</v>
      </c>
      <c r="CA1004" s="1" t="str">
        <f ca="1">IFERROR(__xludf.DUMMYFUNCTION("""COMPUTED_VALUE"""),"Yes")</f>
        <v>Yes</v>
      </c>
      <c r="CB1004" s="5">
        <f ca="1">IFERROR(__xludf.DUMMYFUNCTION("""COMPUTED_VALUE"""),45064.6818597916)</f>
        <v>45064.681859791599</v>
      </c>
      <c r="CC1004" s="1" t="str">
        <f ca="1">IFERROR(__xludf.DUMMYFUNCTION("""COMPUTED_VALUE"""),"दुखों के कारण और उनके निवारण : Rare Book")</f>
        <v>दुखों के कारण और उनके निवारण : Rare Book</v>
      </c>
      <c r="CD1004" s="3" t="str">
        <f ca="1">IFERROR(__xludf.DUMMYFUNCTION("""COMPUTED_VALUE"""),"https://vicharkrantibooks.org/productdetail?book_name=HINP0259_DUKHON_KE_KARAN_AUR_UNAKE_NIVARAN_xx1978&amp;product_id=824")</f>
        <v>https://vicharkrantibooks.org/productdetail?book_name=HINP0259_DUKHON_KE_KARAN_AUR_UNAKE_NIVARAN_xx1978&amp;product_id=824</v>
      </c>
      <c r="CE1004" s="1" t="str">
        <f ca="1">IFERROR(__xludf.DUMMYFUNCTION("""COMPUTED_VALUE"""),"Audiobook : दुखों के कारण और उनके निवारण : Rare Book : ca.pbhawana@gmail.com : Recorded")</f>
        <v>Audiobook : दुखों के कारण और उनके निवारण : Rare Book : ca.pbhawana@gmail.com : Recorded</v>
      </c>
      <c r="CF1004" s="1" t="str">
        <f ca="1">IFERROR(__xludf.DUMMYFUNCTION("""COMPUTED_VALUE"""),"Audiobook : दुखों के कारण और उनके निवारण : Rare Book : ca.pbhawana@gmail.com : Recorded")</f>
        <v>Audiobook : दुखों के कारण और उनके निवारण : Rare Book : ca.pbhawana@gmail.com : Recorded</v>
      </c>
      <c r="CG1004" s="1" t="str">
        <f ca="1">IFERROR(__xludf.DUMMYFUNCTION("""COMPUTED_VALUE"""),"Adarniya Bhawana Sharma ji दुखों के कारण और उनके निवारण : Rare Book : Allocated on 08-May-23 Contact Number  8287235841")</f>
        <v>Adarniya Bhawana Sharma ji दुखों के कारण और उनके निवारण : Rare Book : Allocated on 08-May-23 Contact Number  8287235841</v>
      </c>
      <c r="CH1004" s="1"/>
      <c r="CI1004" s="1"/>
    </row>
    <row r="1005" spans="1:87" x14ac:dyDescent="0.25">
      <c r="A1005" s="5">
        <f ca="1">IFERROR(__xludf.DUMMYFUNCTION("""COMPUTED_VALUE"""),45054.6288633333)</f>
        <v>45054.628863333302</v>
      </c>
      <c r="B1005" s="1" t="str">
        <f ca="1">IFERROR(__xludf.DUMMYFUNCTION("""COMPUTED_VALUE"""),"brphodmba@gmail.com")</f>
        <v>brphodmba@gmail.com</v>
      </c>
      <c r="C1005" s="1" t="str">
        <f ca="1">IFERROR(__xludf.DUMMYFUNCTION("""COMPUTED_VALUE"""),"Dr.Baidyanath Ram Prajapati ")</f>
        <v xml:space="preserve">Dr.Baidyanath Ram Prajapati </v>
      </c>
      <c r="D1005" s="1">
        <f ca="1">IFERROR(__xludf.DUMMYFUNCTION("""COMPUTED_VALUE"""),9811724821)</f>
        <v>9811724821</v>
      </c>
      <c r="E1005" s="1" t="str">
        <f ca="1">IFERROR(__xludf.DUMMYFUNCTION("""COMPUTED_VALUE"""),"No")</f>
        <v>No</v>
      </c>
      <c r="F1005" s="1" t="str">
        <f ca="1">IFERROR(__xludf.DUMMYFUNCTION("""COMPUTED_VALUE"""),"हिन्दी")</f>
        <v>हिन्दी</v>
      </c>
      <c r="G1005" s="1" t="str">
        <f ca="1">IFERROR(__xludf.DUMMYFUNCTION("""COMPUTED_VALUE"""),"अध्यात्म, धर्म एवं दर्शन")</f>
        <v>अध्यात्म, धर्म एवं दर्शन</v>
      </c>
      <c r="H1005" s="1" t="str">
        <f ca="1">IFERROR(__xludf.DUMMYFUNCTION("""COMPUTED_VALUE"""),"अध्यात्म, धर्म एवं आस्तिकता")</f>
        <v>अध्यात्म, धर्म एवं आस्तिकता</v>
      </c>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f ca="1">IFERROR(__xludf.DUMMYFUNCTION("""COMPUTED_VALUE"""),12)</f>
        <v>12</v>
      </c>
      <c r="BX1005" s="1">
        <f ca="1">IFERROR(__xludf.DUMMYFUNCTION("""COMPUTED_VALUE"""),10)</f>
        <v>10</v>
      </c>
      <c r="BY1005" s="1">
        <f ca="1">IFERROR(__xludf.DUMMYFUNCTION("""COMPUTED_VALUE"""),4)</f>
        <v>4</v>
      </c>
      <c r="BZ1005" s="1">
        <f ca="1">IFERROR(__xludf.DUMMYFUNCTION("""COMPUTED_VALUE"""),0)</f>
        <v>0</v>
      </c>
      <c r="CA1005" s="1" t="str">
        <f ca="1">IFERROR(__xludf.DUMMYFUNCTION("""COMPUTED_VALUE"""),"Yes")</f>
        <v>Yes</v>
      </c>
      <c r="CB1005" s="5">
        <f ca="1">IFERROR(__xludf.DUMMYFUNCTION("""COMPUTED_VALUE"""),45064.6288633333)</f>
        <v>45064.628863333302</v>
      </c>
      <c r="CC1005" s="1" t="str">
        <f ca="1">IFERROR(__xludf.DUMMYFUNCTION("""COMPUTED_VALUE"""),"उपासना से अनिष्ट की आशंका न करें : Rare Book")</f>
        <v>उपासना से अनिष्ट की आशंका न करें : Rare Book</v>
      </c>
      <c r="CD1005" s="3" t="str">
        <f ca="1">IFERROR(__xludf.DUMMYFUNCTION("""COMPUTED_VALUE"""),"https://vicharkrantibooks.org/productdetail?book_name=HINP0928_UPASANA_SE_ANIST_KI_ASHANKA_NA_KAREN_xx1982&amp;product_id=1493")</f>
        <v>https://vicharkrantibooks.org/productdetail?book_name=HINP0928_UPASANA_SE_ANIST_KI_ASHANKA_NA_KAREN_xx1982&amp;product_id=1493</v>
      </c>
      <c r="CE1005" s="1" t="str">
        <f ca="1">IFERROR(__xludf.DUMMYFUNCTION("""COMPUTED_VALUE"""),"Audiobook : उपासना से अनिष्ट की आशंका न करें : Rare Book : brphodmba@gmail.com : Recorded")</f>
        <v>Audiobook : उपासना से अनिष्ट की आशंका न करें : Rare Book : brphodmba@gmail.com : Recorded</v>
      </c>
      <c r="CF1005" s="1" t="str">
        <f ca="1">IFERROR(__xludf.DUMMYFUNCTION("""COMPUTED_VALUE"""),"Audiobook : उपासना से अनिष्ट की आशंका न करें : Rare Book : brphodmba@gmail.com : Recorded")</f>
        <v>Audiobook : उपासना से अनिष्ट की आशंका न करें : Rare Book : brphodmba@gmail.com : Recorded</v>
      </c>
      <c r="CG1005" s="1" t="str">
        <f ca="1">IFERROR(__xludf.DUMMYFUNCTION("""COMPUTED_VALUE"""),"Adarniya Dr.Baidyanath Ram Prajapati  ji उपासना से अनिष्ट की आशंका न करें : Rare Book : Allocated on 08-May-23 Contact Number  9811724821")</f>
        <v>Adarniya Dr.Baidyanath Ram Prajapati  ji उपासना से अनिष्ट की आशंका न करें : Rare Book : Allocated on 08-May-23 Contact Number  9811724821</v>
      </c>
      <c r="CH1005" s="1"/>
      <c r="CI1005" s="1"/>
    </row>
    <row r="1006" spans="1:87" x14ac:dyDescent="0.25">
      <c r="A1006" s="5">
        <f ca="1">IFERROR(__xludf.DUMMYFUNCTION("""COMPUTED_VALUE"""),45054.5636053125)</f>
        <v>45054.563605312498</v>
      </c>
      <c r="B1006" s="1" t="str">
        <f ca="1">IFERROR(__xludf.DUMMYFUNCTION("""COMPUTED_VALUE"""),"druma4107@gmail.com")</f>
        <v>druma4107@gmail.com</v>
      </c>
      <c r="C1006" s="1" t="str">
        <f ca="1">IFERROR(__xludf.DUMMYFUNCTION("""COMPUTED_VALUE"""),"Dr Uma Agrawal")</f>
        <v>Dr Uma Agrawal</v>
      </c>
      <c r="D1006" s="1">
        <f ca="1">IFERROR(__xludf.DUMMYFUNCTION("""COMPUTED_VALUE"""),9410861182)</f>
        <v>9410861182</v>
      </c>
      <c r="E1006" s="1" t="str">
        <f ca="1">IFERROR(__xludf.DUMMYFUNCTION("""COMPUTED_VALUE"""),"Yes")</f>
        <v>Yes</v>
      </c>
      <c r="F1006" s="1" t="str">
        <f ca="1">IFERROR(__xludf.DUMMYFUNCTION("""COMPUTED_VALUE"""),"हिन्दी")</f>
        <v>हिन्दी</v>
      </c>
      <c r="G1006" s="1" t="str">
        <f ca="1">IFERROR(__xludf.DUMMYFUNCTION("""COMPUTED_VALUE"""),"समग्र स्वास्थ्य")</f>
        <v>समग्र स्वास्थ्य</v>
      </c>
      <c r="H1006" s="1"/>
      <c r="I1006" s="1"/>
      <c r="J1006" s="1"/>
      <c r="K1006" s="1"/>
      <c r="L1006" s="1"/>
      <c r="M1006" s="1"/>
      <c r="N1006" s="1"/>
      <c r="O1006" s="1"/>
      <c r="P1006" s="1"/>
      <c r="Q1006" s="1"/>
      <c r="R1006" s="1"/>
      <c r="S1006" s="1"/>
      <c r="T1006" s="1"/>
      <c r="U1006" s="1" t="str">
        <f ca="1">IFERROR(__xludf.DUMMYFUNCTION("""COMPUTED_VALUE"""),"मानसिक स्वास्थ्य")</f>
        <v>मानसिक स्वास्थ्य</v>
      </c>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f ca="1">IFERROR(__xludf.DUMMYFUNCTION("""COMPUTED_VALUE"""),104)</f>
        <v>104</v>
      </c>
      <c r="BX1006" s="1">
        <f ca="1">IFERROR(__xludf.DUMMYFUNCTION("""COMPUTED_VALUE"""),106)</f>
        <v>106</v>
      </c>
      <c r="BY1006" s="1">
        <f ca="1">IFERROR(__xludf.DUMMYFUNCTION("""COMPUTED_VALUE"""),9)</f>
        <v>9</v>
      </c>
      <c r="BZ1006" s="1">
        <f ca="1">IFERROR(__xludf.DUMMYFUNCTION("""COMPUTED_VALUE"""),43)</f>
        <v>43</v>
      </c>
      <c r="CA1006" s="1" t="str">
        <f ca="1">IFERROR(__xludf.DUMMYFUNCTION("""COMPUTED_VALUE"""),"Yes")</f>
        <v>Yes</v>
      </c>
      <c r="CB1006" s="5">
        <f ca="1">IFERROR(__xludf.DUMMYFUNCTION("""COMPUTED_VALUE"""),45064.5636053125)</f>
        <v>45064.563605312498</v>
      </c>
      <c r="CC1006" s="1" t="str">
        <f ca="1">IFERROR(__xludf.DUMMYFUNCTION("""COMPUTED_VALUE"""),"दीर्घ जीवन के रहस्य : Rare Book")</f>
        <v>दीर्घ जीवन के रहस्य : Rare Book</v>
      </c>
      <c r="CD1006" s="3" t="str">
        <f ca="1">IFERROR(__xludf.DUMMYFUNCTION("""COMPUTED_VALUE"""),"https://vicharkrantibooks.org/productdetail?book_name=HINP0252_DIRGH_JIVAN_KE_RAHASY_xx1978&amp;product_id=817")</f>
        <v>https://vicharkrantibooks.org/productdetail?book_name=HINP0252_DIRGH_JIVAN_KE_RAHASY_xx1978&amp;product_id=817</v>
      </c>
      <c r="CE1006" s="1" t="str">
        <f ca="1">IFERROR(__xludf.DUMMYFUNCTION("""COMPUTED_VALUE"""),"Audiobook : दीर्घ जीवन के रहस्य : Rare Book : druma4107@gmail.com : Recorded")</f>
        <v>Audiobook : दीर्घ जीवन के रहस्य : Rare Book : druma4107@gmail.com : Recorded</v>
      </c>
      <c r="CF1006" s="1" t="str">
        <f ca="1">IFERROR(__xludf.DUMMYFUNCTION("""COMPUTED_VALUE"""),"Audiobook : दीर्घ जीवन के रहस्य : Rare Book : druma4107@gmail.com : Recorded")</f>
        <v>Audiobook : दीर्घ जीवन के रहस्य : Rare Book : druma4107@gmail.com : Recorded</v>
      </c>
      <c r="CG1006" s="1" t="str">
        <f ca="1">IFERROR(__xludf.DUMMYFUNCTION("""COMPUTED_VALUE"""),"Adarniya Dr Uma Agrawal ji दीर्घ जीवन के रहस्य : Rare Book : Allocated on 08-May-23 Contact Number  9410861182")</f>
        <v>Adarniya Dr Uma Agrawal ji दीर्घ जीवन के रहस्य : Rare Book : Allocated on 08-May-23 Contact Number  9410861182</v>
      </c>
      <c r="CH1006" s="1"/>
      <c r="CI1006" s="1"/>
    </row>
    <row r="1007" spans="1:87" x14ac:dyDescent="0.25">
      <c r="A1007" s="5">
        <f ca="1">IFERROR(__xludf.DUMMYFUNCTION("""COMPUTED_VALUE"""),45053.8934053009)</f>
        <v>45053.8934053009</v>
      </c>
      <c r="B1007" s="1" t="str">
        <f ca="1">IFERROR(__xludf.DUMMYFUNCTION("""COMPUTED_VALUE"""),"spmittalmumbai@gmail.com")</f>
        <v>spmittalmumbai@gmail.com</v>
      </c>
      <c r="C1007" s="1" t="str">
        <f ca="1">IFERROR(__xludf.DUMMYFUNCTION("""COMPUTED_VALUE"""),"S P Mittal")</f>
        <v>S P Mittal</v>
      </c>
      <c r="D1007" s="1">
        <f ca="1">IFERROR(__xludf.DUMMYFUNCTION("""COMPUTED_VALUE"""),9860003407)</f>
        <v>9860003407</v>
      </c>
      <c r="E1007" s="1" t="str">
        <f ca="1">IFERROR(__xludf.DUMMYFUNCTION("""COMPUTED_VALUE"""),"Yes")</f>
        <v>Yes</v>
      </c>
      <c r="F1007" s="1" t="str">
        <f ca="1">IFERROR(__xludf.DUMMYFUNCTION("""COMPUTED_VALUE"""),"हिन्दी")</f>
        <v>हिन्दी</v>
      </c>
      <c r="G1007" s="1" t="str">
        <f ca="1">IFERROR(__xludf.DUMMYFUNCTION("""COMPUTED_VALUE"""),"अध्यात्म, धर्म एवं दर्शन")</f>
        <v>अध्यात्म, धर्म एवं दर्शन</v>
      </c>
      <c r="H1007" s="1" t="str">
        <f ca="1">IFERROR(__xludf.DUMMYFUNCTION("""COMPUTED_VALUE"""),"अध्यात्म, धर्म एवं आस्तिकता")</f>
        <v>अध्यात्म, धर्म एवं आस्तिकता</v>
      </c>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f ca="1">IFERROR(__xludf.DUMMYFUNCTION("""COMPUTED_VALUE"""),39)</f>
        <v>39</v>
      </c>
      <c r="BX1007" s="1">
        <f ca="1">IFERROR(__xludf.DUMMYFUNCTION("""COMPUTED_VALUE"""),32)</f>
        <v>32</v>
      </c>
      <c r="BY1007" s="1">
        <f ca="1">IFERROR(__xludf.DUMMYFUNCTION("""COMPUTED_VALUE"""),11)</f>
        <v>11</v>
      </c>
      <c r="BZ1007" s="1">
        <f ca="1">IFERROR(__xludf.DUMMYFUNCTION("""COMPUTED_VALUE"""),23)</f>
        <v>23</v>
      </c>
      <c r="CA1007" s="1" t="str">
        <f ca="1">IFERROR(__xludf.DUMMYFUNCTION("""COMPUTED_VALUE"""),"Yes")</f>
        <v>Yes</v>
      </c>
      <c r="CB1007" s="5">
        <f ca="1">IFERROR(__xludf.DUMMYFUNCTION("""COMPUTED_VALUE"""),45063.8934053009)</f>
        <v>45063.8934053009</v>
      </c>
      <c r="CC1007" s="1" t="str">
        <f ca="1">IFERROR(__xludf.DUMMYFUNCTION("""COMPUTED_VALUE"""),"तप और योग के मार्मिक पक्ष : H_JS_60")</f>
        <v>तप और योग के मार्मिक पक्ष : H_JS_60</v>
      </c>
      <c r="CD1007" s="3" t="str">
        <f ca="1">IFERROR(__xludf.DUMMYFUNCTION("""COMPUTED_VALUE"""),"https://vicharkrantibooks.org/productdetail?book_name=HINP0902_TAP_AUR_YOG_KE_MARMIK_PAKSH_xx2011&amp;product_id=1467")</f>
        <v>https://vicharkrantibooks.org/productdetail?book_name=HINP0902_TAP_AUR_YOG_KE_MARMIK_PAKSH_xx2011&amp;product_id=1467</v>
      </c>
      <c r="CE1007" s="1" t="str">
        <f ca="1">IFERROR(__xludf.DUMMYFUNCTION("""COMPUTED_VALUE"""),"Audiobook : तप और योग के मार्मिक पक्ष : H_JS_60 : spmittalmumbai@gmail.com : Recorded")</f>
        <v>Audiobook : तप और योग के मार्मिक पक्ष : H_JS_60 : spmittalmumbai@gmail.com : Recorded</v>
      </c>
      <c r="CF1007" s="1" t="str">
        <f ca="1">IFERROR(__xludf.DUMMYFUNCTION("""COMPUTED_VALUE"""),"Audiobook : तप और योग के मार्मिक पक्ष : H_JS_60 : spmittalmumbai@gmail.com : Recorded")</f>
        <v>Audiobook : तप और योग के मार्मिक पक्ष : H_JS_60 : spmittalmumbai@gmail.com : Recorded</v>
      </c>
      <c r="CG1007" s="1" t="str">
        <f ca="1">IFERROR(__xludf.DUMMYFUNCTION("""COMPUTED_VALUE"""),"Adarniya S P Mittal ji तप और योग के मार्मिक पक्ष : H_JS_60 : Allocated on 07-May-23 Contact Number  9860003407")</f>
        <v>Adarniya S P Mittal ji तप और योग के मार्मिक पक्ष : H_JS_60 : Allocated on 07-May-23 Contact Number  9860003407</v>
      </c>
      <c r="CH1007" s="1"/>
      <c r="CI1007" s="1"/>
    </row>
    <row r="1008" spans="1:87" x14ac:dyDescent="0.25">
      <c r="A1008" s="5">
        <f ca="1">IFERROR(__xludf.DUMMYFUNCTION("""COMPUTED_VALUE"""),45053.5243830092)</f>
        <v>45053.5243830092</v>
      </c>
      <c r="B1008" s="1" t="str">
        <f ca="1">IFERROR(__xludf.DUMMYFUNCTION("""COMPUTED_VALUE"""),"pragyapaliwal78@gmail.com")</f>
        <v>pragyapaliwal78@gmail.com</v>
      </c>
      <c r="C1008" s="1" t="str">
        <f ca="1">IFERROR(__xludf.DUMMYFUNCTION("""COMPUTED_VALUE"""),"Pragya Paliwal")</f>
        <v>Pragya Paliwal</v>
      </c>
      <c r="D1008" s="1">
        <f ca="1">IFERROR(__xludf.DUMMYFUNCTION("""COMPUTED_VALUE"""),8696296388)</f>
        <v>8696296388</v>
      </c>
      <c r="E1008" s="1" t="str">
        <f ca="1">IFERROR(__xludf.DUMMYFUNCTION("""COMPUTED_VALUE"""),"Yes")</f>
        <v>Yes</v>
      </c>
      <c r="F1008" s="1" t="str">
        <f ca="1">IFERROR(__xludf.DUMMYFUNCTION("""COMPUTED_VALUE"""),"हिन्दी")</f>
        <v>हिन्दी</v>
      </c>
      <c r="G1008" s="1" t="str">
        <f ca="1">IFERROR(__xludf.DUMMYFUNCTION("""COMPUTED_VALUE"""),"वैज्ञानिक अध्यात्मवाद का प्रतिपादन")</f>
        <v>वैज्ञानिक अध्यात्मवाद का प्रतिपादन</v>
      </c>
      <c r="H1008" s="1"/>
      <c r="I1008" s="1"/>
      <c r="J1008" s="1"/>
      <c r="K1008" s="1"/>
      <c r="L1008" s="1"/>
      <c r="M1008" s="1"/>
      <c r="N1008" s="1"/>
      <c r="O1008" s="1"/>
      <c r="P1008" s="1"/>
      <c r="Q1008" s="1"/>
      <c r="R1008" s="1"/>
      <c r="S1008" s="1" t="str">
        <f ca="1">IFERROR(__xludf.DUMMYFUNCTION("""COMPUTED_VALUE"""),"वैज्ञानिक अध्यात्मवाद का प्रतिपादन")</f>
        <v>वैज्ञानिक अध्यात्मवाद का प्रतिपादन</v>
      </c>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f ca="1">IFERROR(__xludf.DUMMYFUNCTION("""COMPUTED_VALUE"""),11)</f>
        <v>11</v>
      </c>
      <c r="BX1008" s="1">
        <f ca="1">IFERROR(__xludf.DUMMYFUNCTION("""COMPUTED_VALUE"""),3)</f>
        <v>3</v>
      </c>
      <c r="BY1008" s="1">
        <f ca="1">IFERROR(__xludf.DUMMYFUNCTION("""COMPUTED_VALUE"""),8)</f>
        <v>8</v>
      </c>
      <c r="BZ1008" s="1">
        <f ca="1">IFERROR(__xludf.DUMMYFUNCTION("""COMPUTED_VALUE"""),0)</f>
        <v>0</v>
      </c>
      <c r="CA1008" s="1" t="str">
        <f ca="1">IFERROR(__xludf.DUMMYFUNCTION("""COMPUTED_VALUE"""),"Yes")</f>
        <v>Yes</v>
      </c>
      <c r="CB1008" s="5">
        <f ca="1">IFERROR(__xludf.DUMMYFUNCTION("""COMPUTED_VALUE"""),45063.5243830092)</f>
        <v>45063.5243830092</v>
      </c>
      <c r="CC1008" s="1" t="str">
        <f ca="1">IFERROR(__xludf.DUMMYFUNCTION("""COMPUTED_VALUE"""),"शक्ति के स्त्रोत चौबीस अक्षर : Rare Book")</f>
        <v>शक्ति के स्त्रोत चौबीस अक्षर : Rare Book</v>
      </c>
      <c r="CD1008" s="3" t="str">
        <f ca="1">IFERROR(__xludf.DUMMYFUNCTION("""COMPUTED_VALUE"""),"https://vicharkrantibooks.org/productdetail?book_name=HINP0836_SHAKTI_KE_STROT_CHAUBIS_AKSHAR_xxyyyy&amp;product_id=1401")</f>
        <v>https://vicharkrantibooks.org/productdetail?book_name=HINP0836_SHAKTI_KE_STROT_CHAUBIS_AKSHAR_xxyyyy&amp;product_id=1401</v>
      </c>
      <c r="CE1008" s="1" t="str">
        <f ca="1">IFERROR(__xludf.DUMMYFUNCTION("""COMPUTED_VALUE"""),"Audiobook : शक्ति के स्त्रोत चौबीस अक्षर : Rare Book : pragyapaliwal78@gmail.com : Recorded")</f>
        <v>Audiobook : शक्ति के स्त्रोत चौबीस अक्षर : Rare Book : pragyapaliwal78@gmail.com : Recorded</v>
      </c>
      <c r="CF1008" s="1" t="str">
        <f ca="1">IFERROR(__xludf.DUMMYFUNCTION("""COMPUTED_VALUE"""),"Audiobook : शक्ति के स्त्रोत चौबीस अक्षर : Rare Book : Pragyapaliwal78@gmail.com : Recorded")</f>
        <v>Audiobook : शक्ति के स्त्रोत चौबीस अक्षर : Rare Book : Pragyapaliwal78@gmail.com : Recorded</v>
      </c>
      <c r="CG1008" s="1" t="str">
        <f ca="1">IFERROR(__xludf.DUMMYFUNCTION("""COMPUTED_VALUE"""),"Adarniya Pragya Paliwal ji शक्ति के स्त्रोत चौबीस अक्षर : Rare Book : Allocated on 07-May-23 Contact Number  8696296388")</f>
        <v>Adarniya Pragya Paliwal ji शक्ति के स्त्रोत चौबीस अक्षर : Rare Book : Allocated on 07-May-23 Contact Number  8696296388</v>
      </c>
      <c r="CH1008" s="1"/>
      <c r="CI1008" s="1"/>
    </row>
    <row r="1009" spans="1:87" x14ac:dyDescent="0.25">
      <c r="A1009" s="5">
        <f ca="1">IFERROR(__xludf.DUMMYFUNCTION("""COMPUTED_VALUE"""),45053.0179754976)</f>
        <v>45053.017975497598</v>
      </c>
      <c r="B1009" s="1" t="str">
        <f ca="1">IFERROR(__xludf.DUMMYFUNCTION("""COMPUTED_VALUE"""),"shankar.ram290170@gmail.com")</f>
        <v>shankar.ram290170@gmail.com</v>
      </c>
      <c r="C1009" s="1" t="str">
        <f ca="1">IFERROR(__xludf.DUMMYFUNCTION("""COMPUTED_VALUE"""),"Ram Shankar Virlley ")</f>
        <v xml:space="preserve">Ram Shankar Virlley </v>
      </c>
      <c r="D1009" s="1" t="str">
        <f ca="1">IFERROR(__xludf.DUMMYFUNCTION("""COMPUTED_VALUE"""),"09412468049")</f>
        <v>09412468049</v>
      </c>
      <c r="E1009" s="1" t="str">
        <f ca="1">IFERROR(__xludf.DUMMYFUNCTION("""COMPUTED_VALUE"""),"No")</f>
        <v>No</v>
      </c>
      <c r="F1009" s="1" t="str">
        <f ca="1">IFERROR(__xludf.DUMMYFUNCTION("""COMPUTED_VALUE"""),"हिन्दी")</f>
        <v>हिन्दी</v>
      </c>
      <c r="G1009" s="1" t="str">
        <f ca="1">IFERROR(__xludf.DUMMYFUNCTION("""COMPUTED_VALUE"""),"व्यक्ति निर्माण, युवा/विद्यार्थी एवं शिक्षक")</f>
        <v>व्यक्ति निर्माण, युवा/विद्यार्थी एवं शिक्षक</v>
      </c>
      <c r="H1009" s="1"/>
      <c r="I1009" s="1"/>
      <c r="J1009" s="1"/>
      <c r="K1009" s="1"/>
      <c r="L1009" s="1"/>
      <c r="M1009" s="1"/>
      <c r="N1009" s="1"/>
      <c r="O1009" s="1"/>
      <c r="P1009" s="1"/>
      <c r="Q1009" s="1"/>
      <c r="R1009" s="1"/>
      <c r="S1009" s="1"/>
      <c r="T1009" s="1" t="str">
        <f ca="1">IFERROR(__xludf.DUMMYFUNCTION("""COMPUTED_VALUE"""),"विद्यार्थी एवं शिक्षक")</f>
        <v>विद्यार्थी एवं शिक्षक</v>
      </c>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f ca="1">IFERROR(__xludf.DUMMYFUNCTION("""COMPUTED_VALUE"""),2)</f>
        <v>2</v>
      </c>
      <c r="BX1009" s="1">
        <f ca="1">IFERROR(__xludf.DUMMYFUNCTION("""COMPUTED_VALUE"""),0)</f>
        <v>0</v>
      </c>
      <c r="BY1009" s="1">
        <f ca="1">IFERROR(__xludf.DUMMYFUNCTION("""COMPUTED_VALUE"""),2)</f>
        <v>2</v>
      </c>
      <c r="BZ1009" s="1">
        <f ca="1">IFERROR(__xludf.DUMMYFUNCTION("""COMPUTED_VALUE"""),0)</f>
        <v>0</v>
      </c>
      <c r="CA1009" s="1" t="str">
        <f ca="1">IFERROR(__xludf.DUMMYFUNCTION("""COMPUTED_VALUE"""),"Yes")</f>
        <v>Yes</v>
      </c>
      <c r="CB1009" s="5">
        <f ca="1">IFERROR(__xludf.DUMMYFUNCTION("""COMPUTED_VALUE"""),45063.0179754976)</f>
        <v>45063.017975497598</v>
      </c>
      <c r="CC1009" s="1" t="str">
        <f ca="1">IFERROR(__xludf.DUMMYFUNCTION("""COMPUTED_VALUE"""),"आत्महत्या क्यों? : H_PP_09")</f>
        <v>आत्महत्या क्यों? : H_PP_09</v>
      </c>
      <c r="CD1009" s="3" t="str">
        <f ca="1">IFERROR(__xludf.DUMMYFUNCTION("""COMPUTED_VALUE"""),"https://vicharkrantibooks.org/productdetail?book_name=HINP0094_ATMAHATYA_KYON_xxyyyy&amp;product_id=659")</f>
        <v>https://vicharkrantibooks.org/productdetail?book_name=HINP0094_ATMAHATYA_KYON_xxyyyy&amp;product_id=659</v>
      </c>
      <c r="CE1009" s="1" t="str">
        <f ca="1">IFERROR(__xludf.DUMMYFUNCTION("""COMPUTED_VALUE"""),"Audiobook : आत्महत्या क्यों? : H_PP_09 : shankar.ram290170@gmail.com : Recorded")</f>
        <v>Audiobook : आत्महत्या क्यों? : H_PP_09 : shankar.ram290170@gmail.com : Recorded</v>
      </c>
      <c r="CF1009" s="1" t="str">
        <f ca="1">IFERROR(__xludf.DUMMYFUNCTION("""COMPUTED_VALUE"""),"#N/A")</f>
        <v>#N/A</v>
      </c>
      <c r="CG1009" s="1" t="str">
        <f ca="1">IFERROR(__xludf.DUMMYFUNCTION("""COMPUTED_VALUE"""),"Adarniya Ram Shankar Virlley  ji आत्महत्या क्यों? : H_PP_09 : Allocated on 07-May-23 Contact Number  09412468049")</f>
        <v>Adarniya Ram Shankar Virlley  ji आत्महत्या क्यों? : H_PP_09 : Allocated on 07-May-23 Contact Number  09412468049</v>
      </c>
      <c r="CH1009" s="1"/>
      <c r="CI1009" s="1"/>
    </row>
    <row r="1010" spans="1:87" x14ac:dyDescent="0.25">
      <c r="A1010" s="5">
        <f ca="1">IFERROR(__xludf.DUMMYFUNCTION("""COMPUTED_VALUE"""),45052.8481117824)</f>
        <v>45052.848111782398</v>
      </c>
      <c r="B1010" s="1" t="str">
        <f ca="1">IFERROR(__xludf.DUMMYFUNCTION("""COMPUTED_VALUE"""),"nsparmar_15_04@yahoo.com")</f>
        <v>nsparmar_15_04@yahoo.com</v>
      </c>
      <c r="C1010" s="1" t="str">
        <f ca="1">IFERROR(__xludf.DUMMYFUNCTION("""COMPUTED_VALUE"""),"Neeta Parmar ")</f>
        <v xml:space="preserve">Neeta Parmar </v>
      </c>
      <c r="D1010" s="1" t="str">
        <f ca="1">IFERROR(__xludf.DUMMYFUNCTION("""COMPUTED_VALUE"""),"1-416-558-4338")</f>
        <v>1-416-558-4338</v>
      </c>
      <c r="E1010" s="1" t="str">
        <f ca="1">IFERROR(__xludf.DUMMYFUNCTION("""COMPUTED_VALUE"""),"No")</f>
        <v>No</v>
      </c>
      <c r="F1010" s="1" t="str">
        <f ca="1">IFERROR(__xludf.DUMMYFUNCTION("""COMPUTED_VALUE"""),"हिन्दी")</f>
        <v>हिन्दी</v>
      </c>
      <c r="G1010" s="1" t="str">
        <f ca="1">IFERROR(__xludf.DUMMYFUNCTION("""COMPUTED_VALUE"""),"समग्र स्वास्थ्य")</f>
        <v>समग्र स्वास्थ्य</v>
      </c>
      <c r="H1010" s="1"/>
      <c r="I1010" s="1"/>
      <c r="J1010" s="1"/>
      <c r="K1010" s="1"/>
      <c r="L1010" s="1"/>
      <c r="M1010" s="1"/>
      <c r="N1010" s="1"/>
      <c r="O1010" s="1"/>
      <c r="P1010" s="1"/>
      <c r="Q1010" s="1"/>
      <c r="R1010" s="1"/>
      <c r="S1010" s="1"/>
      <c r="T1010" s="1"/>
      <c r="U1010" s="1" t="str">
        <f ca="1">IFERROR(__xludf.DUMMYFUNCTION("""COMPUTED_VALUE"""),"स्वास्थ्य संवर्धन")</f>
        <v>स्वास्थ्य संवर्धन</v>
      </c>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f ca="1">IFERROR(__xludf.DUMMYFUNCTION("""COMPUTED_VALUE"""),3)</f>
        <v>3</v>
      </c>
      <c r="BX1010" s="1">
        <f ca="1">IFERROR(__xludf.DUMMYFUNCTION("""COMPUTED_VALUE"""),2)</f>
        <v>2</v>
      </c>
      <c r="BY1010" s="1">
        <f ca="1">IFERROR(__xludf.DUMMYFUNCTION("""COMPUTED_VALUE"""),1)</f>
        <v>1</v>
      </c>
      <c r="BZ1010" s="1">
        <f ca="1">IFERROR(__xludf.DUMMYFUNCTION("""COMPUTED_VALUE"""),1)</f>
        <v>1</v>
      </c>
      <c r="CA1010" s="1" t="str">
        <f ca="1">IFERROR(__xludf.DUMMYFUNCTION("""COMPUTED_VALUE"""),"Yes")</f>
        <v>Yes</v>
      </c>
      <c r="CB1010" s="5">
        <f ca="1">IFERROR(__xludf.DUMMYFUNCTION("""COMPUTED_VALUE"""),45062.8481117824)</f>
        <v>45062.848111782398</v>
      </c>
      <c r="CC1010" s="1" t="str">
        <f ca="1">IFERROR(__xludf.DUMMYFUNCTION("""COMPUTED_VALUE"""),"दिव्य जड़ी बूटियों में अपार शक्ति : Rare Book")</f>
        <v>दिव्य जड़ी बूटियों में अपार शक्ति : Rare Book</v>
      </c>
      <c r="CD1010" s="3" t="str">
        <f ca="1">IFERROR(__xludf.DUMMYFUNCTION("""COMPUTED_VALUE"""),"https://vicharkrantibooks.org/productdetail?book_name=HINP0254_DIVY_JADI_BUTIYON_MEIN_APAR_SHAKTI_xxyyyy&amp;product_id=819")</f>
        <v>https://vicharkrantibooks.org/productdetail?book_name=HINP0254_DIVY_JADI_BUTIYON_MEIN_APAR_SHAKTI_xxyyyy&amp;product_id=819</v>
      </c>
      <c r="CE1010" s="1" t="str">
        <f ca="1">IFERROR(__xludf.DUMMYFUNCTION("""COMPUTED_VALUE"""),"Audiobook : दिव्य जड़ी बूटियों में अपार शक्ति : Rare Book : nsparmar_15_04@yahoo.com : Recorded")</f>
        <v>Audiobook : दिव्य जड़ी बूटियों में अपार शक्ति : Rare Book : nsparmar_15_04@yahoo.com : Recorded</v>
      </c>
      <c r="CF1010" s="1" t="str">
        <f ca="1">IFERROR(__xludf.DUMMYFUNCTION("""COMPUTED_VALUE"""),"Audiobook : दिव्य जड़ी बूटियों में अपार शक्ति : Rare Book : nsparmar_15_04@yahoo.com : Recorded")</f>
        <v>Audiobook : दिव्य जड़ी बूटियों में अपार शक्ति : Rare Book : nsparmar_15_04@yahoo.com : Recorded</v>
      </c>
      <c r="CG1010" s="1" t="str">
        <f ca="1">IFERROR(__xludf.DUMMYFUNCTION("""COMPUTED_VALUE"""),"Adarniya Neeta Parmar  ji दिव्य जड़ी बूटियों में अपार शक्ति : Rare Book : Allocated on 06-May-23 Contact Number  1-416-558-4338")</f>
        <v>Adarniya Neeta Parmar  ji दिव्य जड़ी बूटियों में अपार शक्ति : Rare Book : Allocated on 06-May-23 Contact Number  1-416-558-4338</v>
      </c>
      <c r="CH1010" s="1"/>
      <c r="CI1010" s="1"/>
    </row>
    <row r="1011" spans="1:87" x14ac:dyDescent="0.25">
      <c r="A1011" s="5">
        <f ca="1">IFERROR(__xludf.DUMMYFUNCTION("""COMPUTED_VALUE"""),45051.8911312615)</f>
        <v>45051.891131261502</v>
      </c>
      <c r="B1011" s="1" t="str">
        <f ca="1">IFERROR(__xludf.DUMMYFUNCTION("""COMPUTED_VALUE"""),"jamunashukla17@gmail.com")</f>
        <v>jamunashukla17@gmail.com</v>
      </c>
      <c r="C1011" s="1" t="str">
        <f ca="1">IFERROR(__xludf.DUMMYFUNCTION("""COMPUTED_VALUE"""),"mrs J S Shukla ")</f>
        <v xml:space="preserve">mrs J S Shukla </v>
      </c>
      <c r="D1011" s="1">
        <f ca="1">IFERROR(__xludf.DUMMYFUNCTION("""COMPUTED_VALUE"""),8390353167)</f>
        <v>8390353167</v>
      </c>
      <c r="E1011" s="1" t="str">
        <f ca="1">IFERROR(__xludf.DUMMYFUNCTION("""COMPUTED_VALUE"""),"Yes")</f>
        <v>Yes</v>
      </c>
      <c r="F1011" s="1" t="str">
        <f ca="1">IFERROR(__xludf.DUMMYFUNCTION("""COMPUTED_VALUE"""),"हिन्दी")</f>
        <v>हिन्दी</v>
      </c>
      <c r="G1011" s="1" t="str">
        <f ca="1">IFERROR(__xludf.DUMMYFUNCTION("""COMPUTED_VALUE"""),"युग परिवर्तन-विचार क्रांति")</f>
        <v>युग परिवर्तन-विचार क्रांति</v>
      </c>
      <c r="H1011" s="1"/>
      <c r="I1011" s="1"/>
      <c r="J1011" s="1"/>
      <c r="K1011" s="1"/>
      <c r="L1011" s="1"/>
      <c r="M1011" s="1"/>
      <c r="N1011" s="1"/>
      <c r="O1011" s="1"/>
      <c r="P1011" s="1"/>
      <c r="Q1011" s="1" t="str">
        <f ca="1">IFERROR(__xludf.DUMMYFUNCTION("""COMPUTED_VALUE"""),"विचार क्रांति")</f>
        <v>विचार क्रांति</v>
      </c>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f ca="1">IFERROR(__xludf.DUMMYFUNCTION("""COMPUTED_VALUE"""),53)</f>
        <v>53</v>
      </c>
      <c r="BX1011" s="1">
        <f ca="1">IFERROR(__xludf.DUMMYFUNCTION("""COMPUTED_VALUE"""),53)</f>
        <v>53</v>
      </c>
      <c r="BY1011" s="1">
        <f ca="1">IFERROR(__xludf.DUMMYFUNCTION("""COMPUTED_VALUE"""),9)</f>
        <v>9</v>
      </c>
      <c r="BZ1011" s="1">
        <f ca="1">IFERROR(__xludf.DUMMYFUNCTION("""COMPUTED_VALUE"""),25)</f>
        <v>25</v>
      </c>
      <c r="CA1011" s="1" t="str">
        <f ca="1">IFERROR(__xludf.DUMMYFUNCTION("""COMPUTED_VALUE"""),"Yes")</f>
        <v>Yes</v>
      </c>
      <c r="CB1011" s="5">
        <f ca="1">IFERROR(__xludf.DUMMYFUNCTION("""COMPUTED_VALUE"""),45061.8911312615)</f>
        <v>45061.891131261502</v>
      </c>
      <c r="CC1011" s="1" t="str">
        <f ca="1">IFERROR(__xludf.DUMMYFUNCTION("""COMPUTED_VALUE"""),"विचार बदलें तो युग बदलें : H_PP_07")</f>
        <v>विचार बदलें तो युग बदलें : H_PP_07</v>
      </c>
      <c r="CD1011" s="3" t="str">
        <f ca="1">IFERROR(__xludf.DUMMYFUNCTION("""COMPUTED_VALUE"""),"https://vicharkrantibooks.org/productdetail?book_name=HINP0957_VICHAR_BADALEN_TO_YUG_BADALEN_xxyyyy&amp;product_id=1522")</f>
        <v>https://vicharkrantibooks.org/productdetail?book_name=HINP0957_VICHAR_BADALEN_TO_YUG_BADALEN_xxyyyy&amp;product_id=1522</v>
      </c>
      <c r="CE1011" s="1" t="str">
        <f ca="1">IFERROR(__xludf.DUMMYFUNCTION("""COMPUTED_VALUE"""),"Audiobook : विचार बदलें तो युग बदलें : H_PP_07 : jamunashukla17@gmail.com : Recorded")</f>
        <v>Audiobook : विचार बदलें तो युग बदलें : H_PP_07 : jamunashukla17@gmail.com : Recorded</v>
      </c>
      <c r="CF1011" s="1" t="str">
        <f ca="1">IFERROR(__xludf.DUMMYFUNCTION("""COMPUTED_VALUE"""),"Audiobook : विचार बदलें तो युग बदलें : H_PP_07 : jamunashukla17@gmail.com : Recorded")</f>
        <v>Audiobook : विचार बदलें तो युग बदलें : H_PP_07 : jamunashukla17@gmail.com : Recorded</v>
      </c>
      <c r="CG1011" s="1" t="str">
        <f ca="1">IFERROR(__xludf.DUMMYFUNCTION("""COMPUTED_VALUE"""),"Adarniya mrs J S Shukla  ji विचार बदलें तो युग बदलें : H_PP_07 : Allocated on 05-May-23 Contact Number  8390353167")</f>
        <v>Adarniya mrs J S Shukla  ji विचार बदलें तो युग बदलें : H_PP_07 : Allocated on 05-May-23 Contact Number  8390353167</v>
      </c>
      <c r="CH1011" s="1"/>
      <c r="CI1011" s="1"/>
    </row>
    <row r="1012" spans="1:87" x14ac:dyDescent="0.25">
      <c r="A1012" s="5">
        <f ca="1">IFERROR(__xludf.DUMMYFUNCTION("""COMPUTED_VALUE"""),45051.7954811805)</f>
        <v>45051.795481180503</v>
      </c>
      <c r="B1012" s="1" t="str">
        <f ca="1">IFERROR(__xludf.DUMMYFUNCTION("""COMPUTED_VALUE"""),"pinalk393@gmail.com")</f>
        <v>pinalk393@gmail.com</v>
      </c>
      <c r="C1012" s="1" t="str">
        <f ca="1">IFERROR(__xludf.DUMMYFUNCTION("""COMPUTED_VALUE"""),"Pinal Patel")</f>
        <v>Pinal Patel</v>
      </c>
      <c r="D1012" s="1">
        <f ca="1">IFERROR(__xludf.DUMMYFUNCTION("""COMPUTED_VALUE"""),5194947970)</f>
        <v>5194947970</v>
      </c>
      <c r="E1012" s="1" t="str">
        <f ca="1">IFERROR(__xludf.DUMMYFUNCTION("""COMPUTED_VALUE"""),"No")</f>
        <v>No</v>
      </c>
      <c r="F1012" s="1" t="str">
        <f ca="1">IFERROR(__xludf.DUMMYFUNCTION("""COMPUTED_VALUE"""),"हिन्दी")</f>
        <v>हिन्दी</v>
      </c>
      <c r="G1012" s="1" t="str">
        <f ca="1">IFERROR(__xludf.DUMMYFUNCTION("""COMPUTED_VALUE"""),"जीवन प्रबंध")</f>
        <v>जीवन प्रबंध</v>
      </c>
      <c r="H1012" s="1"/>
      <c r="I1012" s="1"/>
      <c r="J1012" s="1"/>
      <c r="K1012" s="1"/>
      <c r="L1012" s="1" t="str">
        <f ca="1">IFERROR(__xludf.DUMMYFUNCTION("""COMPUTED_VALUE"""),"सफल, संतुष्ट एवं सुखी जीवन")</f>
        <v>सफल, संतुष्ट एवं सुखी जीवन</v>
      </c>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f ca="1">IFERROR(__xludf.DUMMYFUNCTION("""COMPUTED_VALUE"""),1)</f>
        <v>1</v>
      </c>
      <c r="BX1012" s="1">
        <f ca="1">IFERROR(__xludf.DUMMYFUNCTION("""COMPUTED_VALUE"""),1)</f>
        <v>1</v>
      </c>
      <c r="BY1012" s="1">
        <f ca="1">IFERROR(__xludf.DUMMYFUNCTION("""COMPUTED_VALUE"""),0)</f>
        <v>0</v>
      </c>
      <c r="BZ1012" s="1">
        <f ca="1">IFERROR(__xludf.DUMMYFUNCTION("""COMPUTED_VALUE"""),0)</f>
        <v>0</v>
      </c>
      <c r="CA1012" s="1" t="str">
        <f ca="1">IFERROR(__xludf.DUMMYFUNCTION("""COMPUTED_VALUE"""),"Yes")</f>
        <v>Yes</v>
      </c>
      <c r="CB1012" s="5">
        <f ca="1">IFERROR(__xludf.DUMMYFUNCTION("""COMPUTED_VALUE"""),45061.7954811805)</f>
        <v>45061.795481180503</v>
      </c>
      <c r="CC1012" s="1" t="str">
        <f ca="1">IFERROR(__xludf.DUMMYFUNCTION("""COMPUTED_VALUE"""),"ज्योतिकण : H_SC_15")</f>
        <v>ज्योतिकण : H_SC_15</v>
      </c>
      <c r="CD1012" s="3" t="str">
        <f ca="1">IFERROR(__xludf.DUMMYFUNCTION("""COMPUTED_VALUE"""),"https://vicharkrantibooks.org/productdetail?book_name=HINP0406_JYOTIKAN_xxyyyy&amp;product_id=971")</f>
        <v>https://vicharkrantibooks.org/productdetail?book_name=HINP0406_JYOTIKAN_xxyyyy&amp;product_id=971</v>
      </c>
      <c r="CE1012" s="1" t="str">
        <f ca="1">IFERROR(__xludf.DUMMYFUNCTION("""COMPUTED_VALUE"""),"Audiobook : ज्योतिकण : H_SC_15 : pinalk393@gmail.com : Recorded")</f>
        <v>Audiobook : ज्योतिकण : H_SC_15 : pinalk393@gmail.com : Recorded</v>
      </c>
      <c r="CF1012" s="1" t="str">
        <f ca="1">IFERROR(__xludf.DUMMYFUNCTION("""COMPUTED_VALUE"""),"Audiobook : ज्योतिकण : H_SC_15 : pinalk393@gmail.com : Recorded")</f>
        <v>Audiobook : ज्योतिकण : H_SC_15 : pinalk393@gmail.com : Recorded</v>
      </c>
      <c r="CG1012" s="1" t="str">
        <f ca="1">IFERROR(__xludf.DUMMYFUNCTION("""COMPUTED_VALUE"""),"Adarniya Pinal Patel ji ज्योतिकण : H_SC_15 : Allocated on 05-May-23 Contact Number  5194947970")</f>
        <v>Adarniya Pinal Patel ji ज्योतिकण : H_SC_15 : Allocated on 05-May-23 Contact Number  5194947970</v>
      </c>
      <c r="CH1012" s="1"/>
      <c r="CI1012" s="1"/>
    </row>
    <row r="1013" spans="1:87" x14ac:dyDescent="0.25">
      <c r="A1013" s="5">
        <f ca="1">IFERROR(__xludf.DUMMYFUNCTION("""COMPUTED_VALUE"""),45047.9202883912)</f>
        <v>45047.9202883912</v>
      </c>
      <c r="B1013" s="1" t="str">
        <f ca="1">IFERROR(__xludf.DUMMYFUNCTION("""COMPUTED_VALUE"""),"spmittalmumbai@gmail.com")</f>
        <v>spmittalmumbai@gmail.com</v>
      </c>
      <c r="C1013" s="1" t="str">
        <f ca="1">IFERROR(__xludf.DUMMYFUNCTION("""COMPUTED_VALUE"""),"SPMittal90035")</f>
        <v>SPMittal90035</v>
      </c>
      <c r="D1013" s="1">
        <f ca="1">IFERROR(__xludf.DUMMYFUNCTION("""COMPUTED_VALUE"""),9860003407)</f>
        <v>9860003407</v>
      </c>
      <c r="E1013" s="1" t="str">
        <f ca="1">IFERROR(__xludf.DUMMYFUNCTION("""COMPUTED_VALUE"""),"Yes")</f>
        <v>Yes</v>
      </c>
      <c r="F1013" s="1" t="str">
        <f ca="1">IFERROR(__xludf.DUMMYFUNCTION("""COMPUTED_VALUE"""),"हिन्दी")</f>
        <v>हिन्दी</v>
      </c>
      <c r="G1013" s="1" t="str">
        <f ca="1">IFERROR(__xludf.DUMMYFUNCTION("""COMPUTED_VALUE"""),"भारतीय संस्कृति")</f>
        <v>भारतीय संस्कृति</v>
      </c>
      <c r="H1013" s="1"/>
      <c r="I1013" s="1"/>
      <c r="J1013" s="1"/>
      <c r="K1013" s="1"/>
      <c r="L1013" s="1"/>
      <c r="M1013" s="1"/>
      <c r="N1013" s="1"/>
      <c r="O1013" s="1" t="str">
        <f ca="1">IFERROR(__xludf.DUMMYFUNCTION("""COMPUTED_VALUE"""),"योग एवं ध्यान")</f>
        <v>योग एवं ध्यान</v>
      </c>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f ca="1">IFERROR(__xludf.DUMMYFUNCTION("""COMPUTED_VALUE"""),39)</f>
        <v>39</v>
      </c>
      <c r="BX1013" s="1">
        <f ca="1">IFERROR(__xludf.DUMMYFUNCTION("""COMPUTED_VALUE"""),32)</f>
        <v>32</v>
      </c>
      <c r="BY1013" s="1">
        <f ca="1">IFERROR(__xludf.DUMMYFUNCTION("""COMPUTED_VALUE"""),11)</f>
        <v>11</v>
      </c>
      <c r="BZ1013" s="1">
        <f ca="1">IFERROR(__xludf.DUMMYFUNCTION("""COMPUTED_VALUE"""),23)</f>
        <v>23</v>
      </c>
      <c r="CA1013" s="1" t="str">
        <f ca="1">IFERROR(__xludf.DUMMYFUNCTION("""COMPUTED_VALUE"""),"Yes")</f>
        <v>Yes</v>
      </c>
      <c r="CB1013" s="5">
        <f ca="1">IFERROR(__xludf.DUMMYFUNCTION("""COMPUTED_VALUE"""),45057.9202883912)</f>
        <v>45057.9202883912</v>
      </c>
      <c r="CC1013" s="1" t="str">
        <f ca="1">IFERROR(__xludf.DUMMYFUNCTION("""COMPUTED_VALUE"""),"सद्‌ज्ञान का प्रसार प्रचार ही सच्ची ईश्वराधना : H_JS_28")</f>
        <v>सद्‌ज्ञान का प्रसार प्रचार ही सच्ची ईश्वराधना : H_JS_28</v>
      </c>
      <c r="CD1013" s="3" t="str">
        <f ca="1">IFERROR(__xludf.DUMMYFUNCTION("""COMPUTED_VALUE"""),"https://vicharkrantibooks.org/productdetail?book_name=HINP0736_SADGYAN_KA_PRASAR_PRACHAR_HI_SACHCHI_ISHWARADHANA_xx1981&amp;product_id=1301")</f>
        <v>https://vicharkrantibooks.org/productdetail?book_name=HINP0736_SADGYAN_KA_PRASAR_PRACHAR_HI_SACHCHI_ISHWARADHANA_xx1981&amp;product_id=1301</v>
      </c>
      <c r="CE1013" s="1" t="str">
        <f ca="1">IFERROR(__xludf.DUMMYFUNCTION("""COMPUTED_VALUE"""),"Audiobook : सद्‌ज्ञान का प्रसार प्रचार ही सच्ची ईश्वराधना : H_JS_28 : spmittalmumbai@gmail.com : Recorded")</f>
        <v>Audiobook : सद्‌ज्ञान का प्रसार प्रचार ही सच्ची ईश्वराधना : H_JS_28 : spmittalmumbai@gmail.com : Recorded</v>
      </c>
      <c r="CF1013" s="1" t="str">
        <f ca="1">IFERROR(__xludf.DUMMYFUNCTION("""COMPUTED_VALUE"""),"#N/A")</f>
        <v>#N/A</v>
      </c>
      <c r="CG1013" s="1" t="str">
        <f ca="1">IFERROR(__xludf.DUMMYFUNCTION("""COMPUTED_VALUE"""),"Adarniya SPMittal90035 ji सद्‌ज्ञान का प्रसार प्रचार ही सच्ची ईश्वराधना : H_JS_28 : Allocated on 01-May-23 Contact Number  9860003407")</f>
        <v>Adarniya SPMittal90035 ji सद्‌ज्ञान का प्रसार प्रचार ही सच्ची ईश्वराधना : H_JS_28 : Allocated on 01-May-23 Contact Number  9860003407</v>
      </c>
      <c r="CH1013" s="1"/>
      <c r="CI1013" s="1"/>
    </row>
    <row r="1014" spans="1:87" x14ac:dyDescent="0.25">
      <c r="A1014" s="5">
        <f ca="1">IFERROR(__xludf.DUMMYFUNCTION("""COMPUTED_VALUE"""),45047.6688601851)</f>
        <v>45047.668860185098</v>
      </c>
      <c r="B1014" s="1" t="str">
        <f ca="1">IFERROR(__xludf.DUMMYFUNCTION("""COMPUTED_VALUE"""),"druma4107@gmail.com")</f>
        <v>druma4107@gmail.com</v>
      </c>
      <c r="C1014" s="1" t="str">
        <f ca="1">IFERROR(__xludf.DUMMYFUNCTION("""COMPUTED_VALUE"""),"Dr Uma Agrawal")</f>
        <v>Dr Uma Agrawal</v>
      </c>
      <c r="D1014" s="1">
        <f ca="1">IFERROR(__xludf.DUMMYFUNCTION("""COMPUTED_VALUE"""),9410861182)</f>
        <v>9410861182</v>
      </c>
      <c r="E1014" s="1" t="str">
        <f ca="1">IFERROR(__xludf.DUMMYFUNCTION("""COMPUTED_VALUE"""),"Yes")</f>
        <v>Yes</v>
      </c>
      <c r="F1014" s="1" t="str">
        <f ca="1">IFERROR(__xludf.DUMMYFUNCTION("""COMPUTED_VALUE"""),"हिन्दी")</f>
        <v>हिन्दी</v>
      </c>
      <c r="G1014" s="1" t="str">
        <f ca="1">IFERROR(__xludf.DUMMYFUNCTION("""COMPUTED_VALUE"""),"समग्र स्वास्थ्य")</f>
        <v>समग्र स्वास्थ्य</v>
      </c>
      <c r="H1014" s="1"/>
      <c r="I1014" s="1"/>
      <c r="J1014" s="1"/>
      <c r="K1014" s="1"/>
      <c r="L1014" s="1"/>
      <c r="M1014" s="1"/>
      <c r="N1014" s="1"/>
      <c r="O1014" s="1"/>
      <c r="P1014" s="1"/>
      <c r="Q1014" s="1"/>
      <c r="R1014" s="1"/>
      <c r="S1014" s="1"/>
      <c r="T1014" s="1"/>
      <c r="U1014" s="1" t="str">
        <f ca="1">IFERROR(__xludf.DUMMYFUNCTION("""COMPUTED_VALUE"""),"स्वास्थ्य संवर्धन")</f>
        <v>स्वास्थ्य संवर्धन</v>
      </c>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f ca="1">IFERROR(__xludf.DUMMYFUNCTION("""COMPUTED_VALUE"""),104)</f>
        <v>104</v>
      </c>
      <c r="BX1014" s="1">
        <f ca="1">IFERROR(__xludf.DUMMYFUNCTION("""COMPUTED_VALUE"""),106)</f>
        <v>106</v>
      </c>
      <c r="BY1014" s="1">
        <f ca="1">IFERROR(__xludf.DUMMYFUNCTION("""COMPUTED_VALUE"""),9)</f>
        <v>9</v>
      </c>
      <c r="BZ1014" s="1">
        <f ca="1">IFERROR(__xludf.DUMMYFUNCTION("""COMPUTED_VALUE"""),43)</f>
        <v>43</v>
      </c>
      <c r="CA1014" s="1" t="str">
        <f ca="1">IFERROR(__xludf.DUMMYFUNCTION("""COMPUTED_VALUE"""),"Yes")</f>
        <v>Yes</v>
      </c>
      <c r="CB1014" s="5">
        <f ca="1">IFERROR(__xludf.DUMMYFUNCTION("""COMPUTED_VALUE"""),45057.6688601851)</f>
        <v>45057.668860185098</v>
      </c>
      <c r="CC1014" s="1" t="str">
        <f ca="1">IFERROR(__xludf.DUMMYFUNCTION("""COMPUTED_VALUE"""),"दिव्य जड़ी बूटियों में अपार शक्ति : Rare Book")</f>
        <v>दिव्य जड़ी बूटियों में अपार शक्ति : Rare Book</v>
      </c>
      <c r="CD1014" s="3" t="str">
        <f ca="1">IFERROR(__xludf.DUMMYFUNCTION("""COMPUTED_VALUE"""),"https://vicharkrantibooks.org/productdetail?book_name=HINP0254_DIVY_JADI_BUTIYON_MEIN_APAR_SHAKTI_xxyyyy&amp;product_id=819")</f>
        <v>https://vicharkrantibooks.org/productdetail?book_name=HINP0254_DIVY_JADI_BUTIYON_MEIN_APAR_SHAKTI_xxyyyy&amp;product_id=819</v>
      </c>
      <c r="CE1014" s="1" t="str">
        <f ca="1">IFERROR(__xludf.DUMMYFUNCTION("""COMPUTED_VALUE"""),"Audiobook : दिव्य जड़ी बूटियों में अपार शक्ति : Rare Book : druma4107@gmail.com : Recorded")</f>
        <v>Audiobook : दिव्य जड़ी बूटियों में अपार शक्ति : Rare Book : druma4107@gmail.com : Recorded</v>
      </c>
      <c r="CF1014" s="1" t="str">
        <f ca="1">IFERROR(__xludf.DUMMYFUNCTION("""COMPUTED_VALUE"""),"Audiobook : दिव्य जड़ी बूटियों में अपार शक्ति : Rare Book : druma4107@gmail.com : Recorded")</f>
        <v>Audiobook : दिव्य जड़ी बूटियों में अपार शक्ति : Rare Book : druma4107@gmail.com : Recorded</v>
      </c>
      <c r="CG1014" s="1" t="str">
        <f ca="1">IFERROR(__xludf.DUMMYFUNCTION("""COMPUTED_VALUE"""),"Adarniya Dr Uma Agrawal ji दिव्य जड़ी बूटियों में अपार शक्ति : Rare Book : Allocated on 01-May-23 Contact Number  9410861182")</f>
        <v>Adarniya Dr Uma Agrawal ji दिव्य जड़ी बूटियों में अपार शक्ति : Rare Book : Allocated on 01-May-23 Contact Number  9410861182</v>
      </c>
      <c r="CH1014" s="1"/>
      <c r="CI1014" s="1"/>
    </row>
    <row r="1015" spans="1:87" x14ac:dyDescent="0.25">
      <c r="A1015" s="5">
        <f ca="1">IFERROR(__xludf.DUMMYFUNCTION("""COMPUTED_VALUE"""),45047.6585184953)</f>
        <v>45047.6585184953</v>
      </c>
      <c r="B1015" s="1" t="str">
        <f ca="1">IFERROR(__xludf.DUMMYFUNCTION("""COMPUTED_VALUE"""),"daleshwary67@gmail.com")</f>
        <v>daleshwary67@gmail.com</v>
      </c>
      <c r="C1015" s="1" t="str">
        <f ca="1">IFERROR(__xludf.DUMMYFUNCTION("""COMPUTED_VALUE"""),"daleshwary sharma")</f>
        <v>daleshwary sharma</v>
      </c>
      <c r="D1015" s="1">
        <f ca="1">IFERROR(__xludf.DUMMYFUNCTION("""COMPUTED_VALUE"""),8587900034)</f>
        <v>8587900034</v>
      </c>
      <c r="E1015" s="1" t="str">
        <f ca="1">IFERROR(__xludf.DUMMYFUNCTION("""COMPUTED_VALUE"""),"No")</f>
        <v>No</v>
      </c>
      <c r="F1015" s="1" t="str">
        <f ca="1">IFERROR(__xludf.DUMMYFUNCTION("""COMPUTED_VALUE"""),"हिन्दी")</f>
        <v>हिन्दी</v>
      </c>
      <c r="G1015" s="1" t="str">
        <f ca="1">IFERROR(__xludf.DUMMYFUNCTION("""COMPUTED_VALUE"""),"युग परिवर्तन-विचार क्रांति")</f>
        <v>युग परिवर्तन-विचार क्रांति</v>
      </c>
      <c r="H1015" s="1"/>
      <c r="I1015" s="1"/>
      <c r="J1015" s="1"/>
      <c r="K1015" s="1"/>
      <c r="L1015" s="1"/>
      <c r="M1015" s="1"/>
      <c r="N1015" s="1"/>
      <c r="O1015" s="1"/>
      <c r="P1015" s="1"/>
      <c r="Q1015" s="1" t="str">
        <f ca="1">IFERROR(__xludf.DUMMYFUNCTION("""COMPUTED_VALUE"""),"विचार क्रांति")</f>
        <v>विचार क्रांति</v>
      </c>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f ca="1">IFERROR(__xludf.DUMMYFUNCTION("""COMPUTED_VALUE"""),15)</f>
        <v>15</v>
      </c>
      <c r="BX1015" s="1">
        <f ca="1">IFERROR(__xludf.DUMMYFUNCTION("""COMPUTED_VALUE"""),9)</f>
        <v>9</v>
      </c>
      <c r="BY1015" s="1">
        <f ca="1">IFERROR(__xludf.DUMMYFUNCTION("""COMPUTED_VALUE"""),5)</f>
        <v>5</v>
      </c>
      <c r="BZ1015" s="1">
        <f ca="1">IFERROR(__xludf.DUMMYFUNCTION("""COMPUTED_VALUE"""),5)</f>
        <v>5</v>
      </c>
      <c r="CA1015" s="1" t="str">
        <f ca="1">IFERROR(__xludf.DUMMYFUNCTION("""COMPUTED_VALUE"""),"Yes")</f>
        <v>Yes</v>
      </c>
      <c r="CB1015" s="5">
        <f ca="1">IFERROR(__xludf.DUMMYFUNCTION("""COMPUTED_VALUE"""),45057.6585184953)</f>
        <v>45057.6585184953</v>
      </c>
      <c r="CC1015" s="1" t="str">
        <f ca="1">IFERROR(__xludf.DUMMYFUNCTION("""COMPUTED_VALUE"""),"जीवन और मरण का अन्योन्याश्रित गतिचक्र : NOTM")</f>
        <v>जीवन और मरण का अन्योन्याश्रित गतिचक्र : NOTM</v>
      </c>
      <c r="CD1015" s="3" t="str">
        <f ca="1">IFERROR(__xludf.DUMMYFUNCTION("""COMPUTED_VALUE"""),"https://vicharkrantibooks.org/productdetail?book_name=HINP0385_JIVAN_AUR_MARAN_KA_ANYONYASHRIT_GATICHAKR_xx1981&amp;product_id=950")</f>
        <v>https://vicharkrantibooks.org/productdetail?book_name=HINP0385_JIVAN_AUR_MARAN_KA_ANYONYASHRIT_GATICHAKR_xx1981&amp;product_id=950</v>
      </c>
      <c r="CE1015" s="1" t="str">
        <f ca="1">IFERROR(__xludf.DUMMYFUNCTION("""COMPUTED_VALUE"""),"Audiobook : जीवन और मरण का अन्योन्याश्रित गतिचक्र : NOTM : daleshwary67@gmail.com : Recorded")</f>
        <v>Audiobook : जीवन और मरण का अन्योन्याश्रित गतिचक्र : NOTM : daleshwary67@gmail.com : Recorded</v>
      </c>
      <c r="CF1015" s="1" t="str">
        <f ca="1">IFERROR(__xludf.DUMMYFUNCTION("""COMPUTED_VALUE"""),"#N/A")</f>
        <v>#N/A</v>
      </c>
      <c r="CG1015" s="1" t="str">
        <f ca="1">IFERROR(__xludf.DUMMYFUNCTION("""COMPUTED_VALUE"""),"Adarniya daleshwary sharma ji जीवन और मरण का अन्योन्याश्रित गतिचक्र : NOTM : Allocated on 01-May-23 Contact Number  8587900034")</f>
        <v>Adarniya daleshwary sharma ji जीवन और मरण का अन्योन्याश्रित गतिचक्र : NOTM : Allocated on 01-May-23 Contact Number  8587900034</v>
      </c>
      <c r="CH1015" s="1"/>
      <c r="CI1015" s="1"/>
    </row>
    <row r="1016" spans="1:87" x14ac:dyDescent="0.25">
      <c r="A1016" s="5">
        <f ca="1">IFERROR(__xludf.DUMMYFUNCTION("""COMPUTED_VALUE"""),45047.6021076736)</f>
        <v>45047.6021076736</v>
      </c>
      <c r="B1016" s="1" t="str">
        <f ca="1">IFERROR(__xludf.DUMMYFUNCTION("""COMPUTED_VALUE"""),"amrita_dube@yahoo.com")</f>
        <v>amrita_dube@yahoo.com</v>
      </c>
      <c r="C1016" s="1" t="str">
        <f ca="1">IFERROR(__xludf.DUMMYFUNCTION("""COMPUTED_VALUE"""),"Amrita")</f>
        <v>Amrita</v>
      </c>
      <c r="D1016" s="1"/>
      <c r="E1016" s="1" t="str">
        <f ca="1">IFERROR(__xludf.DUMMYFUNCTION("""COMPUTED_VALUE"""),"No")</f>
        <v>No</v>
      </c>
      <c r="F1016" s="1" t="str">
        <f ca="1">IFERROR(__xludf.DUMMYFUNCTION("""COMPUTED_VALUE"""),"English")</f>
        <v>English</v>
      </c>
      <c r="G1016" s="1" t="str">
        <f ca="1">IFERROR(__xludf.DUMMYFUNCTION("""COMPUTED_VALUE"""),"व्यक्ति निर्माण, युवा/विद्यार्थी एवं शिक्षक")</f>
        <v>व्यक्ति निर्माण, युवा/विद्यार्थी एवं शिक्षक</v>
      </c>
      <c r="H1016" s="1"/>
      <c r="I1016" s="1"/>
      <c r="J1016" s="1"/>
      <c r="K1016" s="1"/>
      <c r="L1016" s="1"/>
      <c r="M1016" s="1"/>
      <c r="N1016" s="1"/>
      <c r="O1016" s="1"/>
      <c r="P1016" s="1"/>
      <c r="Q1016" s="1"/>
      <c r="R1016" s="1"/>
      <c r="S1016" s="1"/>
      <c r="T1016" s="1" t="str">
        <f ca="1">IFERROR(__xludf.DUMMYFUNCTION("""COMPUTED_VALUE"""),"व्यक्तित्व परिष्कार")</f>
        <v>व्यक्तित्व परिष्कार</v>
      </c>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f ca="1">IFERROR(__xludf.DUMMYFUNCTION("""COMPUTED_VALUE"""),17)</f>
        <v>17</v>
      </c>
      <c r="BX1016" s="1">
        <f ca="1">IFERROR(__xludf.DUMMYFUNCTION("""COMPUTED_VALUE"""),14)</f>
        <v>14</v>
      </c>
      <c r="BY1016" s="1">
        <f ca="1">IFERROR(__xludf.DUMMYFUNCTION("""COMPUTED_VALUE"""),6)</f>
        <v>6</v>
      </c>
      <c r="BZ1016" s="1">
        <f ca="1">IFERROR(__xludf.DUMMYFUNCTION("""COMPUTED_VALUE"""),5)</f>
        <v>5</v>
      </c>
      <c r="CA1016" s="1" t="str">
        <f ca="1">IFERROR(__xludf.DUMMYFUNCTION("""COMPUTED_VALUE"""),"Yes")</f>
        <v>Yes</v>
      </c>
      <c r="CB1016" s="5">
        <f ca="1">IFERROR(__xludf.DUMMYFUNCTION("""COMPUTED_VALUE"""),45057.6021076736)</f>
        <v>45057.6021076736</v>
      </c>
      <c r="CC1016" s="1" t="str">
        <f ca="1">IFERROR(__xludf.DUMMYFUNCTION("""COMPUTED_VALUE"""),"Pause And Think : EP_42")</f>
        <v>Pause And Think : EP_42</v>
      </c>
      <c r="CD1016" s="3" t="str">
        <f ca="1">IFERROR(__xludf.DUMMYFUNCTION("""COMPUTED_VALUE"""),"https://vicharkrantibooks.org/productdetail?book_name=ENGPE042_PAUSE_AND_THINK_xxyyyy&amp;product_id=3435")</f>
        <v>https://vicharkrantibooks.org/productdetail?book_name=ENGPE042_PAUSE_AND_THINK_xxyyyy&amp;product_id=3435</v>
      </c>
      <c r="CE1016" s="1" t="str">
        <f ca="1">IFERROR(__xludf.DUMMYFUNCTION("""COMPUTED_VALUE"""),"Audiobook : Pause And Think : EP_42 : amrita_dube@yahoo.com : Recorded")</f>
        <v>Audiobook : Pause And Think : EP_42 : amrita_dube@yahoo.com : Recorded</v>
      </c>
      <c r="CF1016" s="1" t="str">
        <f ca="1">IFERROR(__xludf.DUMMYFUNCTION("""COMPUTED_VALUE"""),"Audiobook : Pause And Think : EP_42 : amrita_dube@yahoo.com : Recorded")</f>
        <v>Audiobook : Pause And Think : EP_42 : amrita_dube@yahoo.com : Recorded</v>
      </c>
      <c r="CG1016" s="1" t="str">
        <f ca="1">IFERROR(__xludf.DUMMYFUNCTION("""COMPUTED_VALUE"""),"Adarniya Amrita ji Pause And Think : EP_42 : Allocated on 01-May-23 Contact Number  ")</f>
        <v xml:space="preserve">Adarniya Amrita ji Pause And Think : EP_42 : Allocated on 01-May-23 Contact Number  </v>
      </c>
      <c r="CH1016" s="1"/>
      <c r="CI1016" s="1"/>
    </row>
    <row r="1017" spans="1:87" x14ac:dyDescent="0.25">
      <c r="A1017" s="5">
        <f ca="1">IFERROR(__xludf.DUMMYFUNCTION("""COMPUTED_VALUE"""),45047.5731035648)</f>
        <v>45047.573103564799</v>
      </c>
      <c r="B1017" s="1" t="str">
        <f ca="1">IFERROR(__xludf.DUMMYFUNCTION("""COMPUTED_VALUE"""),"rajnithakur9934@gmail.com")</f>
        <v>rajnithakur9934@gmail.com</v>
      </c>
      <c r="C1017" s="1" t="str">
        <f ca="1">IFERROR(__xludf.DUMMYFUNCTION("""COMPUTED_VALUE"""),"Rajni ")</f>
        <v xml:space="preserve">Rajni </v>
      </c>
      <c r="D1017" s="1">
        <f ca="1">IFERROR(__xludf.DUMMYFUNCTION("""COMPUTED_VALUE"""),6202048434)</f>
        <v>6202048434</v>
      </c>
      <c r="E1017" s="1" t="str">
        <f ca="1">IFERROR(__xludf.DUMMYFUNCTION("""COMPUTED_VALUE"""),"Yes")</f>
        <v>Yes</v>
      </c>
      <c r="F1017" s="1" t="str">
        <f ca="1">IFERROR(__xludf.DUMMYFUNCTION("""COMPUTED_VALUE"""),"हिन्दी")</f>
        <v>हिन्दी</v>
      </c>
      <c r="G1017" s="1" t="str">
        <f ca="1">IFERROR(__xludf.DUMMYFUNCTION("""COMPUTED_VALUE"""),"व्यक्ति निर्माण, युवा/विद्यार्थी एवं शिक्षक")</f>
        <v>व्यक्ति निर्माण, युवा/विद्यार्थी एवं शिक्षक</v>
      </c>
      <c r="H1017" s="1"/>
      <c r="I1017" s="1"/>
      <c r="J1017" s="1"/>
      <c r="K1017" s="1"/>
      <c r="L1017" s="1"/>
      <c r="M1017" s="1"/>
      <c r="N1017" s="1"/>
      <c r="O1017" s="1"/>
      <c r="P1017" s="1"/>
      <c r="Q1017" s="1"/>
      <c r="R1017" s="1"/>
      <c r="S1017" s="1"/>
      <c r="T1017" s="1" t="str">
        <f ca="1">IFERROR(__xludf.DUMMYFUNCTION("""COMPUTED_VALUE"""),"विद्यार्थी एवं शिक्षक")</f>
        <v>विद्यार्थी एवं शिक्षक</v>
      </c>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f ca="1">IFERROR(__xludf.DUMMYFUNCTION("""COMPUTED_VALUE"""),4)</f>
        <v>4</v>
      </c>
      <c r="BX1017" s="1">
        <f ca="1">IFERROR(__xludf.DUMMYFUNCTION("""COMPUTED_VALUE"""),1)</f>
        <v>1</v>
      </c>
      <c r="BY1017" s="1">
        <f ca="1">IFERROR(__xludf.DUMMYFUNCTION("""COMPUTED_VALUE"""),3)</f>
        <v>3</v>
      </c>
      <c r="BZ1017" s="1">
        <f ca="1">IFERROR(__xludf.DUMMYFUNCTION("""COMPUTED_VALUE"""),0)</f>
        <v>0</v>
      </c>
      <c r="CA1017" s="1" t="str">
        <f ca="1">IFERROR(__xludf.DUMMYFUNCTION("""COMPUTED_VALUE"""),"Yes")</f>
        <v>Yes</v>
      </c>
      <c r="CB1017" s="5">
        <f ca="1">IFERROR(__xludf.DUMMYFUNCTION("""COMPUTED_VALUE"""),45057.5731035648)</f>
        <v>45057.573103564799</v>
      </c>
      <c r="CC1017" s="1" t="str">
        <f ca="1">IFERROR(__xludf.DUMMYFUNCTION("""COMPUTED_VALUE"""),"आइये इन समस्याओं का हल ढूंढ़े : Rare Book")</f>
        <v>आइये इन समस्याओं का हल ढूंढ़े : Rare Book</v>
      </c>
      <c r="CD1017" s="3" t="str">
        <f ca="1">IFERROR(__xludf.DUMMYFUNCTION("""COMPUTED_VALUE"""),"https://vicharkrantibooks.org/productdetail?book_name=HINP0034_AIYE_IN_SAMASYAON_KA_HAL_DHUNDHEN_xx1982&amp;product_id=599")</f>
        <v>https://vicharkrantibooks.org/productdetail?book_name=HINP0034_AIYE_IN_SAMASYAON_KA_HAL_DHUNDHEN_xx1982&amp;product_id=599</v>
      </c>
      <c r="CE1017" s="1" t="str">
        <f ca="1">IFERROR(__xludf.DUMMYFUNCTION("""COMPUTED_VALUE"""),"Audiobook : आइये इन समस्याओं का हल ढूंढ़े : Rare Book : rajnithakur9934@gmail.com : Recorded")</f>
        <v>Audiobook : आइये इन समस्याओं का हल ढूंढ़े : Rare Book : rajnithakur9934@gmail.com : Recorded</v>
      </c>
      <c r="CF1017" s="1" t="str">
        <f ca="1">IFERROR(__xludf.DUMMYFUNCTION("""COMPUTED_VALUE"""),"Audiobook : आइये इन समस्याओं का हल ढूंढ़े : Rare Book : rajnithakur9934@gmail.com : Recorded")</f>
        <v>Audiobook : आइये इन समस्याओं का हल ढूंढ़े : Rare Book : rajnithakur9934@gmail.com : Recorded</v>
      </c>
      <c r="CG1017" s="1" t="str">
        <f ca="1">IFERROR(__xludf.DUMMYFUNCTION("""COMPUTED_VALUE"""),"Adarniya Rajni  ji आइये इन समस्याओं का हल ढूंढ़े : Rare Book : Allocated on 01-May-23 Contact Number  6202048434")</f>
        <v>Adarniya Rajni  ji आइये इन समस्याओं का हल ढूंढ़े : Rare Book : Allocated on 01-May-23 Contact Number  6202048434</v>
      </c>
      <c r="CH1017" s="1"/>
      <c r="CI1017" s="1"/>
    </row>
    <row r="1018" spans="1:87" x14ac:dyDescent="0.25">
      <c r="A1018" s="5">
        <f ca="1">IFERROR(__xludf.DUMMYFUNCTION("""COMPUTED_VALUE"""),45046.9312319212)</f>
        <v>45046.931231921197</v>
      </c>
      <c r="B1018" s="1" t="str">
        <f ca="1">IFERROR(__xludf.DUMMYFUNCTION("""COMPUTED_VALUE"""),"vidushitiwari983@gmail.com")</f>
        <v>vidushitiwari983@gmail.com</v>
      </c>
      <c r="C1018" s="1" t="str">
        <f ca="1">IFERROR(__xludf.DUMMYFUNCTION("""COMPUTED_VALUE"""),"Vidushi Tiwari ")</f>
        <v xml:space="preserve">Vidushi Tiwari </v>
      </c>
      <c r="D1018" s="1">
        <f ca="1">IFERROR(__xludf.DUMMYFUNCTION("""COMPUTED_VALUE"""),8839572002)</f>
        <v>8839572002</v>
      </c>
      <c r="E1018" s="1" t="str">
        <f ca="1">IFERROR(__xludf.DUMMYFUNCTION("""COMPUTED_VALUE"""),"Not Relevant")</f>
        <v>Not Relevant</v>
      </c>
      <c r="F1018" s="1" t="str">
        <f ca="1">IFERROR(__xludf.DUMMYFUNCTION("""COMPUTED_VALUE"""),"हिन्दी or English")</f>
        <v>हिन्दी or English</v>
      </c>
      <c r="G1018" s="1" t="str">
        <f ca="1">IFERROR(__xludf.DUMMYFUNCTION("""COMPUTED_VALUE"""),"भारतीय संस्कृति")</f>
        <v>भारतीय संस्कृति</v>
      </c>
      <c r="H1018" s="1"/>
      <c r="I1018" s="1"/>
      <c r="J1018" s="1"/>
      <c r="K1018" s="1"/>
      <c r="L1018" s="1"/>
      <c r="M1018" s="1"/>
      <c r="N1018" s="1"/>
      <c r="O1018" s="1" t="str">
        <f ca="1">IFERROR(__xludf.DUMMYFUNCTION("""COMPUTED_VALUE"""),"भारतीय संस्कृति")</f>
        <v>भारतीय संस्कृति</v>
      </c>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f ca="1">IFERROR(__xludf.DUMMYFUNCTION("""COMPUTED_VALUE"""),1)</f>
        <v>1</v>
      </c>
      <c r="BX1018" s="1">
        <f ca="1">IFERROR(__xludf.DUMMYFUNCTION("""COMPUTED_VALUE"""),0)</f>
        <v>0</v>
      </c>
      <c r="BY1018" s="1">
        <f ca="1">IFERROR(__xludf.DUMMYFUNCTION("""COMPUTED_VALUE"""),1)</f>
        <v>1</v>
      </c>
      <c r="BZ1018" s="1">
        <f ca="1">IFERROR(__xludf.DUMMYFUNCTION("""COMPUTED_VALUE"""),0)</f>
        <v>0</v>
      </c>
      <c r="CA1018" s="1" t="str">
        <f ca="1">IFERROR(__xludf.DUMMYFUNCTION("""COMPUTED_VALUE"""),"Yes")</f>
        <v>Yes</v>
      </c>
      <c r="CB1018" s="5">
        <f ca="1">IFERROR(__xludf.DUMMYFUNCTION("""COMPUTED_VALUE"""),45056.9312319212)</f>
        <v>45056.931231921197</v>
      </c>
      <c r="CC1018" s="1" t="str">
        <f ca="1">IFERROR(__xludf.DUMMYFUNCTION("""COMPUTED_VALUE"""),"Steps For Women Uplifting : EP_NOTM")</f>
        <v>Steps For Women Uplifting : EP_NOTM</v>
      </c>
      <c r="CD1018" s="3" t="str">
        <f ca="1">IFERROR(__xludf.DUMMYFUNCTION("""COMPUTED_VALUE"""),"https://vicharkrantibooks.org/productdetail?book_name=ENGPNOTM_STEPS_FOR_WOMEN_UPLIFTING_xxyyyy&amp;product_id=3456")</f>
        <v>https://vicharkrantibooks.org/productdetail?book_name=ENGPNOTM_STEPS_FOR_WOMEN_UPLIFTING_xxyyyy&amp;product_id=3456</v>
      </c>
      <c r="CE1018" s="1" t="str">
        <f ca="1">IFERROR(__xludf.DUMMYFUNCTION("""COMPUTED_VALUE"""),"Audiobook : Steps For Women Uplifting : EP_NOTM : vidushitiwari983@gmail.com : Recorded")</f>
        <v>Audiobook : Steps For Women Uplifting : EP_NOTM : vidushitiwari983@gmail.com : Recorded</v>
      </c>
      <c r="CF1018" s="1" t="str">
        <f ca="1">IFERROR(__xludf.DUMMYFUNCTION("""COMPUTED_VALUE"""),"#N/A")</f>
        <v>#N/A</v>
      </c>
      <c r="CG1018" s="1" t="str">
        <f ca="1">IFERROR(__xludf.DUMMYFUNCTION("""COMPUTED_VALUE"""),"Adarniya Vidushi Tiwari  ji Steps For Women Uplifting : EP_NOTM : Allocated on 30-Apr-23 Contact Number  8839572002")</f>
        <v>Adarniya Vidushi Tiwari  ji Steps For Women Uplifting : EP_NOTM : Allocated on 30-Apr-23 Contact Number  8839572002</v>
      </c>
      <c r="CH1018" s="1"/>
      <c r="CI1018" s="1"/>
    </row>
    <row r="1019" spans="1:87" x14ac:dyDescent="0.25">
      <c r="A1019" s="5">
        <f ca="1">IFERROR(__xludf.DUMMYFUNCTION("""COMPUTED_VALUE"""),45045.922592037)</f>
        <v>45045.922592037001</v>
      </c>
      <c r="B1019" s="1" t="str">
        <f ca="1">IFERROR(__xludf.DUMMYFUNCTION("""COMPUTED_VALUE"""),"sbdswati@gmail.com")</f>
        <v>sbdswati@gmail.com</v>
      </c>
      <c r="C1019" s="1" t="str">
        <f ca="1">IFERROR(__xludf.DUMMYFUNCTION("""COMPUTED_VALUE"""),"Swati Srivastava ")</f>
        <v xml:space="preserve">Swati Srivastava </v>
      </c>
      <c r="D1019" s="1">
        <f ca="1">IFERROR(__xludf.DUMMYFUNCTION("""COMPUTED_VALUE"""),6397862188)</f>
        <v>6397862188</v>
      </c>
      <c r="E1019" s="1" t="str">
        <f ca="1">IFERROR(__xludf.DUMMYFUNCTION("""COMPUTED_VALUE"""),"Yes")</f>
        <v>Yes</v>
      </c>
      <c r="F1019" s="1" t="str">
        <f ca="1">IFERROR(__xludf.DUMMYFUNCTION("""COMPUTED_VALUE"""),"हिन्दी")</f>
        <v>हिन्दी</v>
      </c>
      <c r="G1019" s="1" t="str">
        <f ca="1">IFERROR(__xludf.DUMMYFUNCTION("""COMPUTED_VALUE"""),"अध्यात्म, धर्म एवं दर्शन")</f>
        <v>अध्यात्म, धर्म एवं दर्शन</v>
      </c>
      <c r="H1019" s="1" t="str">
        <f ca="1">IFERROR(__xludf.DUMMYFUNCTION("""COMPUTED_VALUE"""),"अध्यात्म, धर्म एवं आस्तिकता")</f>
        <v>अध्यात्म, धर्म एवं आस्तिकता</v>
      </c>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f ca="1">IFERROR(__xludf.DUMMYFUNCTION("""COMPUTED_VALUE"""),10)</f>
        <v>10</v>
      </c>
      <c r="BX1019" s="1">
        <f ca="1">IFERROR(__xludf.DUMMYFUNCTION("""COMPUTED_VALUE"""),12)</f>
        <v>12</v>
      </c>
      <c r="BY1019" s="1">
        <f ca="1">IFERROR(__xludf.DUMMYFUNCTION("""COMPUTED_VALUE"""),2)</f>
        <v>2</v>
      </c>
      <c r="BZ1019" s="1">
        <f ca="1">IFERROR(__xludf.DUMMYFUNCTION("""COMPUTED_VALUE"""),1)</f>
        <v>1</v>
      </c>
      <c r="CA1019" s="1" t="str">
        <f ca="1">IFERROR(__xludf.DUMMYFUNCTION("""COMPUTED_VALUE"""),"Yes")</f>
        <v>Yes</v>
      </c>
      <c r="CB1019" s="5">
        <f ca="1">IFERROR(__xludf.DUMMYFUNCTION("""COMPUTED_VALUE"""),45055.922592037)</f>
        <v>45055.922592037001</v>
      </c>
      <c r="CC1019" s="1" t="str">
        <f ca="1">IFERROR(__xludf.DUMMYFUNCTION("""COMPUTED_VALUE"""),"उपासना क्यों ? और कैसे ? : Rare Book")</f>
        <v>उपासना क्यों ? और कैसे ? : Rare Book</v>
      </c>
      <c r="CD1019" s="3" t="str">
        <f ca="1">IFERROR(__xludf.DUMMYFUNCTION("""COMPUTED_VALUE"""),"https://vicharkrantibooks.org/productdetail?book_name=HINP0926_UPASANA_KYON_AUR_KAISE_xx1981&amp;product_id=1491")</f>
        <v>https://vicharkrantibooks.org/productdetail?book_name=HINP0926_UPASANA_KYON_AUR_KAISE_xx1981&amp;product_id=1491</v>
      </c>
      <c r="CE1019" s="1" t="str">
        <f ca="1">IFERROR(__xludf.DUMMYFUNCTION("""COMPUTED_VALUE"""),"Audiobook : उपासना क्यों ? और कैसे ? : Rare Book : sbdswati@gmail.com : Recorded")</f>
        <v>Audiobook : उपासना क्यों ? और कैसे ? : Rare Book : sbdswati@gmail.com : Recorded</v>
      </c>
      <c r="CF1019" s="1" t="str">
        <f ca="1">IFERROR(__xludf.DUMMYFUNCTION("""COMPUTED_VALUE"""),"Audiobook : उपासना क्यों ? और कैसे ? : Rare Book : sbdswati@gmail.com : Recorded")</f>
        <v>Audiobook : उपासना क्यों ? और कैसे ? : Rare Book : sbdswati@gmail.com : Recorded</v>
      </c>
      <c r="CG1019" s="1" t="str">
        <f ca="1">IFERROR(__xludf.DUMMYFUNCTION("""COMPUTED_VALUE"""),"Adarniya Swati Srivastava  ji उपासना क्यों ? और कैसे ? : Rare Book : Allocated on 29-Apr-23 Contact Number  6397862188")</f>
        <v>Adarniya Swati Srivastava  ji उपासना क्यों ? और कैसे ? : Rare Book : Allocated on 29-Apr-23 Contact Number  6397862188</v>
      </c>
      <c r="CH1019" s="1"/>
      <c r="CI1019" s="1"/>
    </row>
    <row r="1020" spans="1:87" x14ac:dyDescent="0.25">
      <c r="A1020" s="5">
        <f ca="1">IFERROR(__xludf.DUMMYFUNCTION("""COMPUTED_VALUE"""),45044.465197743)</f>
        <v>45044.465197742997</v>
      </c>
      <c r="B1020" s="1" t="str">
        <f ca="1">IFERROR(__xludf.DUMMYFUNCTION("""COMPUTED_VALUE"""),"nainamistry177@gmail.com")</f>
        <v>nainamistry177@gmail.com</v>
      </c>
      <c r="C1020" s="1" t="str">
        <f ca="1">IFERROR(__xludf.DUMMYFUNCTION("""COMPUTED_VALUE"""),"Naina Mistry")</f>
        <v>Naina Mistry</v>
      </c>
      <c r="D1020" s="1" t="str">
        <f ca="1">IFERROR(__xludf.DUMMYFUNCTION("""COMPUTED_VALUE"""),"07786996129")</f>
        <v>07786996129</v>
      </c>
      <c r="E1020" s="1" t="str">
        <f ca="1">IFERROR(__xludf.DUMMYFUNCTION("""COMPUTED_VALUE"""),"Yes")</f>
        <v>Yes</v>
      </c>
      <c r="F1020" s="1" t="str">
        <f ca="1">IFERROR(__xludf.DUMMYFUNCTION("""COMPUTED_VALUE"""),"English")</f>
        <v>English</v>
      </c>
      <c r="G1020" s="1" t="str">
        <f ca="1">IFERROR(__xludf.DUMMYFUNCTION("""COMPUTED_VALUE"""),"English")</f>
        <v>English</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f ca="1">IFERROR(__xludf.DUMMYFUNCTION("""COMPUTED_VALUE"""),4)</f>
        <v>4</v>
      </c>
      <c r="BX1020" s="1">
        <f ca="1">IFERROR(__xludf.DUMMYFUNCTION("""COMPUTED_VALUE"""),1)</f>
        <v>1</v>
      </c>
      <c r="BY1020" s="1">
        <f ca="1">IFERROR(__xludf.DUMMYFUNCTION("""COMPUTED_VALUE"""),2)</f>
        <v>2</v>
      </c>
      <c r="BZ1020" s="1">
        <f ca="1">IFERROR(__xludf.DUMMYFUNCTION("""COMPUTED_VALUE"""),1)</f>
        <v>1</v>
      </c>
      <c r="CA1020" s="1" t="str">
        <f ca="1">IFERROR(__xludf.DUMMYFUNCTION("""COMPUTED_VALUE"""),"Yes")</f>
        <v>Yes</v>
      </c>
      <c r="CB1020" s="5">
        <f ca="1">IFERROR(__xludf.DUMMYFUNCTION("""COMPUTED_VALUE"""),45054.465197743)</f>
        <v>45054.465197742997</v>
      </c>
      <c r="CC1020" s="1" t="str">
        <f ca="1">IFERROR(__xludf.DUMMYFUNCTION("""COMPUTED_VALUE"""),"Gayatri Mantra The Genesis Of Divine Culture : EP_96")</f>
        <v>Gayatri Mantra The Genesis Of Divine Culture : EP_96</v>
      </c>
      <c r="CD1020" s="3" t="str">
        <f ca="1">IFERROR(__xludf.DUMMYFUNCTION("""COMPUTED_VALUE"""),"https://vicharkrantibooks.org/productdetail?book_name=ENGPE096_GAYATRI_MANTRA_THE_GENESIS_OF_DIVINE_CULTURE_xxyyyy&amp;product_id=3488")</f>
        <v>https://vicharkrantibooks.org/productdetail?book_name=ENGPE096_GAYATRI_MANTRA_THE_GENESIS_OF_DIVINE_CULTURE_xxyyyy&amp;product_id=3488</v>
      </c>
      <c r="CE1020" s="1" t="str">
        <f ca="1">IFERROR(__xludf.DUMMYFUNCTION("""COMPUTED_VALUE"""),"Audiobook : Gayatri Mantra The Genesis Of Divine Culture : EP_96 : nainamistry177@gmail.com : Recorded")</f>
        <v>Audiobook : Gayatri Mantra The Genesis Of Divine Culture : EP_96 : nainamistry177@gmail.com : Recorded</v>
      </c>
      <c r="CF1020" s="1" t="str">
        <f ca="1">IFERROR(__xludf.DUMMYFUNCTION("""COMPUTED_VALUE"""),"#N/A")</f>
        <v>#N/A</v>
      </c>
      <c r="CG1020" s="1" t="str">
        <f ca="1">IFERROR(__xludf.DUMMYFUNCTION("""COMPUTED_VALUE"""),"Adarniya Naina Mistry ji Gayatri Mantra The Genesis Of Divine Culture : EP_96 : Allocated on 28-Apr-23 Contact Number  07786996129")</f>
        <v>Adarniya Naina Mistry ji Gayatri Mantra The Genesis Of Divine Culture : EP_96 : Allocated on 28-Apr-23 Contact Number  07786996129</v>
      </c>
      <c r="CH1020" s="1"/>
      <c r="CI1020" s="1"/>
    </row>
    <row r="1021" spans="1:87" x14ac:dyDescent="0.25">
      <c r="A1021" s="5">
        <f ca="1">IFERROR(__xludf.DUMMYFUNCTION("""COMPUTED_VALUE"""),45044.3444949189)</f>
        <v>45044.3444949189</v>
      </c>
      <c r="B1021" s="1" t="str">
        <f ca="1">IFERROR(__xludf.DUMMYFUNCTION("""COMPUTED_VALUE"""),"shweta.r.gupta79@gmail.com")</f>
        <v>shweta.r.gupta79@gmail.com</v>
      </c>
      <c r="C1021" s="1" t="str">
        <f ca="1">IFERROR(__xludf.DUMMYFUNCTION("""COMPUTED_VALUE"""),"Shweta Gupta ")</f>
        <v xml:space="preserve">Shweta Gupta </v>
      </c>
      <c r="D1021" s="1">
        <f ca="1">IFERROR(__xludf.DUMMYFUNCTION("""COMPUTED_VALUE"""),8369516724)</f>
        <v>8369516724</v>
      </c>
      <c r="E1021" s="1" t="str">
        <f ca="1">IFERROR(__xludf.DUMMYFUNCTION("""COMPUTED_VALUE"""),"Yes")</f>
        <v>Yes</v>
      </c>
      <c r="F1021" s="1" t="str">
        <f ca="1">IFERROR(__xludf.DUMMYFUNCTION("""COMPUTED_VALUE"""),"हिन्दी")</f>
        <v>हिन्दी</v>
      </c>
      <c r="G1021" s="1" t="str">
        <f ca="1">IFERROR(__xludf.DUMMYFUNCTION("""COMPUTED_VALUE"""),"व्यक्ति निर्माण, युवा/विद्यार्थी एवं शिक्षक")</f>
        <v>व्यक्ति निर्माण, युवा/विद्यार्थी एवं शिक्षक</v>
      </c>
      <c r="H1021" s="1"/>
      <c r="I1021" s="1"/>
      <c r="J1021" s="1"/>
      <c r="K1021" s="1"/>
      <c r="L1021" s="1"/>
      <c r="M1021" s="1"/>
      <c r="N1021" s="1"/>
      <c r="O1021" s="1"/>
      <c r="P1021" s="1"/>
      <c r="Q1021" s="1"/>
      <c r="R1021" s="1"/>
      <c r="S1021" s="1"/>
      <c r="T1021" s="1" t="str">
        <f ca="1">IFERROR(__xludf.DUMMYFUNCTION("""COMPUTED_VALUE"""),"विद्यार्थी एवं शिक्षक")</f>
        <v>विद्यार्थी एवं शिक्षक</v>
      </c>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f ca="1">IFERROR(__xludf.DUMMYFUNCTION("""COMPUTED_VALUE"""),31)</f>
        <v>31</v>
      </c>
      <c r="BX1021" s="1">
        <f ca="1">IFERROR(__xludf.DUMMYFUNCTION("""COMPUTED_VALUE"""),45)</f>
        <v>45</v>
      </c>
      <c r="BY1021" s="1">
        <f ca="1">IFERROR(__xludf.DUMMYFUNCTION("""COMPUTED_VALUE"""),3)</f>
        <v>3</v>
      </c>
      <c r="BZ1021" s="1">
        <f ca="1">IFERROR(__xludf.DUMMYFUNCTION("""COMPUTED_VALUE"""),40)</f>
        <v>40</v>
      </c>
      <c r="CA1021" s="1" t="str">
        <f ca="1">IFERROR(__xludf.DUMMYFUNCTION("""COMPUTED_VALUE"""),"Yes")</f>
        <v>Yes</v>
      </c>
      <c r="CB1021" s="5">
        <f ca="1">IFERROR(__xludf.DUMMYFUNCTION("""COMPUTED_VALUE"""),45054.3444949189)</f>
        <v>45054.3444949189</v>
      </c>
      <c r="CC1021" s="1" t="str">
        <f ca="1">IFERROR(__xludf.DUMMYFUNCTION("""COMPUTED_VALUE"""),"बाल निर्माण की कहानियाँ भाग  १ : H_VP_01_1")</f>
        <v>बाल निर्माण की कहानियाँ भाग  १ : H_VP_01_1</v>
      </c>
      <c r="CD1021" s="3" t="str">
        <f ca="1">IFERROR(__xludf.DUMMYFUNCTION("""COMPUTED_VALUE"""),"http://literature.awgp.org/book/bal_nirman_ki_kahaniyan/v1")</f>
        <v>http://literature.awgp.org/book/bal_nirman_ki_kahaniyan/v1</v>
      </c>
      <c r="CE1021" s="1" t="str">
        <f ca="1">IFERROR(__xludf.DUMMYFUNCTION("""COMPUTED_VALUE"""),"Audiobook : बाल निर्माण की कहानियाँ भाग  १ : H_VP_01_1 : shweta.r.gupta79@gmail.com : Recorded")</f>
        <v>Audiobook : बाल निर्माण की कहानियाँ भाग  १ : H_VP_01_1 : shweta.r.gupta79@gmail.com : Recorded</v>
      </c>
      <c r="CF1021" s="1" t="str">
        <f ca="1">IFERROR(__xludf.DUMMYFUNCTION("""COMPUTED_VALUE"""),"Audiobook : बाल निर्माण की कहानियाँ भाग  १ : H_VP_01_1 : shweta.r.gupta79@gmail.com : Recorded")</f>
        <v>Audiobook : बाल निर्माण की कहानियाँ भाग  १ : H_VP_01_1 : shweta.r.gupta79@gmail.com : Recorded</v>
      </c>
      <c r="CG1021" s="1" t="str">
        <f ca="1">IFERROR(__xludf.DUMMYFUNCTION("""COMPUTED_VALUE"""),"Adarniya Shweta Gupta  ji बाल निर्माण की कहानियाँ भाग  १ : H_VP_01_1 : Allocated on 28-Apr-23 Contact Number  8369516724")</f>
        <v>Adarniya Shweta Gupta  ji बाल निर्माण की कहानियाँ भाग  १ : H_VP_01_1 : Allocated on 28-Apr-23 Contact Number  8369516724</v>
      </c>
      <c r="CH1021" s="1"/>
      <c r="CI1021" s="1"/>
    </row>
    <row r="1022" spans="1:87" x14ac:dyDescent="0.25">
      <c r="A1022" s="5">
        <f ca="1">IFERROR(__xludf.DUMMYFUNCTION("""COMPUTED_VALUE"""),45042.6832423958)</f>
        <v>45042.683242395797</v>
      </c>
      <c r="B1022" s="1" t="str">
        <f ca="1">IFERROR(__xludf.DUMMYFUNCTION("""COMPUTED_VALUE"""),"spmittalmumbai@gmail.com")</f>
        <v>spmittalmumbai@gmail.com</v>
      </c>
      <c r="C1022" s="1" t="str">
        <f ca="1">IFERROR(__xludf.DUMMYFUNCTION("""COMPUTED_VALUE"""),"Satya prabha Mittal")</f>
        <v>Satya prabha Mittal</v>
      </c>
      <c r="D1022" s="1">
        <f ca="1">IFERROR(__xludf.DUMMYFUNCTION("""COMPUTED_VALUE"""),7045537099)</f>
        <v>7045537099</v>
      </c>
      <c r="E1022" s="1" t="str">
        <f ca="1">IFERROR(__xludf.DUMMYFUNCTION("""COMPUTED_VALUE"""),"Yes")</f>
        <v>Yes</v>
      </c>
      <c r="F1022" s="1" t="str">
        <f ca="1">IFERROR(__xludf.DUMMYFUNCTION("""COMPUTED_VALUE"""),"हिन्दी")</f>
        <v>हिन्दी</v>
      </c>
      <c r="G1022" s="1" t="str">
        <f ca="1">IFERROR(__xludf.DUMMYFUNCTION("""COMPUTED_VALUE"""),"अध्यात्म, धर्म एवं दर्शन")</f>
        <v>अध्यात्म, धर्म एवं दर्शन</v>
      </c>
      <c r="H1022" s="1" t="str">
        <f ca="1">IFERROR(__xludf.DUMMYFUNCTION("""COMPUTED_VALUE"""),"आत्मज्ञान एवं आत्मनिर्माण")</f>
        <v>आत्मज्ञान एवं आत्मनिर्माण</v>
      </c>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f ca="1">IFERROR(__xludf.DUMMYFUNCTION("""COMPUTED_VALUE"""),39)</f>
        <v>39</v>
      </c>
      <c r="BX1022" s="1">
        <f ca="1">IFERROR(__xludf.DUMMYFUNCTION("""COMPUTED_VALUE"""),32)</f>
        <v>32</v>
      </c>
      <c r="BY1022" s="1">
        <f ca="1">IFERROR(__xludf.DUMMYFUNCTION("""COMPUTED_VALUE"""),11)</f>
        <v>11</v>
      </c>
      <c r="BZ1022" s="1">
        <f ca="1">IFERROR(__xludf.DUMMYFUNCTION("""COMPUTED_VALUE"""),23)</f>
        <v>23</v>
      </c>
      <c r="CA1022" s="1" t="str">
        <f ca="1">IFERROR(__xludf.DUMMYFUNCTION("""COMPUTED_VALUE"""),"Yes")</f>
        <v>Yes</v>
      </c>
      <c r="CB1022" s="5">
        <f ca="1">IFERROR(__xludf.DUMMYFUNCTION("""COMPUTED_VALUE"""),45052.6832423958)</f>
        <v>45052.683242395797</v>
      </c>
      <c r="CC1022" s="1" t="str">
        <f ca="1">IFERROR(__xludf.DUMMYFUNCTION("""COMPUTED_VALUE"""),"जीवंत विभूतियों से भावभरी अपेक्षाएँ : H_JS_10")</f>
        <v>जीवंत विभूतियों से भावभरी अपेक्षाएँ : H_JS_10</v>
      </c>
      <c r="CD1022" s="3" t="str">
        <f ca="1">IFERROR(__xludf.DUMMYFUNCTION("""COMPUTED_VALUE"""),"https://vicharkrantibooks.org/productdetail?book_name=HINP0401_JIVANT_VIBHUTIYON_SE_BHAVABHARI_APEKSHAEN_xx2011&amp;product_id=966")</f>
        <v>https://vicharkrantibooks.org/productdetail?book_name=HINP0401_JIVANT_VIBHUTIYON_SE_BHAVABHARI_APEKSHAEN_xx2011&amp;product_id=966</v>
      </c>
      <c r="CE1022" s="1" t="str">
        <f ca="1">IFERROR(__xludf.DUMMYFUNCTION("""COMPUTED_VALUE"""),"Audiobook : जीवंत विभूतियों से भावभरी अपेक्षाएँ : H_JS_10 : spmittalmumbai@gmail.com : Recorded")</f>
        <v>Audiobook : जीवंत विभूतियों से भावभरी अपेक्षाएँ : H_JS_10 : spmittalmumbai@gmail.com : Recorded</v>
      </c>
      <c r="CF1022" s="1" t="str">
        <f ca="1">IFERROR(__xludf.DUMMYFUNCTION("""COMPUTED_VALUE"""),"Audiobook : जीवंत विभूतियों से भावभरी अपेक्षाएँ : H_JS_10 : spmittalmumbai@gmail.com : Recorded")</f>
        <v>Audiobook : जीवंत विभूतियों से भावभरी अपेक्षाएँ : H_JS_10 : spmittalmumbai@gmail.com : Recorded</v>
      </c>
      <c r="CG1022" s="1" t="str">
        <f ca="1">IFERROR(__xludf.DUMMYFUNCTION("""COMPUTED_VALUE"""),"Adarniya Satya prabha Mittal ji जीवंत विभूतियों से भावभरी अपेक्षाएँ : H_JS_10 : Allocated on 26-Apr-23 Contact Number  7045537099")</f>
        <v>Adarniya Satya prabha Mittal ji जीवंत विभूतियों से भावभरी अपेक्षाएँ : H_JS_10 : Allocated on 26-Apr-23 Contact Number  7045537099</v>
      </c>
      <c r="CH1022" s="1"/>
      <c r="CI1022" s="1"/>
    </row>
    <row r="1023" spans="1:87" x14ac:dyDescent="0.25">
      <c r="A1023" s="5">
        <f ca="1">IFERROR(__xludf.DUMMYFUNCTION("""COMPUTED_VALUE"""),45042.604354375)</f>
        <v>45042.604354374998</v>
      </c>
      <c r="B1023" s="1" t="str">
        <f ca="1">IFERROR(__xludf.DUMMYFUNCTION("""COMPUTED_VALUE"""),"jamunashukla17@gmail.com")</f>
        <v>jamunashukla17@gmail.com</v>
      </c>
      <c r="C1023" s="1" t="str">
        <f ca="1">IFERROR(__xludf.DUMMYFUNCTION("""COMPUTED_VALUE"""),"Smt J S Shukla ")</f>
        <v xml:space="preserve">Smt J S Shukla </v>
      </c>
      <c r="D1023" s="1">
        <f ca="1">IFERROR(__xludf.DUMMYFUNCTION("""COMPUTED_VALUE"""),8390353167)</f>
        <v>8390353167</v>
      </c>
      <c r="E1023" s="1"/>
      <c r="F1023" s="1"/>
      <c r="G1023" s="1" t="str">
        <f ca="1">IFERROR(__xludf.DUMMYFUNCTION("""COMPUTED_VALUE"""),"युग परिवर्तन-विचार क्रांति")</f>
        <v>युग परिवर्तन-विचार क्रांति</v>
      </c>
      <c r="H1023" s="1"/>
      <c r="I1023" s="1"/>
      <c r="J1023" s="1"/>
      <c r="K1023" s="1"/>
      <c r="L1023" s="1"/>
      <c r="M1023" s="1"/>
      <c r="N1023" s="1"/>
      <c r="O1023" s="1"/>
      <c r="P1023" s="1"/>
      <c r="Q1023" s="1" t="str">
        <f ca="1">IFERROR(__xludf.DUMMYFUNCTION("""COMPUTED_VALUE"""),"युग निर्माण योजना एवं युग परिवर्तन")</f>
        <v>युग निर्माण योजना एवं युग परिवर्तन</v>
      </c>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f ca="1">IFERROR(__xludf.DUMMYFUNCTION("""COMPUTED_VALUE"""),53)</f>
        <v>53</v>
      </c>
      <c r="BX1023" s="1">
        <f ca="1">IFERROR(__xludf.DUMMYFUNCTION("""COMPUTED_VALUE"""),53)</f>
        <v>53</v>
      </c>
      <c r="BY1023" s="1">
        <f ca="1">IFERROR(__xludf.DUMMYFUNCTION("""COMPUTED_VALUE"""),9)</f>
        <v>9</v>
      </c>
      <c r="BZ1023" s="1">
        <f ca="1">IFERROR(__xludf.DUMMYFUNCTION("""COMPUTED_VALUE"""),25)</f>
        <v>25</v>
      </c>
      <c r="CA1023" s="1" t="str">
        <f ca="1">IFERROR(__xludf.DUMMYFUNCTION("""COMPUTED_VALUE"""),"Yes")</f>
        <v>Yes</v>
      </c>
      <c r="CB1023" s="5">
        <f ca="1">IFERROR(__xludf.DUMMYFUNCTION("""COMPUTED_VALUE"""),45052.604354375)</f>
        <v>45052.604354374998</v>
      </c>
      <c r="CC1023" s="1" t="str">
        <f ca="1">IFERROR(__xludf.DUMMYFUNCTION("""COMPUTED_VALUE"""),"पढें और उसे जीवन में उतारें : H_PP_34")</f>
        <v>पढें और उसे जीवन में उतारें : H_PP_34</v>
      </c>
      <c r="CD1023" s="3" t="str">
        <f ca="1">IFERROR(__xludf.DUMMYFUNCTION("""COMPUTED_VALUE"""),"https://vicharkrantibooks.org/productdetail?book_name=HINP0609_PADHEN_AUR_USE_JIVAN_MEIN_UTAREN_xxyyyy&amp;product_id=1174")</f>
        <v>https://vicharkrantibooks.org/productdetail?book_name=HINP0609_PADHEN_AUR_USE_JIVAN_MEIN_UTAREN_xxyyyy&amp;product_id=1174</v>
      </c>
      <c r="CE1023" s="1" t="str">
        <f ca="1">IFERROR(__xludf.DUMMYFUNCTION("""COMPUTED_VALUE"""),"Audiobook : पढें और उसे जीवन में उतारें : H_PP_34 : jamunashukla17@gmail.com : Recorded")</f>
        <v>Audiobook : पढें और उसे जीवन में उतारें : H_PP_34 : jamunashukla17@gmail.com : Recorded</v>
      </c>
      <c r="CF1023" s="1" t="str">
        <f ca="1">IFERROR(__xludf.DUMMYFUNCTION("""COMPUTED_VALUE"""),"Audiobook : पढें और उसे जीवन में उतारें : H_PP_34 : jamunashukla17@gmail.com : Recorded")</f>
        <v>Audiobook : पढें और उसे जीवन में उतारें : H_PP_34 : jamunashukla17@gmail.com : Recorded</v>
      </c>
      <c r="CG1023" s="1" t="str">
        <f ca="1">IFERROR(__xludf.DUMMYFUNCTION("""COMPUTED_VALUE"""),"Adarniya Smt J S Shukla  ji पढें और उसे जीवन में उतारें : H_PP_34 : Allocated on 26-Apr-23 Contact Number  8390353167")</f>
        <v>Adarniya Smt J S Shukla  ji पढें और उसे जीवन में उतारें : H_PP_34 : Allocated on 26-Apr-23 Contact Number  8390353167</v>
      </c>
      <c r="CH1023" s="1"/>
      <c r="CI1023" s="1"/>
    </row>
    <row r="1024" spans="1:87" x14ac:dyDescent="0.25">
      <c r="A1024" s="5">
        <f ca="1">IFERROR(__xludf.DUMMYFUNCTION("""COMPUTED_VALUE"""),45042.3663698148)</f>
        <v>45042.366369814801</v>
      </c>
      <c r="B1024" s="1" t="str">
        <f ca="1">IFERROR(__xludf.DUMMYFUNCTION("""COMPUTED_VALUE"""),"rmaug10@gmail.com")</f>
        <v>rmaug10@gmail.com</v>
      </c>
      <c r="C1024" s="1" t="str">
        <f ca="1">IFERROR(__xludf.DUMMYFUNCTION("""COMPUTED_VALUE"""),"Rahul Modanwal")</f>
        <v>Rahul Modanwal</v>
      </c>
      <c r="D1024" s="1" t="str">
        <f ca="1">IFERROR(__xludf.DUMMYFUNCTION("""COMPUTED_VALUE"""),"08826246968")</f>
        <v>08826246968</v>
      </c>
      <c r="E1024" s="1" t="str">
        <f ca="1">IFERROR(__xludf.DUMMYFUNCTION("""COMPUTED_VALUE"""),"No")</f>
        <v>No</v>
      </c>
      <c r="F1024" s="1" t="str">
        <f ca="1">IFERROR(__xludf.DUMMYFUNCTION("""COMPUTED_VALUE"""),"हिन्दी")</f>
        <v>हिन्दी</v>
      </c>
      <c r="G1024" s="1" t="str">
        <f ca="1">IFERROR(__xludf.DUMMYFUNCTION("""COMPUTED_VALUE"""),"जीवन प्रबंध")</f>
        <v>जीवन प्रबंध</v>
      </c>
      <c r="H1024" s="1"/>
      <c r="I1024" s="1"/>
      <c r="J1024" s="1"/>
      <c r="K1024" s="1"/>
      <c r="L1024" s="1" t="str">
        <f ca="1">IFERROR(__xludf.DUMMYFUNCTION("""COMPUTED_VALUE"""),"सफल, संतुष्ट एवं सुखी जीवन")</f>
        <v>सफल, संतुष्ट एवं सुखी जीवन</v>
      </c>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f ca="1">IFERROR(__xludf.DUMMYFUNCTION("""COMPUTED_VALUE"""),1)</f>
        <v>1</v>
      </c>
      <c r="BX1024" s="1">
        <f ca="1">IFERROR(__xludf.DUMMYFUNCTION("""COMPUTED_VALUE"""),0)</f>
        <v>0</v>
      </c>
      <c r="BY1024" s="1">
        <f ca="1">IFERROR(__xludf.DUMMYFUNCTION("""COMPUTED_VALUE"""),1)</f>
        <v>1</v>
      </c>
      <c r="BZ1024" s="1">
        <f ca="1">IFERROR(__xludf.DUMMYFUNCTION("""COMPUTED_VALUE"""),0)</f>
        <v>0</v>
      </c>
      <c r="CA1024" s="1" t="str">
        <f ca="1">IFERROR(__xludf.DUMMYFUNCTION("""COMPUTED_VALUE"""),"Yes")</f>
        <v>Yes</v>
      </c>
      <c r="CB1024" s="5">
        <f ca="1">IFERROR(__xludf.DUMMYFUNCTION("""COMPUTED_VALUE"""),45052.3663698148)</f>
        <v>45052.366369814801</v>
      </c>
      <c r="CC1024" s="1" t="str">
        <f ca="1">IFERROR(__xludf.DUMMYFUNCTION("""COMPUTED_VALUE"""),"ऋषि चिंतन के सान्निध्य में ०५ (पोकेट) : H_SJ_28_5")</f>
        <v>ऋषि चिंतन के सान्निध्य में ०५ (पोकेट) : H_SJ_28_5</v>
      </c>
      <c r="CD1024" s="3" t="str">
        <f ca="1">IFERROR(__xludf.DUMMYFUNCTION("""COMPUTED_VALUE"""),"https://vicharkrantibooks.org/productdetail?book_name=HINP0716_RUSHI_CHINTAN_KE_SANIDHYA_MEIN_05_(POCKET)_xxyyyy&amp;product_id=1281")</f>
        <v>https://vicharkrantibooks.org/productdetail?book_name=HINP0716_RUSHI_CHINTAN_KE_SANIDHYA_MEIN_05_(POCKET)_xxyyyy&amp;product_id=1281</v>
      </c>
      <c r="CE1024" s="1" t="str">
        <f ca="1">IFERROR(__xludf.DUMMYFUNCTION("""COMPUTED_VALUE"""),"Audiobook : ऋषि चिंतन के सान्निध्य में ०५ (पोकेट) : H_SJ_28_5 : rmaug10@gmail.com : Recorded")</f>
        <v>Audiobook : ऋषि चिंतन के सान्निध्य में ०५ (पोकेट) : H_SJ_28_5 : rmaug10@gmail.com : Recorded</v>
      </c>
      <c r="CF1024" s="1" t="str">
        <f ca="1">IFERROR(__xludf.DUMMYFUNCTION("""COMPUTED_VALUE"""),"#N/A")</f>
        <v>#N/A</v>
      </c>
      <c r="CG1024" s="1" t="str">
        <f ca="1">IFERROR(__xludf.DUMMYFUNCTION("""COMPUTED_VALUE"""),"Adarniya Rahul Modanwal ji ऋषि चिंतन के सान्निध्य में ०५ (पोकेट) : H_SJ_28_5 : Allocated on 26-Apr-23 Contact Number  08826246968")</f>
        <v>Adarniya Rahul Modanwal ji ऋषि चिंतन के सान्निध्य में ०५ (पोकेट) : H_SJ_28_5 : Allocated on 26-Apr-23 Contact Number  08826246968</v>
      </c>
      <c r="CH1024" s="1"/>
      <c r="CI1024" s="1"/>
    </row>
    <row r="1025" spans="1:87" x14ac:dyDescent="0.25">
      <c r="A1025" s="5">
        <f ca="1">IFERROR(__xludf.DUMMYFUNCTION("""COMPUTED_VALUE"""),45041.954780787)</f>
        <v>45041.954780786997</v>
      </c>
      <c r="B1025" s="1" t="str">
        <f ca="1">IFERROR(__xludf.DUMMYFUNCTION("""COMPUTED_VALUE"""),"Naina.MIstry@awgpuk.org")</f>
        <v>Naina.MIstry@awgpuk.org</v>
      </c>
      <c r="C1025" s="1" t="str">
        <f ca="1">IFERROR(__xludf.DUMMYFUNCTION("""COMPUTED_VALUE"""),"Naina Mistry")</f>
        <v>Naina Mistry</v>
      </c>
      <c r="D1025" s="1" t="str">
        <f ca="1">IFERROR(__xludf.DUMMYFUNCTION("""COMPUTED_VALUE"""),"07786996129")</f>
        <v>07786996129</v>
      </c>
      <c r="E1025" s="1" t="str">
        <f ca="1">IFERROR(__xludf.DUMMYFUNCTION("""COMPUTED_VALUE"""),"Yes")</f>
        <v>Yes</v>
      </c>
      <c r="F1025" s="1" t="str">
        <f ca="1">IFERROR(__xludf.DUMMYFUNCTION("""COMPUTED_VALUE"""),"English")</f>
        <v>English</v>
      </c>
      <c r="G1025" s="1" t="str">
        <f ca="1">IFERROR(__xludf.DUMMYFUNCTION("""COMPUTED_VALUE"""),"English")</f>
        <v>English</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f ca="1">IFERROR(__xludf.DUMMYFUNCTION("""COMPUTED_VALUE"""),6)</f>
        <v>6</v>
      </c>
      <c r="BX1025" s="1">
        <f ca="1">IFERROR(__xludf.DUMMYFUNCTION("""COMPUTED_VALUE"""),6)</f>
        <v>6</v>
      </c>
      <c r="BY1025" s="1">
        <f ca="1">IFERROR(__xludf.DUMMYFUNCTION("""COMPUTED_VALUE"""),2)</f>
        <v>2</v>
      </c>
      <c r="BZ1025" s="1">
        <f ca="1">IFERROR(__xludf.DUMMYFUNCTION("""COMPUTED_VALUE"""),3)</f>
        <v>3</v>
      </c>
      <c r="CA1025" s="1" t="str">
        <f ca="1">IFERROR(__xludf.DUMMYFUNCTION("""COMPUTED_VALUE"""),"Yes")</f>
        <v>Yes</v>
      </c>
      <c r="CB1025" s="5">
        <f ca="1">IFERROR(__xludf.DUMMYFUNCTION("""COMPUTED_VALUE"""),45051.954780787)</f>
        <v>45051.954780786997</v>
      </c>
      <c r="CC1025" s="1" t="str">
        <f ca="1">IFERROR(__xludf.DUMMYFUNCTION("""COMPUTED_VALUE"""),"The Secrets Of Healthy Life : EP_37")</f>
        <v>The Secrets Of Healthy Life : EP_37</v>
      </c>
      <c r="CD1025" s="3" t="str">
        <f ca="1">IFERROR(__xludf.DUMMYFUNCTION("""COMPUTED_VALUE"""),"https://vicharkrantibooks.org/productdetail?book_name=ENGPE037_THE_SECRETS_OF_HEALTHY_LIFE_xxyyyy&amp;product_id=3430")</f>
        <v>https://vicharkrantibooks.org/productdetail?book_name=ENGPE037_THE_SECRETS_OF_HEALTHY_LIFE_xxyyyy&amp;product_id=3430</v>
      </c>
      <c r="CE1025" s="1" t="str">
        <f ca="1">IFERROR(__xludf.DUMMYFUNCTION("""COMPUTED_VALUE"""),"Audiobook : The Secrets Of Healthy Life : EP_37 : Naina.MIstry@awgpuk.org : Recorded")</f>
        <v>Audiobook : The Secrets Of Healthy Life : EP_37 : Naina.MIstry@awgpuk.org : Recorded</v>
      </c>
      <c r="CF1025" s="1" t="str">
        <f ca="1">IFERROR(__xludf.DUMMYFUNCTION("""COMPUTED_VALUE"""),"Audiobook : The Secrets Of Healthy Life : EP_37 : Naina.MIstry@awgpuk.org : Recorded")</f>
        <v>Audiobook : The Secrets Of Healthy Life : EP_37 : Naina.MIstry@awgpuk.org : Recorded</v>
      </c>
      <c r="CG1025" s="1" t="str">
        <f ca="1">IFERROR(__xludf.DUMMYFUNCTION("""COMPUTED_VALUE"""),"Adarniya Naina Mistry ji The Secrets Of Healthy Life : EP_37 : Allocated on 25-Apr-23 Contact Number  07786996129")</f>
        <v>Adarniya Naina Mistry ji The Secrets Of Healthy Life : EP_37 : Allocated on 25-Apr-23 Contact Number  07786996129</v>
      </c>
      <c r="CH1025" s="1"/>
      <c r="CI1025" s="1"/>
    </row>
    <row r="1026" spans="1:87" x14ac:dyDescent="0.25">
      <c r="A1026" s="5">
        <f ca="1">IFERROR(__xludf.DUMMYFUNCTION("""COMPUTED_VALUE"""),45041.278133287)</f>
        <v>45041.278133287</v>
      </c>
      <c r="B1026" s="1" t="str">
        <f ca="1">IFERROR(__xludf.DUMMYFUNCTION("""COMPUTED_VALUE"""),"sanjayneha1@yahoo.com")</f>
        <v>sanjayneha1@yahoo.com</v>
      </c>
      <c r="C1026" s="1" t="str">
        <f ca="1">IFERROR(__xludf.DUMMYFUNCTION("""COMPUTED_VALUE"""),"Neha Manocha")</f>
        <v>Neha Manocha</v>
      </c>
      <c r="D1026" s="1">
        <f ca="1">IFERROR(__xludf.DUMMYFUNCTION("""COMPUTED_VALUE"""),16174130446)</f>
        <v>16174130446</v>
      </c>
      <c r="E1026" s="1" t="str">
        <f ca="1">IFERROR(__xludf.DUMMYFUNCTION("""COMPUTED_VALUE"""),"Yes")</f>
        <v>Yes</v>
      </c>
      <c r="F1026" s="1" t="str">
        <f ca="1">IFERROR(__xludf.DUMMYFUNCTION("""COMPUTED_VALUE"""),"हिन्दी or English")</f>
        <v>हिन्दी or English</v>
      </c>
      <c r="G1026" s="1" t="str">
        <f ca="1">IFERROR(__xludf.DUMMYFUNCTION("""COMPUTED_VALUE"""),"युग द्रष्टा पं. श्रीराम शर्मा आचार्यजी")</f>
        <v>युग द्रष्टा पं. श्रीराम शर्मा आचार्यजी</v>
      </c>
      <c r="H1026" s="1"/>
      <c r="I1026" s="1"/>
      <c r="J1026" s="1"/>
      <c r="K1026" s="1"/>
      <c r="L1026" s="1"/>
      <c r="M1026" s="1"/>
      <c r="N1026" s="1"/>
      <c r="O1026" s="1"/>
      <c r="P1026" s="1" t="str">
        <f ca="1">IFERROR(__xludf.DUMMYFUNCTION("""COMPUTED_VALUE"""),"युगॠषी का जीवनदर्शन")</f>
        <v>युगॠषी का जीवनदर्शन</v>
      </c>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f ca="1">IFERROR(__xludf.DUMMYFUNCTION("""COMPUTED_VALUE"""),33)</f>
        <v>33</v>
      </c>
      <c r="BX1026" s="1">
        <f ca="1">IFERROR(__xludf.DUMMYFUNCTION("""COMPUTED_VALUE"""),40)</f>
        <v>40</v>
      </c>
      <c r="BY1026" s="1">
        <f ca="1">IFERROR(__xludf.DUMMYFUNCTION("""COMPUTED_VALUE"""),3)</f>
        <v>3</v>
      </c>
      <c r="BZ1026" s="1">
        <f ca="1">IFERROR(__xludf.DUMMYFUNCTION("""COMPUTED_VALUE"""),22)</f>
        <v>22</v>
      </c>
      <c r="CA1026" s="1" t="str">
        <f ca="1">IFERROR(__xludf.DUMMYFUNCTION("""COMPUTED_VALUE"""),"Yes")</f>
        <v>Yes</v>
      </c>
      <c r="CB1026" s="5">
        <f ca="1">IFERROR(__xludf.DUMMYFUNCTION("""COMPUTED_VALUE"""),45051.278133287)</f>
        <v>45051.278133287</v>
      </c>
      <c r="CC1026" s="1" t="str">
        <f ca="1">IFERROR(__xludf.DUMMYFUNCTION("""COMPUTED_VALUE"""),"The Science Of Mantra : EP_39")</f>
        <v>The Science Of Mantra : EP_39</v>
      </c>
      <c r="CD1026" s="3" t="str">
        <f ca="1">IFERROR(__xludf.DUMMYFUNCTION("""COMPUTED_VALUE"""),"https://vicharkrantibooks.org/productdetail?book_name=ENGPE039_THE_SCIENCE_OF_MANTRA_xxyyyy&amp;product_id=3432")</f>
        <v>https://vicharkrantibooks.org/productdetail?book_name=ENGPE039_THE_SCIENCE_OF_MANTRA_xxyyyy&amp;product_id=3432</v>
      </c>
      <c r="CE1026" s="1" t="str">
        <f ca="1">IFERROR(__xludf.DUMMYFUNCTION("""COMPUTED_VALUE"""),"Audiobook : The Science Of Mantra : EP_39 : sanjayneha1@yahoo.com : Recorded")</f>
        <v>Audiobook : The Science Of Mantra : EP_39 : sanjayneha1@yahoo.com : Recorded</v>
      </c>
      <c r="CF1026" s="1" t="str">
        <f ca="1">IFERROR(__xludf.DUMMYFUNCTION("""COMPUTED_VALUE"""),"Audiobook : The Science Of Mantra : EP_39 : sanjayneha1@yahoo.com : Recorded")</f>
        <v>Audiobook : The Science Of Mantra : EP_39 : sanjayneha1@yahoo.com : Recorded</v>
      </c>
      <c r="CG1026" s="1" t="str">
        <f ca="1">IFERROR(__xludf.DUMMYFUNCTION("""COMPUTED_VALUE"""),"Adarniya Neha Manocha ji The Science Of Mantra : EP_39 : Allocated on 25-Apr-23 Contact Number  16174130446")</f>
        <v>Adarniya Neha Manocha ji The Science Of Mantra : EP_39 : Allocated on 25-Apr-23 Contact Number  16174130446</v>
      </c>
      <c r="CH1026" s="1"/>
      <c r="CI1026" s="1"/>
    </row>
    <row r="1027" spans="1:87" x14ac:dyDescent="0.25">
      <c r="A1027" s="5">
        <f ca="1">IFERROR(__xludf.DUMMYFUNCTION("""COMPUTED_VALUE"""),45040.8939986921)</f>
        <v>45040.893998692103</v>
      </c>
      <c r="B1027" s="1" t="str">
        <f ca="1">IFERROR(__xludf.DUMMYFUNCTION("""COMPUTED_VALUE"""),"druma4107@gmail.com")</f>
        <v>druma4107@gmail.com</v>
      </c>
      <c r="C1027" s="1" t="str">
        <f ca="1">IFERROR(__xludf.DUMMYFUNCTION("""COMPUTED_VALUE"""),"Dr Uma agrawal")</f>
        <v>Dr Uma agrawal</v>
      </c>
      <c r="D1027" s="1">
        <f ca="1">IFERROR(__xludf.DUMMYFUNCTION("""COMPUTED_VALUE"""),9410861182)</f>
        <v>9410861182</v>
      </c>
      <c r="E1027" s="1" t="str">
        <f ca="1">IFERROR(__xludf.DUMMYFUNCTION("""COMPUTED_VALUE"""),"Yes")</f>
        <v>Yes</v>
      </c>
      <c r="F1027" s="1" t="str">
        <f ca="1">IFERROR(__xludf.DUMMYFUNCTION("""COMPUTED_VALUE"""),"हिन्दी")</f>
        <v>हिन्दी</v>
      </c>
      <c r="G1027" s="1" t="str">
        <f ca="1">IFERROR(__xludf.DUMMYFUNCTION("""COMPUTED_VALUE"""),"समग्र स्वास्थ्य")</f>
        <v>समग्र स्वास्थ्य</v>
      </c>
      <c r="H1027" s="1"/>
      <c r="I1027" s="1"/>
      <c r="J1027" s="1"/>
      <c r="K1027" s="1"/>
      <c r="L1027" s="1"/>
      <c r="M1027" s="1"/>
      <c r="N1027" s="1"/>
      <c r="O1027" s="1"/>
      <c r="P1027" s="1"/>
      <c r="Q1027" s="1"/>
      <c r="R1027" s="1"/>
      <c r="S1027" s="1"/>
      <c r="T1027" s="1"/>
      <c r="U1027" s="1" t="str">
        <f ca="1">IFERROR(__xludf.DUMMYFUNCTION("""COMPUTED_VALUE"""),"स्वास्थ्य संवर्धन")</f>
        <v>स्वास्थ्य संवर्धन</v>
      </c>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f ca="1">IFERROR(__xludf.DUMMYFUNCTION("""COMPUTED_VALUE"""),104)</f>
        <v>104</v>
      </c>
      <c r="BX1027" s="1">
        <f ca="1">IFERROR(__xludf.DUMMYFUNCTION("""COMPUTED_VALUE"""),106)</f>
        <v>106</v>
      </c>
      <c r="BY1027" s="1">
        <f ca="1">IFERROR(__xludf.DUMMYFUNCTION("""COMPUTED_VALUE"""),9)</f>
        <v>9</v>
      </c>
      <c r="BZ1027" s="1">
        <f ca="1">IFERROR(__xludf.DUMMYFUNCTION("""COMPUTED_VALUE"""),43)</f>
        <v>43</v>
      </c>
      <c r="CA1027" s="1" t="str">
        <f ca="1">IFERROR(__xludf.DUMMYFUNCTION("""COMPUTED_VALUE"""),"Yes")</f>
        <v>Yes</v>
      </c>
      <c r="CB1027" s="5">
        <f ca="1">IFERROR(__xludf.DUMMYFUNCTION("""COMPUTED_VALUE"""),45050.8939986921)</f>
        <v>45050.893998692103</v>
      </c>
      <c r="CC1027" s="1" t="str">
        <f ca="1">IFERROR(__xludf.DUMMYFUNCTION("""COMPUTED_VALUE"""),"दवाओं से बचें : Rare Book")</f>
        <v>दवाओं से बचें : Rare Book</v>
      </c>
      <c r="CD1027" s="3" t="str">
        <f ca="1">IFERROR(__xludf.DUMMYFUNCTION("""COMPUTED_VALUE"""),"https://vicharkrantibooks.org/productdetail?book_name=HINP0206_DAVAON_SE_BACHEN_xxyyyy&amp;product_id=771")</f>
        <v>https://vicharkrantibooks.org/productdetail?book_name=HINP0206_DAVAON_SE_BACHEN_xxyyyy&amp;product_id=771</v>
      </c>
      <c r="CE1027" s="1" t="str">
        <f ca="1">IFERROR(__xludf.DUMMYFUNCTION("""COMPUTED_VALUE"""),"Audiobook : दवाओं से बचें : Rare Book : druma4107@gmail.com : Recorded")</f>
        <v>Audiobook : दवाओं से बचें : Rare Book : druma4107@gmail.com : Recorded</v>
      </c>
      <c r="CF1027" s="1" t="str">
        <f ca="1">IFERROR(__xludf.DUMMYFUNCTION("""COMPUTED_VALUE"""),"Audiobook : दवाओं से बचें : Rare Book : druma4107@gmail.com : Recorded")</f>
        <v>Audiobook : दवाओं से बचें : Rare Book : druma4107@gmail.com : Recorded</v>
      </c>
      <c r="CG1027" s="1" t="str">
        <f ca="1">IFERROR(__xludf.DUMMYFUNCTION("""COMPUTED_VALUE"""),"Adarniya Dr Uma agrawal ji दवाओं से बचें : Rare Book : Allocated on 24-Apr-23 Contact Number  9410861182")</f>
        <v>Adarniya Dr Uma agrawal ji दवाओं से बचें : Rare Book : Allocated on 24-Apr-23 Contact Number  9410861182</v>
      </c>
      <c r="CH1027" s="1"/>
      <c r="CI1027" s="1"/>
    </row>
    <row r="1028" spans="1:87" x14ac:dyDescent="0.25">
      <c r="A1028" s="5">
        <f ca="1">IFERROR(__xludf.DUMMYFUNCTION("""COMPUTED_VALUE"""),45040.732270787)</f>
        <v>45040.732270786997</v>
      </c>
      <c r="B1028" s="1" t="str">
        <f ca="1">IFERROR(__xludf.DUMMYFUNCTION("""COMPUTED_VALUE"""),"akankshakri2009@gmail.com")</f>
        <v>akankshakri2009@gmail.com</v>
      </c>
      <c r="C1028" s="1" t="str">
        <f ca="1">IFERROR(__xludf.DUMMYFUNCTION("""COMPUTED_VALUE"""),"Akanksha kumari")</f>
        <v>Akanksha kumari</v>
      </c>
      <c r="D1028" s="1">
        <f ca="1">IFERROR(__xludf.DUMMYFUNCTION("""COMPUTED_VALUE"""),9891358125)</f>
        <v>9891358125</v>
      </c>
      <c r="E1028" s="1" t="str">
        <f ca="1">IFERROR(__xludf.DUMMYFUNCTION("""COMPUTED_VALUE"""),"Yes")</f>
        <v>Yes</v>
      </c>
      <c r="F1028" s="1" t="str">
        <f ca="1">IFERROR(__xludf.DUMMYFUNCTION("""COMPUTED_VALUE"""),"हिन्दी")</f>
        <v>हिन्दी</v>
      </c>
      <c r="G1028" s="1" t="str">
        <f ca="1">IFERROR(__xludf.DUMMYFUNCTION("""COMPUTED_VALUE"""),"परिवार निर्माण")</f>
        <v>परिवार निर्माण</v>
      </c>
      <c r="H1028" s="1"/>
      <c r="I1028" s="1"/>
      <c r="J1028" s="1"/>
      <c r="K1028" s="1"/>
      <c r="L1028" s="1"/>
      <c r="M1028" s="1" t="str">
        <f ca="1">IFERROR(__xludf.DUMMYFUNCTION("""COMPUTED_VALUE"""),"बाल मनोविज्ञान")</f>
        <v>बाल मनोविज्ञान</v>
      </c>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f ca="1">IFERROR(__xludf.DUMMYFUNCTION("""COMPUTED_VALUE"""),1)</f>
        <v>1</v>
      </c>
      <c r="BX1028" s="1">
        <f ca="1">IFERROR(__xludf.DUMMYFUNCTION("""COMPUTED_VALUE"""),0)</f>
        <v>0</v>
      </c>
      <c r="BY1028" s="1">
        <f ca="1">IFERROR(__xludf.DUMMYFUNCTION("""COMPUTED_VALUE"""),1)</f>
        <v>1</v>
      </c>
      <c r="BZ1028" s="1">
        <f ca="1">IFERROR(__xludf.DUMMYFUNCTION("""COMPUTED_VALUE"""),0)</f>
        <v>0</v>
      </c>
      <c r="CA1028" s="1" t="str">
        <f ca="1">IFERROR(__xludf.DUMMYFUNCTION("""COMPUTED_VALUE"""),"Yes")</f>
        <v>Yes</v>
      </c>
      <c r="CB1028" s="5">
        <f ca="1">IFERROR(__xludf.DUMMYFUNCTION("""COMPUTED_VALUE"""),45050.732270787)</f>
        <v>45050.732270786997</v>
      </c>
      <c r="CC1028" s="1" t="str">
        <f ca="1">IFERROR(__xludf.DUMMYFUNCTION("""COMPUTED_VALUE"""),"परिवार यों न तोड़ें : Rare Book")</f>
        <v>परिवार यों न तोड़ें : Rare Book</v>
      </c>
      <c r="CD1028" s="3" t="str">
        <f ca="1">IFERROR(__xludf.DUMMYFUNCTION("""COMPUTED_VALUE"""),"https://vicharkrantibooks.org/productdetail?book_name=HINP0636_PARIWAR_YON_NA_TODEN_xxyyyy&amp;product_id=1201")</f>
        <v>https://vicharkrantibooks.org/productdetail?book_name=HINP0636_PARIWAR_YON_NA_TODEN_xxyyyy&amp;product_id=1201</v>
      </c>
      <c r="CE1028" s="1" t="str">
        <f ca="1">IFERROR(__xludf.DUMMYFUNCTION("""COMPUTED_VALUE"""),"Audiobook : परिवार यों न तोड़ें : Rare Book : akankshakri2009@gmail.com : Recorded")</f>
        <v>Audiobook : परिवार यों न तोड़ें : Rare Book : akankshakri2009@gmail.com : Recorded</v>
      </c>
      <c r="CF1028" s="1" t="str">
        <f ca="1">IFERROR(__xludf.DUMMYFUNCTION("""COMPUTED_VALUE"""),"#N/A")</f>
        <v>#N/A</v>
      </c>
      <c r="CG1028" s="1" t="str">
        <f ca="1">IFERROR(__xludf.DUMMYFUNCTION("""COMPUTED_VALUE"""),"Adarniya Akanksha kumari ji परिवार यों न तोड़ें : Rare Book : Allocated on 24-Apr-23 Contact Number  9891358125")</f>
        <v>Adarniya Akanksha kumari ji परिवार यों न तोड़ें : Rare Book : Allocated on 24-Apr-23 Contact Number  9891358125</v>
      </c>
      <c r="CH1028" s="1"/>
      <c r="CI1028" s="1"/>
    </row>
    <row r="1029" spans="1:87" x14ac:dyDescent="0.25">
      <c r="A1029" s="5">
        <f ca="1">IFERROR(__xludf.DUMMYFUNCTION("""COMPUTED_VALUE"""),45040.7088518634)</f>
        <v>45040.708851863397</v>
      </c>
      <c r="B1029" s="1" t="str">
        <f ca="1">IFERROR(__xludf.DUMMYFUNCTION("""COMPUTED_VALUE"""),"dr.kiranahujakhubani@gmail.com")</f>
        <v>dr.kiranahujakhubani@gmail.com</v>
      </c>
      <c r="C1029" s="1" t="str">
        <f ca="1">IFERROR(__xludf.DUMMYFUNCTION("""COMPUTED_VALUE"""),"Dr.kiran")</f>
        <v>Dr.kiran</v>
      </c>
      <c r="D1029" s="1">
        <f ca="1">IFERROR(__xludf.DUMMYFUNCTION("""COMPUTED_VALUE"""),9899036635)</f>
        <v>9899036635</v>
      </c>
      <c r="E1029" s="1" t="str">
        <f ca="1">IFERROR(__xludf.DUMMYFUNCTION("""COMPUTED_VALUE"""),"No")</f>
        <v>No</v>
      </c>
      <c r="F1029" s="1" t="str">
        <f ca="1">IFERROR(__xludf.DUMMYFUNCTION("""COMPUTED_VALUE"""),"हिन्दी")</f>
        <v>हिन्दी</v>
      </c>
      <c r="G1029" s="1" t="str">
        <f ca="1">IFERROR(__xludf.DUMMYFUNCTION("""COMPUTED_VALUE"""),"युग द्रष्टा पं. श्रीराम शर्मा आचार्यजी")</f>
        <v>युग द्रष्टा पं. श्रीराम शर्मा आचार्यजी</v>
      </c>
      <c r="H1029" s="1"/>
      <c r="I1029" s="1"/>
      <c r="J1029" s="1"/>
      <c r="K1029" s="1"/>
      <c r="L1029" s="1"/>
      <c r="M1029" s="1"/>
      <c r="N1029" s="1"/>
      <c r="O1029" s="1"/>
      <c r="P1029" s="1" t="str">
        <f ca="1">IFERROR(__xludf.DUMMYFUNCTION("""COMPUTED_VALUE"""),"युगॠषी की अमृतवाणी")</f>
        <v>युगॠषी की अमृतवाणी</v>
      </c>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f ca="1">IFERROR(__xludf.DUMMYFUNCTION("""COMPUTED_VALUE"""),2)</f>
        <v>2</v>
      </c>
      <c r="BX1029" s="1">
        <f ca="1">IFERROR(__xludf.DUMMYFUNCTION("""COMPUTED_VALUE"""),2)</f>
        <v>2</v>
      </c>
      <c r="BY1029" s="1">
        <f ca="1">IFERROR(__xludf.DUMMYFUNCTION("""COMPUTED_VALUE"""),0)</f>
        <v>0</v>
      </c>
      <c r="BZ1029" s="1">
        <f ca="1">IFERROR(__xludf.DUMMYFUNCTION("""COMPUTED_VALUE"""),0)</f>
        <v>0</v>
      </c>
      <c r="CA1029" s="1" t="str">
        <f ca="1">IFERROR(__xludf.DUMMYFUNCTION("""COMPUTED_VALUE"""),"Yes")</f>
        <v>Yes</v>
      </c>
      <c r="CB1029" s="5">
        <f ca="1">IFERROR(__xludf.DUMMYFUNCTION("""COMPUTED_VALUE"""),45050.7088518634)</f>
        <v>45050.708851863397</v>
      </c>
      <c r="CC1029" s="1" t="str">
        <f ca="1">IFERROR(__xludf.DUMMYFUNCTION("""COMPUTED_VALUE"""),"धन्वंतरि, कर्ण और दधीचि हमारे वॄक्ष : H_SJ_77")</f>
        <v>धन्वंतरि, कर्ण और दधीचि हमारे वॄक्ष : H_SJ_77</v>
      </c>
      <c r="CD1029" s="3" t="str">
        <f ca="1">IFERROR(__xludf.DUMMYFUNCTION("""COMPUTED_VALUE"""),"https://vicharkrantibooks.org/productdetail?book_name=HINP0226_DHANVANTARI_KARN_AUR_DADHICHI_HAMARE_VRUKSH_xxyyyy&amp;product_id=791")</f>
        <v>https://vicharkrantibooks.org/productdetail?book_name=HINP0226_DHANVANTARI_KARN_AUR_DADHICHI_HAMARE_VRUKSH_xxyyyy&amp;product_id=791</v>
      </c>
      <c r="CE1029" s="1" t="str">
        <f ca="1">IFERROR(__xludf.DUMMYFUNCTION("""COMPUTED_VALUE"""),"Audiobook : धन्वंतरि, कर्ण और दधीचि हमारे वॄक्ष : H_SJ_77 : dr.kiranahujakhubani@gmail.com : Recorded")</f>
        <v>Audiobook : धन्वंतरि, कर्ण और दधीचि हमारे वॄक्ष : H_SJ_77 : dr.kiranahujakhubani@gmail.com : Recorded</v>
      </c>
      <c r="CF1029" s="1" t="str">
        <f ca="1">IFERROR(__xludf.DUMMYFUNCTION("""COMPUTED_VALUE"""),"Audiobook : धन्वंतरि, कर्ण और दधीचि हमारे वॄक्ष : H_SJ_77 : dr.kiranahujakhubani@gmail.com : Recorded")</f>
        <v>Audiobook : धन्वंतरि, कर्ण और दधीचि हमारे वॄक्ष : H_SJ_77 : dr.kiranahujakhubani@gmail.com : Recorded</v>
      </c>
      <c r="CG1029" s="1" t="str">
        <f ca="1">IFERROR(__xludf.DUMMYFUNCTION("""COMPUTED_VALUE"""),"Adarniya Dr.kiran ji धन्वंतरि, कर्ण और दधीचि हमारे वॄक्ष : H_SJ_77 : Allocated on 24-Apr-23 Contact Number  9899036635")</f>
        <v>Adarniya Dr.kiran ji धन्वंतरि, कर्ण और दधीचि हमारे वॄक्ष : H_SJ_77 : Allocated on 24-Apr-23 Contact Number  9899036635</v>
      </c>
      <c r="CH1029" s="1"/>
      <c r="CI1029" s="1"/>
    </row>
    <row r="1030" spans="1:87" x14ac:dyDescent="0.25">
      <c r="A1030" s="5">
        <f ca="1">IFERROR(__xludf.DUMMYFUNCTION("""COMPUTED_VALUE"""),45040.6630049768)</f>
        <v>45040.663004976799</v>
      </c>
      <c r="B1030" s="1" t="str">
        <f ca="1">IFERROR(__xludf.DUMMYFUNCTION("""COMPUTED_VALUE"""),"babitaram9735@gmail.com")</f>
        <v>babitaram9735@gmail.com</v>
      </c>
      <c r="C1030" s="1" t="str">
        <f ca="1">IFERROR(__xludf.DUMMYFUNCTION("""COMPUTED_VALUE"""),"Babita Ram")</f>
        <v>Babita Ram</v>
      </c>
      <c r="D1030" s="1">
        <f ca="1">IFERROR(__xludf.DUMMYFUNCTION("""COMPUTED_VALUE"""),9621159232)</f>
        <v>9621159232</v>
      </c>
      <c r="E1030" s="1" t="str">
        <f ca="1">IFERROR(__xludf.DUMMYFUNCTION("""COMPUTED_VALUE"""),"Not Relevant")</f>
        <v>Not Relevant</v>
      </c>
      <c r="F1030" s="1" t="str">
        <f ca="1">IFERROR(__xludf.DUMMYFUNCTION("""COMPUTED_VALUE"""),"हिन्दी")</f>
        <v>हिन्दी</v>
      </c>
      <c r="G1030" s="1" t="str">
        <f ca="1">IFERROR(__xludf.DUMMYFUNCTION("""COMPUTED_VALUE"""),"परिवार निर्माण")</f>
        <v>परिवार निर्माण</v>
      </c>
      <c r="H1030" s="1"/>
      <c r="I1030" s="1"/>
      <c r="J1030" s="1"/>
      <c r="K1030" s="1"/>
      <c r="L1030" s="1"/>
      <c r="M1030" s="1" t="str">
        <f ca="1">IFERROR(__xludf.DUMMYFUNCTION("""COMPUTED_VALUE"""),"गर्भ संस्कार")</f>
        <v>गर्भ संस्कार</v>
      </c>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f ca="1">IFERROR(__xludf.DUMMYFUNCTION("""COMPUTED_VALUE"""),1)</f>
        <v>1</v>
      </c>
      <c r="BX1030" s="1">
        <f ca="1">IFERROR(__xludf.DUMMYFUNCTION("""COMPUTED_VALUE"""),0)</f>
        <v>0</v>
      </c>
      <c r="BY1030" s="1">
        <f ca="1">IFERROR(__xludf.DUMMYFUNCTION("""COMPUTED_VALUE"""),1)</f>
        <v>1</v>
      </c>
      <c r="BZ1030" s="1">
        <f ca="1">IFERROR(__xludf.DUMMYFUNCTION("""COMPUTED_VALUE"""),0)</f>
        <v>0</v>
      </c>
      <c r="CA1030" s="1" t="str">
        <f ca="1">IFERROR(__xludf.DUMMYFUNCTION("""COMPUTED_VALUE"""),"Yes")</f>
        <v>Yes</v>
      </c>
      <c r="CB1030" s="5">
        <f ca="1">IFERROR(__xludf.DUMMYFUNCTION("""COMPUTED_VALUE"""),45050.6630049768)</f>
        <v>45050.663004976799</v>
      </c>
      <c r="CC1030" s="1" t="str">
        <f ca="1">IFERROR(__xludf.DUMMYFUNCTION("""COMPUTED_VALUE"""),"परिवार में धार्मिक वातावरण बनाएँ : Rare Book")</f>
        <v>परिवार में धार्मिक वातावरण बनाएँ : Rare Book</v>
      </c>
      <c r="CD1030" s="3" t="str">
        <f ca="1">IFERROR(__xludf.DUMMYFUNCTION("""COMPUTED_VALUE"""),"https://vicharkrantibooks.org/productdetail?book_name=HINP0632_PARIWAR_MEIN_DHARMIK_VATAVARAN_BANAEN_xx1982&amp;product_id=1197")</f>
        <v>https://vicharkrantibooks.org/productdetail?book_name=HINP0632_PARIWAR_MEIN_DHARMIK_VATAVARAN_BANAEN_xx1982&amp;product_id=1197</v>
      </c>
      <c r="CE1030" s="1" t="str">
        <f ca="1">IFERROR(__xludf.DUMMYFUNCTION("""COMPUTED_VALUE"""),"Audiobook : परिवार में धार्मिक वातावरण बनाएँ : Rare Book : babitaram9735@gmail.com : Recorded")</f>
        <v>Audiobook : परिवार में धार्मिक वातावरण बनाएँ : Rare Book : babitaram9735@gmail.com : Recorded</v>
      </c>
      <c r="CF1030" s="1" t="str">
        <f ca="1">IFERROR(__xludf.DUMMYFUNCTION("""COMPUTED_VALUE"""),"#N/A")</f>
        <v>#N/A</v>
      </c>
      <c r="CG1030" s="1" t="str">
        <f ca="1">IFERROR(__xludf.DUMMYFUNCTION("""COMPUTED_VALUE"""),"Adarniya Babita Ram ji परिवार में धार्मिक वातावरण बनाएँ : Rare Book : Allocated on 24-Apr-23 Contact Number  9621159232")</f>
        <v>Adarniya Babita Ram ji परिवार में धार्मिक वातावरण बनाएँ : Rare Book : Allocated on 24-Apr-23 Contact Number  9621159232</v>
      </c>
      <c r="CH1030" s="1"/>
      <c r="CI1030" s="1"/>
    </row>
    <row r="1031" spans="1:87" x14ac:dyDescent="0.25">
      <c r="A1031" s="8">
        <f ca="1">IFERROR(__xludf.DUMMYFUNCTION("""COMPUTED_VALUE"""),45040)</f>
        <v>45040</v>
      </c>
      <c r="B1031" s="1" t="str">
        <f ca="1">IFERROR(__xludf.DUMMYFUNCTION("""COMPUTED_VALUE"""),"rbbansalriya@gmail.com")</f>
        <v>rbbansalriya@gmail.com</v>
      </c>
      <c r="C1031" s="1" t="str">
        <f ca="1">IFERROR(__xludf.DUMMYFUNCTION("""COMPUTED_VALUE"""),"Riya bansal ")</f>
        <v xml:space="preserve">Riya bansal </v>
      </c>
      <c r="D1031" s="1">
        <f ca="1">IFERROR(__xludf.DUMMYFUNCTION("""COMPUTED_VALUE"""),9176361023)</f>
        <v>9176361023</v>
      </c>
      <c r="E1031" s="1" t="str">
        <f ca="1">IFERROR(__xludf.DUMMYFUNCTION("""COMPUTED_VALUE"""),"Yes")</f>
        <v>Yes</v>
      </c>
      <c r="F1031" s="1" t="str">
        <f ca="1">IFERROR(__xludf.DUMMYFUNCTION("""COMPUTED_VALUE"""),"हिन्दी")</f>
        <v>हिन्दी</v>
      </c>
      <c r="G1031" s="1" t="str">
        <f ca="1">IFERROR(__xludf.DUMMYFUNCTION("""COMPUTED_VALUE"""),"अध्यात्म, धर्म एवं दर्शन")</f>
        <v>अध्यात्म, धर्म एवं दर्शन</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f ca="1">IFERROR(__xludf.DUMMYFUNCTION("""COMPUTED_VALUE"""),54)</f>
        <v>54</v>
      </c>
      <c r="BX1031" s="1">
        <f ca="1">IFERROR(__xludf.DUMMYFUNCTION("""COMPUTED_VALUE"""),55)</f>
        <v>55</v>
      </c>
      <c r="BY1031" s="1">
        <f ca="1">IFERROR(__xludf.DUMMYFUNCTION("""COMPUTED_VALUE"""),9)</f>
        <v>9</v>
      </c>
      <c r="BZ1031" s="1">
        <f ca="1">IFERROR(__xludf.DUMMYFUNCTION("""COMPUTED_VALUE"""),43)</f>
        <v>43</v>
      </c>
      <c r="CA1031" s="1" t="str">
        <f ca="1">IFERROR(__xludf.DUMMYFUNCTION("""COMPUTED_VALUE"""),"Yes")</f>
        <v>Yes</v>
      </c>
      <c r="CB1031" s="8">
        <f ca="1">IFERROR(__xludf.DUMMYFUNCTION("""COMPUTED_VALUE"""),45050)</f>
        <v>45050</v>
      </c>
      <c r="CC1031" s="1" t="str">
        <f ca="1">IFERROR(__xludf.DUMMYFUNCTION("""COMPUTED_VALUE"""),"सेवा साधना : H_JS_19")</f>
        <v>सेवा साधना : H_JS_19</v>
      </c>
      <c r="CD1031" s="3" t="str">
        <f ca="1">IFERROR(__xludf.DUMMYFUNCTION("""COMPUTED_VALUE"""),"https://vicharkrantibooks.org/productdetail?book_name=HINP0828_SEVA_SADHANA_xx2011&amp;product_id=1393")</f>
        <v>https://vicharkrantibooks.org/productdetail?book_name=HINP0828_SEVA_SADHANA_xx2011&amp;product_id=1393</v>
      </c>
      <c r="CE1031" s="1" t="str">
        <f ca="1">IFERROR(__xludf.DUMMYFUNCTION("""COMPUTED_VALUE"""),"Audiobook : सेवा साधना : H_JS_19 : rbbansalriya@gmail.com : Recorded")</f>
        <v>Audiobook : सेवा साधना : H_JS_19 : rbbansalriya@gmail.com : Recorded</v>
      </c>
      <c r="CF1031" s="1" t="str">
        <f ca="1">IFERROR(__xludf.DUMMYFUNCTION("""COMPUTED_VALUE"""),"Audiobook : सेवा साधना : H_JS_19 : rbbansalriya@gmail.com : Recorded")</f>
        <v>Audiobook : सेवा साधना : H_JS_19 : rbbansalriya@gmail.com : Recorded</v>
      </c>
      <c r="CG1031" s="1" t="str">
        <f ca="1">IFERROR(__xludf.DUMMYFUNCTION("""COMPUTED_VALUE"""),"Adarniya Riya bansal  ji सेवा साधना : H_JS_19 : Allocated on 24-Apr-23 Contact Number  9176361023")</f>
        <v>Adarniya Riya bansal  ji सेवा साधना : H_JS_19 : Allocated on 24-Apr-23 Contact Number  9176361023</v>
      </c>
      <c r="CH1031" s="1"/>
      <c r="CI1031" s="1"/>
    </row>
    <row r="1032" spans="1:87" x14ac:dyDescent="0.25">
      <c r="A1032" s="5">
        <f ca="1">IFERROR(__xludf.DUMMYFUNCTION("""COMPUTED_VALUE"""),45039.6311745717)</f>
        <v>45039.631174571703</v>
      </c>
      <c r="B1032" s="1" t="str">
        <f ca="1">IFERROR(__xludf.DUMMYFUNCTION("""COMPUTED_VALUE"""),"vandana15rastogi@gmail.com")</f>
        <v>vandana15rastogi@gmail.com</v>
      </c>
      <c r="C1032" s="1" t="str">
        <f ca="1">IFERROR(__xludf.DUMMYFUNCTION("""COMPUTED_VALUE"""),"Vandana Rastogi")</f>
        <v>Vandana Rastogi</v>
      </c>
      <c r="D1032" s="1">
        <f ca="1">IFERROR(__xludf.DUMMYFUNCTION("""COMPUTED_VALUE"""),9359528684)</f>
        <v>9359528684</v>
      </c>
      <c r="E1032" s="1" t="str">
        <f ca="1">IFERROR(__xludf.DUMMYFUNCTION("""COMPUTED_VALUE"""),"Yes")</f>
        <v>Yes</v>
      </c>
      <c r="F1032" s="1" t="str">
        <f ca="1">IFERROR(__xludf.DUMMYFUNCTION("""COMPUTED_VALUE"""),"हिन्दी")</f>
        <v>हिन्दी</v>
      </c>
      <c r="G1032" s="1" t="str">
        <f ca="1">IFERROR(__xludf.DUMMYFUNCTION("""COMPUTED_VALUE"""),"परिवार निर्माण")</f>
        <v>परिवार निर्माण</v>
      </c>
      <c r="H1032" s="1"/>
      <c r="I1032" s="1"/>
      <c r="J1032" s="1"/>
      <c r="K1032" s="1"/>
      <c r="L1032" s="1"/>
      <c r="M1032" s="1" t="str">
        <f ca="1">IFERROR(__xludf.DUMMYFUNCTION("""COMPUTED_VALUE"""),"आनंदमय वृद्धावस्था")</f>
        <v>आनंदमय वृद्धावस्था</v>
      </c>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f ca="1">IFERROR(__xludf.DUMMYFUNCTION("""COMPUTED_VALUE"""),33)</f>
        <v>33</v>
      </c>
      <c r="BX1032" s="1">
        <f ca="1">IFERROR(__xludf.DUMMYFUNCTION("""COMPUTED_VALUE"""),19)</f>
        <v>19</v>
      </c>
      <c r="BY1032" s="1">
        <f ca="1">IFERROR(__xludf.DUMMYFUNCTION("""COMPUTED_VALUE"""),17)</f>
        <v>17</v>
      </c>
      <c r="BZ1032" s="1">
        <f ca="1">IFERROR(__xludf.DUMMYFUNCTION("""COMPUTED_VALUE"""),14)</f>
        <v>14</v>
      </c>
      <c r="CA1032" s="1" t="str">
        <f ca="1">IFERROR(__xludf.DUMMYFUNCTION("""COMPUTED_VALUE"""),"Yes")</f>
        <v>Yes</v>
      </c>
      <c r="CB1032" s="5">
        <f ca="1">IFERROR(__xludf.DUMMYFUNCTION("""COMPUTED_VALUE"""),45049.6311745717)</f>
        <v>45049.631174571703</v>
      </c>
      <c r="CC1032" s="1" t="str">
        <f ca="1">IFERROR(__xludf.DUMMYFUNCTION("""COMPUTED_VALUE"""),"परिवार बने स्वर्ग : H_VV_11")</f>
        <v>परिवार बने स्वर्ग : H_VV_11</v>
      </c>
      <c r="CD1032" s="3" t="str">
        <f ca="1">IFERROR(__xludf.DUMMYFUNCTION("""COMPUTED_VALUE"""),"https://vicharkrantibooks.org/productdetail?book_name=HINP0626_PARIWAR_BANE_SWARG_xxyyyy&amp;product_id=1191")</f>
        <v>https://vicharkrantibooks.org/productdetail?book_name=HINP0626_PARIWAR_BANE_SWARG_xxyyyy&amp;product_id=1191</v>
      </c>
      <c r="CE1032" s="1" t="str">
        <f ca="1">IFERROR(__xludf.DUMMYFUNCTION("""COMPUTED_VALUE"""),"Audiobook : परिवार बने स्वर्ग : H_VV_11 : vandana15rastogi@gmail.com : Recorded")</f>
        <v>Audiobook : परिवार बने स्वर्ग : H_VV_11 : vandana15rastogi@gmail.com : Recorded</v>
      </c>
      <c r="CF1032" s="1" t="str">
        <f ca="1">IFERROR(__xludf.DUMMYFUNCTION("""COMPUTED_VALUE"""),"#N/A")</f>
        <v>#N/A</v>
      </c>
      <c r="CG1032" s="1" t="str">
        <f ca="1">IFERROR(__xludf.DUMMYFUNCTION("""COMPUTED_VALUE"""),"Adarniya Vandana Rastogi ji परिवार बने स्वर्ग : H_VV_11 : Allocated on 23-Apr-23 Contact Number  9359528684")</f>
        <v>Adarniya Vandana Rastogi ji परिवार बने स्वर्ग : H_VV_11 : Allocated on 23-Apr-23 Contact Number  9359528684</v>
      </c>
      <c r="CH1032" s="1"/>
      <c r="CI1032" s="1"/>
    </row>
    <row r="1033" spans="1:87" x14ac:dyDescent="0.25">
      <c r="A1033" s="5">
        <f ca="1">IFERROR(__xludf.DUMMYFUNCTION("""COMPUTED_VALUE"""),45038.8333131018)</f>
        <v>45038.833313101801</v>
      </c>
      <c r="B1033" s="1" t="str">
        <f ca="1">IFERROR(__xludf.DUMMYFUNCTION("""COMPUTED_VALUE"""),"sukhdasinghal@gmail.com")</f>
        <v>sukhdasinghal@gmail.com</v>
      </c>
      <c r="C1033" s="1" t="str">
        <f ca="1">IFERROR(__xludf.DUMMYFUNCTION("""COMPUTED_VALUE"""),"Sukhda Singhal")</f>
        <v>Sukhda Singhal</v>
      </c>
      <c r="D1033" s="1">
        <f ca="1">IFERROR(__xludf.DUMMYFUNCTION("""COMPUTED_VALUE"""),9411695085)</f>
        <v>9411695085</v>
      </c>
      <c r="E1033" s="1" t="str">
        <f ca="1">IFERROR(__xludf.DUMMYFUNCTION("""COMPUTED_VALUE"""),"Yes")</f>
        <v>Yes</v>
      </c>
      <c r="F1033" s="1" t="str">
        <f ca="1">IFERROR(__xludf.DUMMYFUNCTION("""COMPUTED_VALUE"""),"हिन्दी")</f>
        <v>हिन्दी</v>
      </c>
      <c r="G1033" s="1" t="str">
        <f ca="1">IFERROR(__xludf.DUMMYFUNCTION("""COMPUTED_VALUE"""),"परिवार निर्माण")</f>
        <v>परिवार निर्माण</v>
      </c>
      <c r="H1033" s="1"/>
      <c r="I1033" s="1"/>
      <c r="J1033" s="1"/>
      <c r="K1033" s="1"/>
      <c r="L1033" s="1"/>
      <c r="M1033" s="1" t="str">
        <f ca="1">IFERROR(__xludf.DUMMYFUNCTION("""COMPUTED_VALUE"""),"आनंदमय वृद्धावस्था")</f>
        <v>आनंदमय वृद्धावस्था</v>
      </c>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f ca="1">IFERROR(__xludf.DUMMYFUNCTION("""COMPUTED_VALUE"""),3)</f>
        <v>3</v>
      </c>
      <c r="BX1033" s="1">
        <f ca="1">IFERROR(__xludf.DUMMYFUNCTION("""COMPUTED_VALUE"""),1)</f>
        <v>1</v>
      </c>
      <c r="BY1033" s="1">
        <f ca="1">IFERROR(__xludf.DUMMYFUNCTION("""COMPUTED_VALUE"""),2)</f>
        <v>2</v>
      </c>
      <c r="BZ1033" s="1">
        <f ca="1">IFERROR(__xludf.DUMMYFUNCTION("""COMPUTED_VALUE"""),0)</f>
        <v>0</v>
      </c>
      <c r="CA1033" s="1" t="str">
        <f ca="1">IFERROR(__xludf.DUMMYFUNCTION("""COMPUTED_VALUE"""),"Yes")</f>
        <v>Yes</v>
      </c>
      <c r="CB1033" s="5">
        <f ca="1">IFERROR(__xludf.DUMMYFUNCTION("""COMPUTED_VALUE"""),45048.8333131018)</f>
        <v>45048.833313101801</v>
      </c>
      <c r="CC1033" s="1" t="str">
        <f ca="1">IFERROR(__xludf.DUMMYFUNCTION("""COMPUTED_VALUE"""),"परिवार को सुसंस्कारी कैसे बनाएँ ? : Rare Book")</f>
        <v>परिवार को सुसंस्कारी कैसे बनाएँ ? : Rare Book</v>
      </c>
      <c r="CD1033" s="3" t="str">
        <f ca="1">IFERROR(__xludf.DUMMYFUNCTION("""COMPUTED_VALUE"""),"https://vicharkrantibooks.org/productdetail?book_name=HINP0631_PARIWAR_KO_SUSANSKARI_KAISE_BANAEN_xxyyyy&amp;product_id=1196")</f>
        <v>https://vicharkrantibooks.org/productdetail?book_name=HINP0631_PARIWAR_KO_SUSANSKARI_KAISE_BANAEN_xxyyyy&amp;product_id=1196</v>
      </c>
      <c r="CE1033" s="1" t="str">
        <f ca="1">IFERROR(__xludf.DUMMYFUNCTION("""COMPUTED_VALUE"""),"Audiobook : परिवार को सुसंस्कारी कैसे बनाएँ ? : Rare Book : sukhdasinghal@gmail.com : Recorded")</f>
        <v>Audiobook : परिवार को सुसंस्कारी कैसे बनाएँ ? : Rare Book : sukhdasinghal@gmail.com : Recorded</v>
      </c>
      <c r="CF1033" s="1" t="str">
        <f ca="1">IFERROR(__xludf.DUMMYFUNCTION("""COMPUTED_VALUE"""),"Audiobook : परिवार को सुसंस्कारी कैसे बनाएँ ? : Rare Book : sukhdasinghal@gmail.com : Recorded")</f>
        <v>Audiobook : परिवार को सुसंस्कारी कैसे बनाएँ ? : Rare Book : sukhdasinghal@gmail.com : Recorded</v>
      </c>
      <c r="CG1033" s="1" t="str">
        <f ca="1">IFERROR(__xludf.DUMMYFUNCTION("""COMPUTED_VALUE"""),"Adarniya Sukhda Singhal ji परिवार को सुसंस्कारी कैसे बनाएँ ? : Rare Book : Allocated on 22-Apr-23 Contact Number  9411695085")</f>
        <v>Adarniya Sukhda Singhal ji परिवार को सुसंस्कारी कैसे बनाएँ ? : Rare Book : Allocated on 22-Apr-23 Contact Number  9411695085</v>
      </c>
      <c r="CH1033" s="1"/>
      <c r="CI1033" s="1"/>
    </row>
    <row r="1034" spans="1:87" x14ac:dyDescent="0.25">
      <c r="A1034" s="5">
        <f ca="1">IFERROR(__xludf.DUMMYFUNCTION("""COMPUTED_VALUE"""),45038.7294627777)</f>
        <v>45038.729462777701</v>
      </c>
      <c r="B1034" s="1" t="str">
        <f ca="1">IFERROR(__xludf.DUMMYFUNCTION("""COMPUTED_VALUE"""),"rbbansalriya@gmail.com")</f>
        <v>rbbansalriya@gmail.com</v>
      </c>
      <c r="C1034" s="1" t="str">
        <f ca="1">IFERROR(__xludf.DUMMYFUNCTION("""COMPUTED_VALUE"""),"Riya bansal ")</f>
        <v xml:space="preserve">Riya bansal </v>
      </c>
      <c r="D1034" s="1">
        <f ca="1">IFERROR(__xludf.DUMMYFUNCTION("""COMPUTED_VALUE"""),9176361023)</f>
        <v>9176361023</v>
      </c>
      <c r="E1034" s="1" t="str">
        <f ca="1">IFERROR(__xludf.DUMMYFUNCTION("""COMPUTED_VALUE"""),"Yes")</f>
        <v>Yes</v>
      </c>
      <c r="F1034" s="1" t="str">
        <f ca="1">IFERROR(__xludf.DUMMYFUNCTION("""COMPUTED_VALUE"""),"हिन्दी")</f>
        <v>हिन्दी</v>
      </c>
      <c r="G1034" s="1" t="str">
        <f ca="1">IFERROR(__xludf.DUMMYFUNCTION("""COMPUTED_VALUE"""),"अध्यात्म, धर्म एवं दर्शन")</f>
        <v>अध्यात्म, धर्म एवं दर्शन</v>
      </c>
      <c r="H1034" s="1" t="str">
        <f ca="1">IFERROR(__xludf.DUMMYFUNCTION("""COMPUTED_VALUE"""),"अध्यात्म, धर्म एवं आस्तिकता")</f>
        <v>अध्यात्म, धर्म एवं आस्तिकता</v>
      </c>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f ca="1">IFERROR(__xludf.DUMMYFUNCTION("""COMPUTED_VALUE"""),54)</f>
        <v>54</v>
      </c>
      <c r="BX1034" s="1">
        <f ca="1">IFERROR(__xludf.DUMMYFUNCTION("""COMPUTED_VALUE"""),55)</f>
        <v>55</v>
      </c>
      <c r="BY1034" s="1">
        <f ca="1">IFERROR(__xludf.DUMMYFUNCTION("""COMPUTED_VALUE"""),9)</f>
        <v>9</v>
      </c>
      <c r="BZ1034" s="1">
        <f ca="1">IFERROR(__xludf.DUMMYFUNCTION("""COMPUTED_VALUE"""),43)</f>
        <v>43</v>
      </c>
      <c r="CA1034" s="1" t="str">
        <f ca="1">IFERROR(__xludf.DUMMYFUNCTION("""COMPUTED_VALUE"""),"Yes")</f>
        <v>Yes</v>
      </c>
      <c r="CB1034" s="5">
        <f ca="1">IFERROR(__xludf.DUMMYFUNCTION("""COMPUTED_VALUE"""),45048.7294627777)</f>
        <v>45048.729462777701</v>
      </c>
      <c r="CC1034" s="1" t="str">
        <f ca="1">IFERROR(__xludf.DUMMYFUNCTION("""COMPUTED_VALUE"""),"उपासना की महत्ता और उसका स्वरुप : Rare Book")</f>
        <v>उपासना की महत्ता और उसका स्वरुप : Rare Book</v>
      </c>
      <c r="CD1034" s="3" t="str">
        <f ca="1">IFERROR(__xludf.DUMMYFUNCTION("""COMPUTED_VALUE"""),"https://vicharkrantibooks.org/productdetail?book_name=HINP0925_UPASANA_KI_MAHATTA_AUR_USAKA_SWARUP_xx1981&amp;product_id=1490")</f>
        <v>https://vicharkrantibooks.org/productdetail?book_name=HINP0925_UPASANA_KI_MAHATTA_AUR_USAKA_SWARUP_xx1981&amp;product_id=1490</v>
      </c>
      <c r="CE1034" s="1" t="str">
        <f ca="1">IFERROR(__xludf.DUMMYFUNCTION("""COMPUTED_VALUE"""),"Audiobook : उपासना की महत्ता और उसका स्वरुप : Rare Book : rbbansalriya@gmail.com : Recorded")</f>
        <v>Audiobook : उपासना की महत्ता और उसका स्वरुप : Rare Book : rbbansalriya@gmail.com : Recorded</v>
      </c>
      <c r="CF1034" s="1" t="str">
        <f ca="1">IFERROR(__xludf.DUMMYFUNCTION("""COMPUTED_VALUE"""),"Audiobook : उपासना की महत्ता और उसका स्वरुप : Rare Book : rbbansalriya@gmail.com : Recorded")</f>
        <v>Audiobook : उपासना की महत्ता और उसका स्वरुप : Rare Book : rbbansalriya@gmail.com : Recorded</v>
      </c>
      <c r="CG1034" s="1" t="str">
        <f ca="1">IFERROR(__xludf.DUMMYFUNCTION("""COMPUTED_VALUE"""),"Adarniya Riya bansal  ji उपासना की महत्ता और उसका स्वरुप : Rare Book : Allocated on 22-Apr-23 Contact Number  9176361023")</f>
        <v>Adarniya Riya bansal  ji उपासना की महत्ता और उसका स्वरुप : Rare Book : Allocated on 22-Apr-23 Contact Number  9176361023</v>
      </c>
      <c r="CH1034" s="1"/>
      <c r="CI1034" s="1"/>
    </row>
    <row r="1035" spans="1:87" x14ac:dyDescent="0.25">
      <c r="A1035" s="5">
        <f ca="1">IFERROR(__xludf.DUMMYFUNCTION("""COMPUTED_VALUE"""),45037.5577943402)</f>
        <v>45037.557794340202</v>
      </c>
      <c r="B1035" s="1" t="str">
        <f ca="1">IFERROR(__xludf.DUMMYFUNCTION("""COMPUTED_VALUE"""),"spmittalmumbai@gmail.com")</f>
        <v>spmittalmumbai@gmail.com</v>
      </c>
      <c r="C1035" s="1" t="str">
        <f ca="1">IFERROR(__xludf.DUMMYFUNCTION("""COMPUTED_VALUE"""),"Satya prabha Mittal")</f>
        <v>Satya prabha Mittal</v>
      </c>
      <c r="D1035" s="1">
        <f ca="1">IFERROR(__xludf.DUMMYFUNCTION("""COMPUTED_VALUE"""),7045537099)</f>
        <v>7045537099</v>
      </c>
      <c r="E1035" s="1" t="str">
        <f ca="1">IFERROR(__xludf.DUMMYFUNCTION("""COMPUTED_VALUE"""),"Yes")</f>
        <v>Yes</v>
      </c>
      <c r="F1035" s="1" t="str">
        <f ca="1">IFERROR(__xludf.DUMMYFUNCTION("""COMPUTED_VALUE"""),"हिन्दी")</f>
        <v>हिन्दी</v>
      </c>
      <c r="G1035" s="1" t="str">
        <f ca="1">IFERROR(__xludf.DUMMYFUNCTION("""COMPUTED_VALUE"""),"समग्र स्वास्थ्य")</f>
        <v>समग्र स्वास्थ्य</v>
      </c>
      <c r="H1035" s="1"/>
      <c r="I1035" s="1"/>
      <c r="J1035" s="1"/>
      <c r="K1035" s="1"/>
      <c r="L1035" s="1"/>
      <c r="M1035" s="1"/>
      <c r="N1035" s="1"/>
      <c r="O1035" s="1"/>
      <c r="P1035" s="1"/>
      <c r="Q1035" s="1"/>
      <c r="R1035" s="1"/>
      <c r="S1035" s="1"/>
      <c r="T1035" s="1"/>
      <c r="U1035" s="1" t="str">
        <f ca="1">IFERROR(__xludf.DUMMYFUNCTION("""COMPUTED_VALUE"""),"स्वास्थ्य संवर्धन")</f>
        <v>स्वास्थ्य संवर्धन</v>
      </c>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f ca="1">IFERROR(__xludf.DUMMYFUNCTION("""COMPUTED_VALUE"""),39)</f>
        <v>39</v>
      </c>
      <c r="BX1035" s="1">
        <f ca="1">IFERROR(__xludf.DUMMYFUNCTION("""COMPUTED_VALUE"""),32)</f>
        <v>32</v>
      </c>
      <c r="BY1035" s="1">
        <f ca="1">IFERROR(__xludf.DUMMYFUNCTION("""COMPUTED_VALUE"""),11)</f>
        <v>11</v>
      </c>
      <c r="BZ1035" s="1">
        <f ca="1">IFERROR(__xludf.DUMMYFUNCTION("""COMPUTED_VALUE"""),23)</f>
        <v>23</v>
      </c>
      <c r="CA1035" s="1" t="str">
        <f ca="1">IFERROR(__xludf.DUMMYFUNCTION("""COMPUTED_VALUE"""),"Yes")</f>
        <v>Yes</v>
      </c>
      <c r="CB1035" s="5">
        <f ca="1">IFERROR(__xludf.DUMMYFUNCTION("""COMPUTED_VALUE"""),45047.5577943402)</f>
        <v>45047.557794340202</v>
      </c>
      <c r="CC1035" s="1" t="str">
        <f ca="1">IFERROR(__xludf.DUMMYFUNCTION("""COMPUTED_VALUE"""),"अखण्ड आनंद का स्त्रोत अपने ही अंदर : Rare Book")</f>
        <v>अखण्ड आनंद का स्त्रोत अपने ही अंदर : Rare Book</v>
      </c>
      <c r="CD1035" s="3" t="str">
        <f ca="1">IFERROR(__xludf.DUMMYFUNCTION("""COMPUTED_VALUE"""),"https://vicharkrantibooks.org/productdetail?book_name=HINP0037_AKHAND_ANAND_KA_STROT_APANE_HI_ANDAR_xx1981&amp;product_id=602")</f>
        <v>https://vicharkrantibooks.org/productdetail?book_name=HINP0037_AKHAND_ANAND_KA_STROT_APANE_HI_ANDAR_xx1981&amp;product_id=602</v>
      </c>
      <c r="CE1035" s="1" t="str">
        <f ca="1">IFERROR(__xludf.DUMMYFUNCTION("""COMPUTED_VALUE"""),"Audiobook : अखण्ड आनंद का स्त्रोत अपने ही अंदर : Rare Book : spmittalmumbai@gmail.com : Recorded")</f>
        <v>Audiobook : अखण्ड आनंद का स्त्रोत अपने ही अंदर : Rare Book : spmittalmumbai@gmail.com : Recorded</v>
      </c>
      <c r="CF1035" s="1" t="str">
        <f ca="1">IFERROR(__xludf.DUMMYFUNCTION("""COMPUTED_VALUE"""),"Audiobook : अखण्ड आनंद का स्त्रोत अपने ही अंदर : Rare Book : spmittalmumbai@gmail.com : Recorded")</f>
        <v>Audiobook : अखण्ड आनंद का स्त्रोत अपने ही अंदर : Rare Book : spmittalmumbai@gmail.com : Recorded</v>
      </c>
      <c r="CG1035" s="1" t="str">
        <f ca="1">IFERROR(__xludf.DUMMYFUNCTION("""COMPUTED_VALUE"""),"Adarniya Satya prabha Mittal ji अखण्ड आनंद का स्त्रोत अपने ही अंदर : Rare Book : Allocated on 21-Apr-23 Contact Number  7045537099")</f>
        <v>Adarniya Satya prabha Mittal ji अखण्ड आनंद का स्त्रोत अपने ही अंदर : Rare Book : Allocated on 21-Apr-23 Contact Number  7045537099</v>
      </c>
      <c r="CH1035" s="1"/>
      <c r="CI1035" s="1"/>
    </row>
    <row r="1036" spans="1:87" x14ac:dyDescent="0.25">
      <c r="A1036" s="5">
        <f ca="1">IFERROR(__xludf.DUMMYFUNCTION("""COMPUTED_VALUE"""),45037.5069735879)</f>
        <v>45037.506973587901</v>
      </c>
      <c r="B1036" s="1" t="str">
        <f ca="1">IFERROR(__xludf.DUMMYFUNCTION("""COMPUTED_VALUE"""),"amrita_dube@yahoo.com")</f>
        <v>amrita_dube@yahoo.com</v>
      </c>
      <c r="C1036" s="1" t="str">
        <f ca="1">IFERROR(__xludf.DUMMYFUNCTION("""COMPUTED_VALUE"""),"Amrita")</f>
        <v>Amrita</v>
      </c>
      <c r="D1036" s="1"/>
      <c r="E1036" s="1" t="str">
        <f ca="1">IFERROR(__xludf.DUMMYFUNCTION("""COMPUTED_VALUE"""),"No")</f>
        <v>No</v>
      </c>
      <c r="F1036" s="1" t="str">
        <f ca="1">IFERROR(__xludf.DUMMYFUNCTION("""COMPUTED_VALUE"""),"English")</f>
        <v>English</v>
      </c>
      <c r="G1036" s="1" t="str">
        <f ca="1">IFERROR(__xludf.DUMMYFUNCTION("""COMPUTED_VALUE"""),"अध्यात्म, धर्म एवं दर्शन")</f>
        <v>अध्यात्म, धर्म एवं दर्शन</v>
      </c>
      <c r="H1036" s="1" t="str">
        <f ca="1">IFERROR(__xludf.DUMMYFUNCTION("""COMPUTED_VALUE"""),"आत्मज्ञान एवं आत्मनिर्माण")</f>
        <v>आत्मज्ञान एवं आत्मनिर्माण</v>
      </c>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f ca="1">IFERROR(__xludf.DUMMYFUNCTION("""COMPUTED_VALUE"""),17)</f>
        <v>17</v>
      </c>
      <c r="BX1036" s="1">
        <f ca="1">IFERROR(__xludf.DUMMYFUNCTION("""COMPUTED_VALUE"""),14)</f>
        <v>14</v>
      </c>
      <c r="BY1036" s="1">
        <f ca="1">IFERROR(__xludf.DUMMYFUNCTION("""COMPUTED_VALUE"""),6)</f>
        <v>6</v>
      </c>
      <c r="BZ1036" s="1">
        <f ca="1">IFERROR(__xludf.DUMMYFUNCTION("""COMPUTED_VALUE"""),5)</f>
        <v>5</v>
      </c>
      <c r="CA1036" s="1" t="str">
        <f ca="1">IFERROR(__xludf.DUMMYFUNCTION("""COMPUTED_VALUE"""),"Yes")</f>
        <v>Yes</v>
      </c>
      <c r="CB1036" s="5">
        <f ca="1">IFERROR(__xludf.DUMMYFUNCTION("""COMPUTED_VALUE"""),45047.5069735879)</f>
        <v>45047.506973587901</v>
      </c>
      <c r="CC1036" s="1" t="str">
        <f ca="1">IFERROR(__xludf.DUMMYFUNCTION("""COMPUTED_VALUE"""),"Four Pillars Of Self Developments : EP_98")</f>
        <v>Four Pillars Of Self Developments : EP_98</v>
      </c>
      <c r="CD1036" s="3" t="str">
        <f ca="1">IFERROR(__xludf.DUMMYFUNCTION("""COMPUTED_VALUE"""),"https://vicharkrantibooks.org/productdetail?book_name=ENGPE098_FOUR_PILLARS_OF_SELF_DEVELOPMENTS_xxyyyy&amp;product_id=3490")</f>
        <v>https://vicharkrantibooks.org/productdetail?book_name=ENGPE098_FOUR_PILLARS_OF_SELF_DEVELOPMENTS_xxyyyy&amp;product_id=3490</v>
      </c>
      <c r="CE1036" s="1" t="str">
        <f ca="1">IFERROR(__xludf.DUMMYFUNCTION("""COMPUTED_VALUE"""),"Audiobook : Four Pillars Of Self Developments : EP_98 : amrita_dube@yahoo.com : Recorded")</f>
        <v>Audiobook : Four Pillars Of Self Developments : EP_98 : amrita_dube@yahoo.com : Recorded</v>
      </c>
      <c r="CF1036" s="1" t="str">
        <f ca="1">IFERROR(__xludf.DUMMYFUNCTION("""COMPUTED_VALUE"""),"Audiobook : Four Pillars Of Self Developments : EP_98 : amrita_dube@yahoo.com : Recorded")</f>
        <v>Audiobook : Four Pillars Of Self Developments : EP_98 : amrita_dube@yahoo.com : Recorded</v>
      </c>
      <c r="CG1036" s="1" t="str">
        <f ca="1">IFERROR(__xludf.DUMMYFUNCTION("""COMPUTED_VALUE"""),"Adarniya Amrita ji Four Pillars Of Self Developments : EP_98 : Allocated on 21-Apr-23 Contact Number  ")</f>
        <v xml:space="preserve">Adarniya Amrita ji Four Pillars Of Self Developments : EP_98 : Allocated on 21-Apr-23 Contact Number  </v>
      </c>
      <c r="CH1036" s="1"/>
      <c r="CI1036" s="1"/>
    </row>
    <row r="1037" spans="1:87" x14ac:dyDescent="0.25">
      <c r="A1037" s="5">
        <f ca="1">IFERROR(__xludf.DUMMYFUNCTION("""COMPUTED_VALUE"""),45037.4973121296)</f>
        <v>45037.497312129599</v>
      </c>
      <c r="B1037" s="1" t="str">
        <f ca="1">IFERROR(__xludf.DUMMYFUNCTION("""COMPUTED_VALUE"""),"shrutidube.86@gmail.com")</f>
        <v>shrutidube.86@gmail.com</v>
      </c>
      <c r="C1037" s="1" t="str">
        <f ca="1">IFERROR(__xludf.DUMMYFUNCTION("""COMPUTED_VALUE"""),"Shruti Dubey")</f>
        <v>Shruti Dubey</v>
      </c>
      <c r="D1037" s="1">
        <f ca="1">IFERROR(__xludf.DUMMYFUNCTION("""COMPUTED_VALUE"""),7021294023)</f>
        <v>7021294023</v>
      </c>
      <c r="E1037" s="1" t="str">
        <f ca="1">IFERROR(__xludf.DUMMYFUNCTION("""COMPUTED_VALUE"""),"Yes")</f>
        <v>Yes</v>
      </c>
      <c r="F1037" s="1" t="str">
        <f ca="1">IFERROR(__xludf.DUMMYFUNCTION("""COMPUTED_VALUE"""),"English")</f>
        <v>English</v>
      </c>
      <c r="G1037" s="1" t="str">
        <f ca="1">IFERROR(__xludf.DUMMYFUNCTION("""COMPUTED_VALUE"""),"English")</f>
        <v>English</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f ca="1">IFERROR(__xludf.DUMMYFUNCTION("""COMPUTED_VALUE"""),8)</f>
        <v>8</v>
      </c>
      <c r="BX1037" s="1">
        <f ca="1">IFERROR(__xludf.DUMMYFUNCTION("""COMPUTED_VALUE"""),4)</f>
        <v>4</v>
      </c>
      <c r="BY1037" s="1">
        <f ca="1">IFERROR(__xludf.DUMMYFUNCTION("""COMPUTED_VALUE"""),4)</f>
        <v>4</v>
      </c>
      <c r="BZ1037" s="1">
        <f ca="1">IFERROR(__xludf.DUMMYFUNCTION("""COMPUTED_VALUE"""),1)</f>
        <v>1</v>
      </c>
      <c r="CA1037" s="1" t="str">
        <f ca="1">IFERROR(__xludf.DUMMYFUNCTION("""COMPUTED_VALUE"""),"Yes")</f>
        <v>Yes</v>
      </c>
      <c r="CB1037" s="5">
        <f ca="1">IFERROR(__xludf.DUMMYFUNCTION("""COMPUTED_VALUE"""),45047.4973121296)</f>
        <v>45047.497312129599</v>
      </c>
      <c r="CC1037" s="1" t="str">
        <f ca="1">IFERROR(__xludf.DUMMYFUNCTION("""COMPUTED_VALUE"""),"Don’T Be Trapped By The Evils Of Modernisation : EP_118")</f>
        <v>Don’T Be Trapped By The Evils Of Modernisation : EP_118</v>
      </c>
      <c r="CD1037" s="3" t="str">
        <f ca="1">IFERROR(__xludf.DUMMYFUNCTION("""COMPUTED_VALUE"""),"https://vicharkrantibooks.org/productdetail?book_name=ENGP0009_DON%E2%80%99T_BE_TRAPPED_BY_THE_EVILS_OF_MODERNISATION_xxyyyy&amp;product_id=3503")</f>
        <v>https://vicharkrantibooks.org/productdetail?book_name=ENGP0009_DON%E2%80%99T_BE_TRAPPED_BY_THE_EVILS_OF_MODERNISATION_xxyyyy&amp;product_id=3503</v>
      </c>
      <c r="CE1037" s="1" t="str">
        <f ca="1">IFERROR(__xludf.DUMMYFUNCTION("""COMPUTED_VALUE"""),"Audiobook : Don’T Be Trapped By The Evils Of Modernisation : EP_118 : shrutidube.86@gmail.com : Recorded")</f>
        <v>Audiobook : Don’T Be Trapped By The Evils Of Modernisation : EP_118 : shrutidube.86@gmail.com : Recorded</v>
      </c>
      <c r="CF1037" s="1" t="str">
        <f ca="1">IFERROR(__xludf.DUMMYFUNCTION("""COMPUTED_VALUE"""),"Audiobook : Don’T Be Trapped By The Evils Of Modernisation : EP_118 : shrutidube.86@gmail.com : Recorded")</f>
        <v>Audiobook : Don’T Be Trapped By The Evils Of Modernisation : EP_118 : shrutidube.86@gmail.com : Recorded</v>
      </c>
      <c r="CG1037" s="1" t="str">
        <f ca="1">IFERROR(__xludf.DUMMYFUNCTION("""COMPUTED_VALUE"""),"Adarniya Shruti Dubey ji Don’T Be Trapped By The Evils Of Modernisation : EP_118 : Allocated on 21-Apr-23 Contact Number  7021294023")</f>
        <v>Adarniya Shruti Dubey ji Don’T Be Trapped By The Evils Of Modernisation : EP_118 : Allocated on 21-Apr-23 Contact Number  7021294023</v>
      </c>
      <c r="CH1037" s="1"/>
      <c r="CI1037" s="1"/>
    </row>
    <row r="1038" spans="1:87" x14ac:dyDescent="0.25">
      <c r="A1038" s="5">
        <f ca="1">IFERROR(__xludf.DUMMYFUNCTION("""COMPUTED_VALUE"""),45035.4893755902)</f>
        <v>45035.489375590201</v>
      </c>
      <c r="B1038" s="1" t="str">
        <f ca="1">IFERROR(__xludf.DUMMYFUNCTION("""COMPUTED_VALUE"""),"shweta.r.gupta79@gmail.com")</f>
        <v>shweta.r.gupta79@gmail.com</v>
      </c>
      <c r="C1038" s="1" t="str">
        <f ca="1">IFERROR(__xludf.DUMMYFUNCTION("""COMPUTED_VALUE"""),"Shweta Gupta ")</f>
        <v xml:space="preserve">Shweta Gupta </v>
      </c>
      <c r="D1038" s="1">
        <f ca="1">IFERROR(__xludf.DUMMYFUNCTION("""COMPUTED_VALUE"""),8369516724)</f>
        <v>8369516724</v>
      </c>
      <c r="E1038" s="1" t="str">
        <f ca="1">IFERROR(__xludf.DUMMYFUNCTION("""COMPUTED_VALUE"""),"Yes")</f>
        <v>Yes</v>
      </c>
      <c r="F1038" s="1" t="str">
        <f ca="1">IFERROR(__xludf.DUMMYFUNCTION("""COMPUTED_VALUE"""),"हिन्दी")</f>
        <v>हिन्दी</v>
      </c>
      <c r="G1038" s="1" t="str">
        <f ca="1">IFERROR(__xludf.DUMMYFUNCTION("""COMPUTED_VALUE"""),"संस्कार, कर्मकाण्ड, पाठ, पूजा, गीत-संगीत")</f>
        <v>संस्कार, कर्मकाण्ड, पाठ, पूजा, गीत-संगीत</v>
      </c>
      <c r="H1038" s="1"/>
      <c r="I1038" s="1"/>
      <c r="J1038" s="1"/>
      <c r="K1038" s="1"/>
      <c r="L1038" s="1"/>
      <c r="M1038" s="1"/>
      <c r="N1038" s="1"/>
      <c r="O1038" s="1"/>
      <c r="P1038" s="1"/>
      <c r="Q1038" s="1"/>
      <c r="R1038" s="1"/>
      <c r="S1038" s="1"/>
      <c r="T1038" s="1"/>
      <c r="U1038" s="1"/>
      <c r="V1038" s="1"/>
      <c r="W1038" s="1" t="str">
        <f ca="1">IFERROR(__xludf.DUMMYFUNCTION("""COMPUTED_VALUE"""),"पाठ, पूजा, चालीसा, प्रार्थना,")</f>
        <v>पाठ, पूजा, चालीसा, प्रार्थना,</v>
      </c>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t="str">
        <f ca="1">IFERROR(__xludf.DUMMYFUNCTION("""COMPUTED_VALUE"""),"गायत्री चालीसा")</f>
        <v>गायत्री चालीसा</v>
      </c>
      <c r="BI1038" s="1"/>
      <c r="BJ1038" s="1"/>
      <c r="BK1038" s="1"/>
      <c r="BL1038" s="1"/>
      <c r="BM1038" s="1"/>
      <c r="BN1038" s="1"/>
      <c r="BO1038" s="1"/>
      <c r="BP1038" s="1"/>
      <c r="BQ1038" s="1"/>
      <c r="BR1038" s="1"/>
      <c r="BS1038" s="1"/>
      <c r="BT1038" s="1"/>
      <c r="BU1038" s="1"/>
      <c r="BV1038" s="1"/>
      <c r="BW1038" s="1">
        <f ca="1">IFERROR(__xludf.DUMMYFUNCTION("""COMPUTED_VALUE"""),31)</f>
        <v>31</v>
      </c>
      <c r="BX1038" s="1">
        <f ca="1">IFERROR(__xludf.DUMMYFUNCTION("""COMPUTED_VALUE"""),45)</f>
        <v>45</v>
      </c>
      <c r="BY1038" s="1">
        <f ca="1">IFERROR(__xludf.DUMMYFUNCTION("""COMPUTED_VALUE"""),3)</f>
        <v>3</v>
      </c>
      <c r="BZ1038" s="1">
        <f ca="1">IFERROR(__xludf.DUMMYFUNCTION("""COMPUTED_VALUE"""),40)</f>
        <v>40</v>
      </c>
      <c r="CA1038" s="1" t="str">
        <f ca="1">IFERROR(__xludf.DUMMYFUNCTION("""COMPUTED_VALUE"""),"Yes")</f>
        <v>Yes</v>
      </c>
      <c r="CB1038" s="5">
        <f ca="1">IFERROR(__xludf.DUMMYFUNCTION("""COMPUTED_VALUE"""),45045.4893755902)</f>
        <v>45045.489375590201</v>
      </c>
      <c r="CC1038" s="1" t="str">
        <f ca="1">IFERROR(__xludf.DUMMYFUNCTION("""COMPUTED_VALUE"""),"गायत्री चालीसा  : H_GG_13")</f>
        <v>गायत्री चालीसा  : H_GG_13</v>
      </c>
      <c r="CD1038" s="3" t="str">
        <f ca="1">IFERROR(__xludf.DUMMYFUNCTION("""COMPUTED_VALUE"""),"https://vicharkrantibooks.org/productdetail?book_name=HINP0279_GAYATRI_CHALISA_xxyyyy&amp;product_id=844")</f>
        <v>https://vicharkrantibooks.org/productdetail?book_name=HINP0279_GAYATRI_CHALISA_xxyyyy&amp;product_id=844</v>
      </c>
      <c r="CE1038" s="1" t="str">
        <f ca="1">IFERROR(__xludf.DUMMYFUNCTION("""COMPUTED_VALUE"""),"Audiobook : गायत्री चालीसा  : H_GG_13 : shweta.r.gupta79@gmail.com : Recorded")</f>
        <v>Audiobook : गायत्री चालीसा  : H_GG_13 : shweta.r.gupta79@gmail.com : Recorded</v>
      </c>
      <c r="CF1038" s="1" t="str">
        <f ca="1">IFERROR(__xludf.DUMMYFUNCTION("""COMPUTED_VALUE"""),"Audiobook : गायत्री चालीसा  : H_GG_13 : shweta.r.gupta79@gmail.com : Recorded")</f>
        <v>Audiobook : गायत्री चालीसा  : H_GG_13 : shweta.r.gupta79@gmail.com : Recorded</v>
      </c>
      <c r="CG1038" s="1" t="str">
        <f ca="1">IFERROR(__xludf.DUMMYFUNCTION("""COMPUTED_VALUE"""),"Adarniya Shweta Gupta  ji गायत्री चालीसा  : H_GG_13 : Allocated on 19-Apr-23 Contact Number  8369516724")</f>
        <v>Adarniya Shweta Gupta  ji गायत्री चालीसा  : H_GG_13 : Allocated on 19-Apr-23 Contact Number  8369516724</v>
      </c>
      <c r="CH1038" s="1"/>
      <c r="CI1038" s="1"/>
    </row>
    <row r="1039" spans="1:87" x14ac:dyDescent="0.25">
      <c r="A1039" s="5">
        <f ca="1">IFERROR(__xludf.DUMMYFUNCTION("""COMPUTED_VALUE"""),45034.5749199074)</f>
        <v>45034.574919907398</v>
      </c>
      <c r="B1039" s="1" t="str">
        <f ca="1">IFERROR(__xludf.DUMMYFUNCTION("""COMPUTED_VALUE"""),"shweta.r.gupta79@gmail.com")</f>
        <v>shweta.r.gupta79@gmail.com</v>
      </c>
      <c r="C1039" s="1" t="str">
        <f ca="1">IFERROR(__xludf.DUMMYFUNCTION("""COMPUTED_VALUE"""),"Shweta Gupta ")</f>
        <v xml:space="preserve">Shweta Gupta </v>
      </c>
      <c r="D1039" s="1">
        <f ca="1">IFERROR(__xludf.DUMMYFUNCTION("""COMPUTED_VALUE"""),8369516724)</f>
        <v>8369516724</v>
      </c>
      <c r="E1039" s="1" t="str">
        <f ca="1">IFERROR(__xludf.DUMMYFUNCTION("""COMPUTED_VALUE"""),"Yes")</f>
        <v>Yes</v>
      </c>
      <c r="F1039" s="1" t="str">
        <f ca="1">IFERROR(__xludf.DUMMYFUNCTION("""COMPUTED_VALUE"""),"हिन्दी")</f>
        <v>हिन्दी</v>
      </c>
      <c r="G1039" s="1" t="str">
        <f ca="1">IFERROR(__xludf.DUMMYFUNCTION("""COMPUTED_VALUE"""),"परिवार निर्माण")</f>
        <v>परिवार निर्माण</v>
      </c>
      <c r="H1039" s="1"/>
      <c r="I1039" s="1"/>
      <c r="J1039" s="1"/>
      <c r="K1039" s="1"/>
      <c r="L1039" s="1"/>
      <c r="M1039" s="1" t="str">
        <f ca="1">IFERROR(__xludf.DUMMYFUNCTION("""COMPUTED_VALUE"""),"बाल मनोविज्ञान")</f>
        <v>बाल मनोविज्ञान</v>
      </c>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f ca="1">IFERROR(__xludf.DUMMYFUNCTION("""COMPUTED_VALUE"""),31)</f>
        <v>31</v>
      </c>
      <c r="BX1039" s="1">
        <f ca="1">IFERROR(__xludf.DUMMYFUNCTION("""COMPUTED_VALUE"""),45)</f>
        <v>45</v>
      </c>
      <c r="BY1039" s="1">
        <f ca="1">IFERROR(__xludf.DUMMYFUNCTION("""COMPUTED_VALUE"""),3)</f>
        <v>3</v>
      </c>
      <c r="BZ1039" s="1">
        <f ca="1">IFERROR(__xludf.DUMMYFUNCTION("""COMPUTED_VALUE"""),40)</f>
        <v>40</v>
      </c>
      <c r="CA1039" s="1" t="str">
        <f ca="1">IFERROR(__xludf.DUMMYFUNCTION("""COMPUTED_VALUE"""),"Yes")</f>
        <v>Yes</v>
      </c>
      <c r="CB1039" s="5">
        <f ca="1">IFERROR(__xludf.DUMMYFUNCTION("""COMPUTED_VALUE"""),45044.5749199074)</f>
        <v>45044.574919907398</v>
      </c>
      <c r="CC1039" s="1" t="str">
        <f ca="1">IFERROR(__xludf.DUMMYFUNCTION("""COMPUTED_VALUE"""),"परिवार निर्माण के स्वर्णिम सूत्र : Rare Book")</f>
        <v>परिवार निर्माण के स्वर्णिम सूत्र : Rare Book</v>
      </c>
      <c r="CD1039" s="3" t="str">
        <f ca="1">IFERROR(__xludf.DUMMYFUNCTION("""COMPUTED_VALUE"""),"https://vicharkrantibooks.org/productdetail?book_name=HINP0634_PARIWAR_NIRMAN_KE_SWARNIM_SUTR_xxyyyy&amp;product_id=1199")</f>
        <v>https://vicharkrantibooks.org/productdetail?book_name=HINP0634_PARIWAR_NIRMAN_KE_SWARNIM_SUTR_xxyyyy&amp;product_id=1199</v>
      </c>
      <c r="CE1039" s="1" t="str">
        <f ca="1">IFERROR(__xludf.DUMMYFUNCTION("""COMPUTED_VALUE"""),"Audiobook : परिवार निर्माण के स्वर्णिम सूत्र : Rare Book : shweta.r.gupta79@gmail.com : Recorded")</f>
        <v>Audiobook : परिवार निर्माण के स्वर्णिम सूत्र : Rare Book : shweta.r.gupta79@gmail.com : Recorded</v>
      </c>
      <c r="CF1039" s="1" t="str">
        <f ca="1">IFERROR(__xludf.DUMMYFUNCTION("""COMPUTED_VALUE"""),"Audiobook : परिवार निर्माण के स्वर्णिम सूत्र : Rare Book : shweta.r.gupta79@gmail.com : Recorded")</f>
        <v>Audiobook : परिवार निर्माण के स्वर्णिम सूत्र : Rare Book : shweta.r.gupta79@gmail.com : Recorded</v>
      </c>
      <c r="CG1039" s="1" t="str">
        <f ca="1">IFERROR(__xludf.DUMMYFUNCTION("""COMPUTED_VALUE"""),"Adarniya Shweta Gupta  ji परिवार निर्माण के स्वर्णिम सूत्र : Rare Book : Allocated on 18-Apr-23 Contact Number  8369516724")</f>
        <v>Adarniya Shweta Gupta  ji परिवार निर्माण के स्वर्णिम सूत्र : Rare Book : Allocated on 18-Apr-23 Contact Number  8369516724</v>
      </c>
      <c r="CH1039" s="1"/>
      <c r="CI1039" s="1"/>
    </row>
    <row r="1040" spans="1:87" x14ac:dyDescent="0.25">
      <c r="A1040" s="5">
        <f ca="1">IFERROR(__xludf.DUMMYFUNCTION("""COMPUTED_VALUE"""),45033.7035977777)</f>
        <v>45033.703597777698</v>
      </c>
      <c r="B1040" s="1" t="str">
        <f ca="1">IFERROR(__xludf.DUMMYFUNCTION("""COMPUTED_VALUE"""),"daleshwary67@gmail.com")</f>
        <v>daleshwary67@gmail.com</v>
      </c>
      <c r="C1040" s="1" t="str">
        <f ca="1">IFERROR(__xludf.DUMMYFUNCTION("""COMPUTED_VALUE"""),"daleshwary sharma")</f>
        <v>daleshwary sharma</v>
      </c>
      <c r="D1040" s="1">
        <f ca="1">IFERROR(__xludf.DUMMYFUNCTION("""COMPUTED_VALUE"""),8587900034)</f>
        <v>8587900034</v>
      </c>
      <c r="E1040" s="1" t="str">
        <f ca="1">IFERROR(__xludf.DUMMYFUNCTION("""COMPUTED_VALUE"""),"No")</f>
        <v>No</v>
      </c>
      <c r="F1040" s="1" t="str">
        <f ca="1">IFERROR(__xludf.DUMMYFUNCTION("""COMPUTED_VALUE"""),"हिन्दी")</f>
        <v>हिन्दी</v>
      </c>
      <c r="G1040" s="1" t="str">
        <f ca="1">IFERROR(__xludf.DUMMYFUNCTION("""COMPUTED_VALUE"""),"युग परिवर्तन-विचार क्रांति")</f>
        <v>युग परिवर्तन-विचार क्रांति</v>
      </c>
      <c r="H1040" s="1"/>
      <c r="I1040" s="1"/>
      <c r="J1040" s="1"/>
      <c r="K1040" s="1"/>
      <c r="L1040" s="1"/>
      <c r="M1040" s="1"/>
      <c r="N1040" s="1"/>
      <c r="O1040" s="1"/>
      <c r="P1040" s="1"/>
      <c r="Q1040" s="1" t="str">
        <f ca="1">IFERROR(__xludf.DUMMYFUNCTION("""COMPUTED_VALUE"""),"ज्ञानयज्ञ")</f>
        <v>ज्ञानयज्ञ</v>
      </c>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f ca="1">IFERROR(__xludf.DUMMYFUNCTION("""COMPUTED_VALUE"""),15)</f>
        <v>15</v>
      </c>
      <c r="BX1040" s="1">
        <f ca="1">IFERROR(__xludf.DUMMYFUNCTION("""COMPUTED_VALUE"""),9)</f>
        <v>9</v>
      </c>
      <c r="BY1040" s="1">
        <f ca="1">IFERROR(__xludf.DUMMYFUNCTION("""COMPUTED_VALUE"""),5)</f>
        <v>5</v>
      </c>
      <c r="BZ1040" s="1">
        <f ca="1">IFERROR(__xludf.DUMMYFUNCTION("""COMPUTED_VALUE"""),5)</f>
        <v>5</v>
      </c>
      <c r="CA1040" s="1" t="str">
        <f ca="1">IFERROR(__xludf.DUMMYFUNCTION("""COMPUTED_VALUE"""),"Yes")</f>
        <v>Yes</v>
      </c>
      <c r="CB1040" s="5">
        <f ca="1">IFERROR(__xludf.DUMMYFUNCTION("""COMPUTED_VALUE"""),45043.7035977777)</f>
        <v>45043.703597777698</v>
      </c>
      <c r="CC1040" s="1" t="str">
        <f ca="1">IFERROR(__xludf.DUMMYFUNCTION("""COMPUTED_VALUE"""),"ज्ञान का अलख जगाइए : Rare Book")</f>
        <v>ज्ञान का अलख जगाइए : Rare Book</v>
      </c>
      <c r="CD1040" s="3" t="str">
        <f ca="1">IFERROR(__xludf.DUMMYFUNCTION("""COMPUTED_VALUE"""),"https://vicharkrantibooks.org/productdetail?book_name=HINP0319_GYAN_KA_ALAKH_JAGAIE_xxyyyy&amp;product_id=884")</f>
        <v>https://vicharkrantibooks.org/productdetail?book_name=HINP0319_GYAN_KA_ALAKH_JAGAIE_xxyyyy&amp;product_id=884</v>
      </c>
      <c r="CE1040" s="1" t="str">
        <f ca="1">IFERROR(__xludf.DUMMYFUNCTION("""COMPUTED_VALUE"""),"Audiobook : ज्ञान का अलख जगाइए : Rare Book : daleshwary67@gmail.com : Recorded")</f>
        <v>Audiobook : ज्ञान का अलख जगाइए : Rare Book : daleshwary67@gmail.com : Recorded</v>
      </c>
      <c r="CF1040" s="1" t="str">
        <f ca="1">IFERROR(__xludf.DUMMYFUNCTION("""COMPUTED_VALUE"""),"Audiobook : ज्ञान का अलख जगाइए : Rare Book : daleshwary67@gmail.com : Recorded")</f>
        <v>Audiobook : ज्ञान का अलख जगाइए : Rare Book : daleshwary67@gmail.com : Recorded</v>
      </c>
      <c r="CG1040" s="1" t="str">
        <f ca="1">IFERROR(__xludf.DUMMYFUNCTION("""COMPUTED_VALUE"""),"Adarniya daleshwary sharma ji ज्ञान का अलख जगाइए : Rare Book : Allocated on 17-Apr-23 Contact Number  8587900034")</f>
        <v>Adarniya daleshwary sharma ji ज्ञान का अलख जगाइए : Rare Book : Allocated on 17-Apr-23 Contact Number  8587900034</v>
      </c>
      <c r="CH1040" s="1"/>
      <c r="CI1040" s="1"/>
    </row>
    <row r="1041" spans="1:87" x14ac:dyDescent="0.25">
      <c r="A1041" s="5">
        <f ca="1">IFERROR(__xludf.DUMMYFUNCTION("""COMPUTED_VALUE"""),45032.6991976736)</f>
        <v>45032.699197673603</v>
      </c>
      <c r="B1041" s="1" t="str">
        <f ca="1">IFERROR(__xludf.DUMMYFUNCTION("""COMPUTED_VALUE"""),"ashishsamrat1111@gmail.com")</f>
        <v>ashishsamrat1111@gmail.com</v>
      </c>
      <c r="C1041" s="1" t="str">
        <f ca="1">IFERROR(__xludf.DUMMYFUNCTION("""COMPUTED_VALUE"""),"ASHISH SHARMA ")</f>
        <v xml:space="preserve">ASHISH SHARMA </v>
      </c>
      <c r="D1041" s="1">
        <f ca="1">IFERROR(__xludf.DUMMYFUNCTION("""COMPUTED_VALUE"""),9411266642)</f>
        <v>9411266642</v>
      </c>
      <c r="E1041" s="1" t="str">
        <f ca="1">IFERROR(__xludf.DUMMYFUNCTION("""COMPUTED_VALUE"""),"No")</f>
        <v>No</v>
      </c>
      <c r="F1041" s="1" t="str">
        <f ca="1">IFERROR(__xludf.DUMMYFUNCTION("""COMPUTED_VALUE"""),"हिन्दी")</f>
        <v>हिन्दी</v>
      </c>
      <c r="G1041" s="1" t="str">
        <f ca="1">IFERROR(__xludf.DUMMYFUNCTION("""COMPUTED_VALUE"""),"व्यक्ति निर्माण, युवा/विद्यार्थी एवं शिक्षक")</f>
        <v>व्यक्ति निर्माण, युवा/विद्यार्थी एवं शिक्षक</v>
      </c>
      <c r="H1041" s="1"/>
      <c r="I1041" s="1"/>
      <c r="J1041" s="1"/>
      <c r="K1041" s="1"/>
      <c r="L1041" s="1"/>
      <c r="M1041" s="1"/>
      <c r="N1041" s="1"/>
      <c r="O1041" s="1"/>
      <c r="P1041" s="1"/>
      <c r="Q1041" s="1"/>
      <c r="R1041" s="1"/>
      <c r="S1041" s="1"/>
      <c r="T1041" s="1" t="str">
        <f ca="1">IFERROR(__xludf.DUMMYFUNCTION("""COMPUTED_VALUE"""),"विद्यार्थी एवं शिक्षक")</f>
        <v>विद्यार्थी एवं शिक्षक</v>
      </c>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f ca="1">IFERROR(__xludf.DUMMYFUNCTION("""COMPUTED_VALUE"""),1)</f>
        <v>1</v>
      </c>
      <c r="BX1041" s="1">
        <f ca="1">IFERROR(__xludf.DUMMYFUNCTION("""COMPUTED_VALUE"""),0)</f>
        <v>0</v>
      </c>
      <c r="BY1041" s="1">
        <f ca="1">IFERROR(__xludf.DUMMYFUNCTION("""COMPUTED_VALUE"""),1)</f>
        <v>1</v>
      </c>
      <c r="BZ1041" s="1">
        <f ca="1">IFERROR(__xludf.DUMMYFUNCTION("""COMPUTED_VALUE"""),0)</f>
        <v>0</v>
      </c>
      <c r="CA1041" s="1" t="str">
        <f ca="1">IFERROR(__xludf.DUMMYFUNCTION("""COMPUTED_VALUE"""),"Yes")</f>
        <v>Yes</v>
      </c>
      <c r="CB1041" s="5">
        <f ca="1">IFERROR(__xludf.DUMMYFUNCTION("""COMPUTED_VALUE"""),45042.6991976736)</f>
        <v>45042.699197673603</v>
      </c>
      <c r="CC1041" s="1" t="str">
        <f ca="1">IFERROR(__xludf.DUMMYFUNCTION("""COMPUTED_VALUE"""),"अहंकार छोड़ें विनम्र बनें : Rare Book")</f>
        <v>अहंकार छोड़ें विनम्र बनें : Rare Book</v>
      </c>
      <c r="CD1041" s="3" t="str">
        <f ca="1">IFERROR(__xludf.DUMMYFUNCTION("""COMPUTED_VALUE"""),"https://vicharkrantibooks.org/productdetail?book_name=HINP0031_AHANKAR_CHHODEN_VINAMR_BANEN_xxyyyy&amp;product_id=596")</f>
        <v>https://vicharkrantibooks.org/productdetail?book_name=HINP0031_AHANKAR_CHHODEN_VINAMR_BANEN_xxyyyy&amp;product_id=596</v>
      </c>
      <c r="CE1041" s="1" t="str">
        <f ca="1">IFERROR(__xludf.DUMMYFUNCTION("""COMPUTED_VALUE"""),"Audiobook : अहंकार छोड़ें विनम्र बनें : Rare Book : ashishsamrat1111@gmail.com : Recorded")</f>
        <v>Audiobook : अहंकार छोड़ें विनम्र बनें : Rare Book : ashishsamrat1111@gmail.com : Recorded</v>
      </c>
      <c r="CF1041" s="1" t="str">
        <f ca="1">IFERROR(__xludf.DUMMYFUNCTION("""COMPUTED_VALUE"""),"#N/A")</f>
        <v>#N/A</v>
      </c>
      <c r="CG1041" s="1" t="str">
        <f ca="1">IFERROR(__xludf.DUMMYFUNCTION("""COMPUTED_VALUE"""),"Adarniya ASHISH SHARMA  ji अहंकार छोड़ें विनम्र बनें : Rare Book : Allocated on 16-Apr-23 Contact Number  9411266642")</f>
        <v>Adarniya ASHISH SHARMA  ji अहंकार छोड़ें विनम्र बनें : Rare Book : Allocated on 16-Apr-23 Contact Number  9411266642</v>
      </c>
      <c r="CH1041" s="1"/>
      <c r="CI1041" s="1"/>
    </row>
    <row r="1042" spans="1:87" x14ac:dyDescent="0.25">
      <c r="A1042" s="5">
        <f ca="1">IFERROR(__xludf.DUMMYFUNCTION("""COMPUTED_VALUE"""),45031.9621568171)</f>
        <v>45031.962156817099</v>
      </c>
      <c r="B1042" s="1" t="str">
        <f ca="1">IFERROR(__xludf.DUMMYFUNCTION("""COMPUTED_VALUE"""),"richasharma310575@gmail.com")</f>
        <v>richasharma310575@gmail.com</v>
      </c>
      <c r="C1042" s="1" t="str">
        <f ca="1">IFERROR(__xludf.DUMMYFUNCTION("""COMPUTED_VALUE"""),"Richa Sharma")</f>
        <v>Richa Sharma</v>
      </c>
      <c r="D1042" s="1">
        <f ca="1">IFERROR(__xludf.DUMMYFUNCTION("""COMPUTED_VALUE"""),9479664049)</f>
        <v>9479664049</v>
      </c>
      <c r="E1042" s="1" t="str">
        <f ca="1">IFERROR(__xludf.DUMMYFUNCTION("""COMPUTED_VALUE"""),"Yes")</f>
        <v>Yes</v>
      </c>
      <c r="F1042" s="1" t="str">
        <f ca="1">IFERROR(__xludf.DUMMYFUNCTION("""COMPUTED_VALUE"""),"हिन्दी")</f>
        <v>हिन्दी</v>
      </c>
      <c r="G1042" s="1" t="str">
        <f ca="1">IFERROR(__xludf.DUMMYFUNCTION("""COMPUTED_VALUE"""),"युग परिवर्तन-विचार क्रांति")</f>
        <v>युग परिवर्तन-विचार क्रांति</v>
      </c>
      <c r="H1042" s="1"/>
      <c r="I1042" s="1"/>
      <c r="J1042" s="1"/>
      <c r="K1042" s="1"/>
      <c r="L1042" s="1"/>
      <c r="M1042" s="1"/>
      <c r="N1042" s="1"/>
      <c r="O1042" s="1"/>
      <c r="P1042" s="1"/>
      <c r="Q1042" s="1" t="str">
        <f ca="1">IFERROR(__xludf.DUMMYFUNCTION("""COMPUTED_VALUE"""),"विचार क्रांति")</f>
        <v>विचार क्रांति</v>
      </c>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f ca="1">IFERROR(__xludf.DUMMYFUNCTION("""COMPUTED_VALUE"""),23)</f>
        <v>23</v>
      </c>
      <c r="BX1042" s="1">
        <f ca="1">IFERROR(__xludf.DUMMYFUNCTION("""COMPUTED_VALUE"""),28)</f>
        <v>28</v>
      </c>
      <c r="BY1042" s="1">
        <f ca="1">IFERROR(__xludf.DUMMYFUNCTION("""COMPUTED_VALUE"""),2)</f>
        <v>2</v>
      </c>
      <c r="BZ1042" s="1">
        <f ca="1">IFERROR(__xludf.DUMMYFUNCTION("""COMPUTED_VALUE"""),24)</f>
        <v>24</v>
      </c>
      <c r="CA1042" s="1" t="str">
        <f ca="1">IFERROR(__xludf.DUMMYFUNCTION("""COMPUTED_VALUE"""),"Yes")</f>
        <v>Yes</v>
      </c>
      <c r="CB1042" s="5">
        <f ca="1">IFERROR(__xludf.DUMMYFUNCTION("""COMPUTED_VALUE"""),45041.9621568171)</f>
        <v>45041.962156817099</v>
      </c>
      <c r="CC1042" s="1" t="str">
        <f ca="1">IFERROR(__xludf.DUMMYFUNCTION("""COMPUTED_VALUE"""),"बच्चों का सुधार मनोवैज्ञानिक ढंग से करें : H_PP_19")</f>
        <v>बच्चों का सुधार मनोवैज्ञानिक ढंग से करें : H_PP_19</v>
      </c>
      <c r="CD1042" s="3" t="str">
        <f ca="1">IFERROR(__xludf.DUMMYFUNCTION("""COMPUTED_VALUE"""),"https://vicharkrantibooks.org/productdetail?book_name=HINP0121_BACHCHON_KA_SUDHAR_MANOVAIGYANIK_DHANG_SE_KAREN_xxyyyy&amp;product_id=686")</f>
        <v>https://vicharkrantibooks.org/productdetail?book_name=HINP0121_BACHCHON_KA_SUDHAR_MANOVAIGYANIK_DHANG_SE_KAREN_xxyyyy&amp;product_id=686</v>
      </c>
      <c r="CE1042" s="1" t="str">
        <f ca="1">IFERROR(__xludf.DUMMYFUNCTION("""COMPUTED_VALUE"""),"Audiobook : बच्चों का सुधार मनोवैज्ञानिक ढंग से करें : H_PP_19 : richasharma310575@gmail.com : Recorded")</f>
        <v>Audiobook : बच्चों का सुधार मनोवैज्ञानिक ढंग से करें : H_PP_19 : richasharma310575@gmail.com : Recorded</v>
      </c>
      <c r="CF1042" s="1" t="str">
        <f ca="1">IFERROR(__xludf.DUMMYFUNCTION("""COMPUTED_VALUE"""),"Audiobook : बच्चों का सुधार मनोवैज्ञानिक ढंग से करें : H_PP_19 : richasharma310575@gmail.com : Recorded")</f>
        <v>Audiobook : बच्चों का सुधार मनोवैज्ञानिक ढंग से करें : H_PP_19 : richasharma310575@gmail.com : Recorded</v>
      </c>
      <c r="CG1042" s="1" t="str">
        <f ca="1">IFERROR(__xludf.DUMMYFUNCTION("""COMPUTED_VALUE"""),"Adarniya Richa Sharma ji बच्चों का सुधार मनोवैज्ञानिक ढंग से करें : H_PP_19 : Allocated on 15-Apr-23 Contact Number  9479664049")</f>
        <v>Adarniya Richa Sharma ji बच्चों का सुधार मनोवैज्ञानिक ढंग से करें : H_PP_19 : Allocated on 15-Apr-23 Contact Number  9479664049</v>
      </c>
      <c r="CH1042" s="1"/>
      <c r="CI1042" s="1"/>
    </row>
    <row r="1043" spans="1:87" x14ac:dyDescent="0.25">
      <c r="A1043" s="5">
        <f ca="1">IFERROR(__xludf.DUMMYFUNCTION("""COMPUTED_VALUE"""),45031.6109339583)</f>
        <v>45031.610933958298</v>
      </c>
      <c r="B1043" s="1" t="str">
        <f ca="1">IFERROR(__xludf.DUMMYFUNCTION("""COMPUTED_VALUE"""),"somya.s.rastogi@gmail.com")</f>
        <v>somya.s.rastogi@gmail.com</v>
      </c>
      <c r="C1043" s="1" t="str">
        <f ca="1">IFERROR(__xludf.DUMMYFUNCTION("""COMPUTED_VALUE"""),"Somya ")</f>
        <v xml:space="preserve">Somya </v>
      </c>
      <c r="D1043" s="1">
        <f ca="1">IFERROR(__xludf.DUMMYFUNCTION("""COMPUTED_VALUE"""),8329437622)</f>
        <v>8329437622</v>
      </c>
      <c r="E1043" s="1" t="str">
        <f ca="1">IFERROR(__xludf.DUMMYFUNCTION("""COMPUTED_VALUE"""),"No")</f>
        <v>No</v>
      </c>
      <c r="F1043" s="1" t="str">
        <f ca="1">IFERROR(__xludf.DUMMYFUNCTION("""COMPUTED_VALUE"""),"हिन्दी or English")</f>
        <v>हिन्दी or English</v>
      </c>
      <c r="G1043" s="1" t="str">
        <f ca="1">IFERROR(__xludf.DUMMYFUNCTION("""COMPUTED_VALUE"""),"समग्र स्वास्थ्य")</f>
        <v>समग्र स्वास्थ्य</v>
      </c>
      <c r="H1043" s="1"/>
      <c r="I1043" s="1"/>
      <c r="J1043" s="1"/>
      <c r="K1043" s="1"/>
      <c r="L1043" s="1"/>
      <c r="M1043" s="1"/>
      <c r="N1043" s="1"/>
      <c r="O1043" s="1"/>
      <c r="P1043" s="1"/>
      <c r="Q1043" s="1"/>
      <c r="R1043" s="1"/>
      <c r="S1043" s="1"/>
      <c r="T1043" s="1"/>
      <c r="U1043" s="1" t="str">
        <f ca="1">IFERROR(__xludf.DUMMYFUNCTION("""COMPUTED_VALUE"""),"आहार-विहार एवं उपवास")</f>
        <v>आहार-विहार एवं उपवास</v>
      </c>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f ca="1">IFERROR(__xludf.DUMMYFUNCTION("""COMPUTED_VALUE"""),1)</f>
        <v>1</v>
      </c>
      <c r="BX1043" s="1">
        <f ca="1">IFERROR(__xludf.DUMMYFUNCTION("""COMPUTED_VALUE"""),0)</f>
        <v>0</v>
      </c>
      <c r="BY1043" s="1">
        <f ca="1">IFERROR(__xludf.DUMMYFUNCTION("""COMPUTED_VALUE"""),1)</f>
        <v>1</v>
      </c>
      <c r="BZ1043" s="1">
        <f ca="1">IFERROR(__xludf.DUMMYFUNCTION("""COMPUTED_VALUE"""),0)</f>
        <v>0</v>
      </c>
      <c r="CA1043" s="1" t="str">
        <f ca="1">IFERROR(__xludf.DUMMYFUNCTION("""COMPUTED_VALUE"""),"Yes")</f>
        <v>Yes</v>
      </c>
      <c r="CB1043" s="5">
        <f ca="1">IFERROR(__xludf.DUMMYFUNCTION("""COMPUTED_VALUE"""),45041.6109339583)</f>
        <v>45041.610933958298</v>
      </c>
      <c r="CC1043" s="1" t="str">
        <f ca="1">IFERROR(__xludf.DUMMYFUNCTION("""COMPUTED_VALUE"""),"दवाएँ खाते जाए रोग बढाते जाएँ यह कहाँ तक उचित है : Rare Book")</f>
        <v>दवाएँ खाते जाए रोग बढाते जाएँ यह कहाँ तक उचित है : Rare Book</v>
      </c>
      <c r="CD1043" s="3" t="str">
        <f ca="1">IFERROR(__xludf.DUMMYFUNCTION("""COMPUTED_VALUE"""),"https://vicharkrantibooks.org/productdetail?book_name=HINP0205_DAVAEN_KHATE_JAEN_ROG_BADHATE_JAEN_YAH_KAHAN_TAK_%E2%80%8B%E2%80%8BUCHIT_HAI_xx1982&amp;product_id=770")</f>
        <v>https://vicharkrantibooks.org/productdetail?book_name=HINP0205_DAVAEN_KHATE_JAEN_ROG_BADHATE_JAEN_YAH_KAHAN_TAK_%E2%80%8B%E2%80%8BUCHIT_HAI_xx1982&amp;product_id=770</v>
      </c>
      <c r="CE1043" s="1" t="str">
        <f ca="1">IFERROR(__xludf.DUMMYFUNCTION("""COMPUTED_VALUE"""),"Audiobook : दवाएँ खाते जाए रोग बढाते जाएँ यह कहाँ तक उचित है : Rare Book : somya.s.rastogi@gmail.com : Recorded")</f>
        <v>Audiobook : दवाएँ खाते जाए रोग बढाते जाएँ यह कहाँ तक उचित है : Rare Book : somya.s.rastogi@gmail.com : Recorded</v>
      </c>
      <c r="CF1043" s="1" t="str">
        <f ca="1">IFERROR(__xludf.DUMMYFUNCTION("""COMPUTED_VALUE"""),"#N/A")</f>
        <v>#N/A</v>
      </c>
      <c r="CG1043" s="1" t="str">
        <f ca="1">IFERROR(__xludf.DUMMYFUNCTION("""COMPUTED_VALUE"""),"Adarniya Somya  ji दवाएँ खाते जाए रोग बढाते जाएँ यह कहाँ तक उचित है : Rare Book : Allocated on 15-Apr-23 Contact Number  8329437622")</f>
        <v>Adarniya Somya  ji दवाएँ खाते जाए रोग बढाते जाएँ यह कहाँ तक उचित है : Rare Book : Allocated on 15-Apr-23 Contact Number  8329437622</v>
      </c>
      <c r="CH1043" s="1"/>
      <c r="CI1043" s="1"/>
    </row>
    <row r="1044" spans="1:87" x14ac:dyDescent="0.25">
      <c r="A1044" s="5">
        <f ca="1">IFERROR(__xludf.DUMMYFUNCTION("""COMPUTED_VALUE"""),45029.6624104861)</f>
        <v>45029.662410486097</v>
      </c>
      <c r="B1044" s="1" t="str">
        <f ca="1">IFERROR(__xludf.DUMMYFUNCTION("""COMPUTED_VALUE"""),"shrutidube.86@gmail.com")</f>
        <v>shrutidube.86@gmail.com</v>
      </c>
      <c r="C1044" s="1" t="str">
        <f ca="1">IFERROR(__xludf.DUMMYFUNCTION("""COMPUTED_VALUE"""),"Shruti Dubey")</f>
        <v>Shruti Dubey</v>
      </c>
      <c r="D1044" s="1">
        <f ca="1">IFERROR(__xludf.DUMMYFUNCTION("""COMPUTED_VALUE"""),7021294023)</f>
        <v>7021294023</v>
      </c>
      <c r="E1044" s="1" t="str">
        <f ca="1">IFERROR(__xludf.DUMMYFUNCTION("""COMPUTED_VALUE"""),"Yes")</f>
        <v>Yes</v>
      </c>
      <c r="F1044" s="1" t="str">
        <f ca="1">IFERROR(__xludf.DUMMYFUNCTION("""COMPUTED_VALUE"""),"हिन्दी or English")</f>
        <v>हिन्दी or English</v>
      </c>
      <c r="G1044" s="1" t="str">
        <f ca="1">IFERROR(__xludf.DUMMYFUNCTION("""COMPUTED_VALUE"""),"व्यक्ति निर्माण, युवा/विद्यार्थी एवं शिक्षक")</f>
        <v>व्यक्ति निर्माण, युवा/विद्यार्थी एवं शिक्षक</v>
      </c>
      <c r="H1044" s="1"/>
      <c r="I1044" s="1"/>
      <c r="J1044" s="1"/>
      <c r="K1044" s="1"/>
      <c r="L1044" s="1"/>
      <c r="M1044" s="1"/>
      <c r="N1044" s="1"/>
      <c r="O1044" s="1"/>
      <c r="P1044" s="1"/>
      <c r="Q1044" s="1"/>
      <c r="R1044" s="1"/>
      <c r="S1044" s="1"/>
      <c r="T1044" s="1" t="str">
        <f ca="1">IFERROR(__xludf.DUMMYFUNCTION("""COMPUTED_VALUE"""),"व्यक्तित्व परिष्कार")</f>
        <v>व्यक्तित्व परिष्कार</v>
      </c>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f ca="1">IFERROR(__xludf.DUMMYFUNCTION("""COMPUTED_VALUE"""),8)</f>
        <v>8</v>
      </c>
      <c r="BX1044" s="1">
        <f ca="1">IFERROR(__xludf.DUMMYFUNCTION("""COMPUTED_VALUE"""),4)</f>
        <v>4</v>
      </c>
      <c r="BY1044" s="1">
        <f ca="1">IFERROR(__xludf.DUMMYFUNCTION("""COMPUTED_VALUE"""),4)</f>
        <v>4</v>
      </c>
      <c r="BZ1044" s="1">
        <f ca="1">IFERROR(__xludf.DUMMYFUNCTION("""COMPUTED_VALUE"""),1)</f>
        <v>1</v>
      </c>
      <c r="CA1044" s="1" t="str">
        <f ca="1">IFERROR(__xludf.DUMMYFUNCTION("""COMPUTED_VALUE"""),"Yes")</f>
        <v>Yes</v>
      </c>
      <c r="CB1044" s="5">
        <f ca="1">IFERROR(__xludf.DUMMYFUNCTION("""COMPUTED_VALUE"""),45039.6624104861)</f>
        <v>45039.662410486097</v>
      </c>
      <c r="CC1044" s="1" t="str">
        <f ca="1">IFERROR(__xludf.DUMMYFUNCTION("""COMPUTED_VALUE"""),"दुर्गति और सद्‍गति का कारण हम स्वयं : H_JS_61")</f>
        <v>दुर्गति और सद्‍गति का कारण हम स्वयं : H_JS_61</v>
      </c>
      <c r="CD1044" s="3" t="str">
        <f ca="1">IFERROR(__xludf.DUMMYFUNCTION("""COMPUTED_VALUE"""),"https://vicharkrantibooks.org/productdetail?book_name=HINP0262_DURGATI_AUR_SADGATI_KA_KARAN_HAM_SVAYAM_xx2011&amp;product_id=827")</f>
        <v>https://vicharkrantibooks.org/productdetail?book_name=HINP0262_DURGATI_AUR_SADGATI_KA_KARAN_HAM_SVAYAM_xx2011&amp;product_id=827</v>
      </c>
      <c r="CE1044" s="1" t="str">
        <f ca="1">IFERROR(__xludf.DUMMYFUNCTION("""COMPUTED_VALUE"""),"Audiobook : दुर्गति और सद्‍गति का कारण हम स्वयं : H_JS_61 : shrutidube.86@gmail.com : Recorded")</f>
        <v>Audiobook : दुर्गति और सद्‍गति का कारण हम स्वयं : H_JS_61 : shrutidube.86@gmail.com : Recorded</v>
      </c>
      <c r="CF1044" s="1" t="str">
        <f ca="1">IFERROR(__xludf.DUMMYFUNCTION("""COMPUTED_VALUE"""),"Audiobook : दुर्गति और सद्‍गति का कारण हम स्वयं : H_JS_61 : shrutidube.86@gmail.com : Recorded")</f>
        <v>Audiobook : दुर्गति और सद्‍गति का कारण हम स्वयं : H_JS_61 : shrutidube.86@gmail.com : Recorded</v>
      </c>
      <c r="CG1044" s="1" t="str">
        <f ca="1">IFERROR(__xludf.DUMMYFUNCTION("""COMPUTED_VALUE"""),"Adarniya Shruti Dubey ji दुर्गति और सद्‍गति का कारण हम स्वयं : H_JS_61 : Allocated on 13-Apr-23 Contact Number  7021294023")</f>
        <v>Adarniya Shruti Dubey ji दुर्गति और सद्‍गति का कारण हम स्वयं : H_JS_61 : Allocated on 13-Apr-23 Contact Number  7021294023</v>
      </c>
      <c r="CH1044" s="1"/>
      <c r="CI1044" s="1"/>
    </row>
    <row r="1045" spans="1:87" x14ac:dyDescent="0.25">
      <c r="A1045" s="5">
        <f ca="1">IFERROR(__xludf.DUMMYFUNCTION("""COMPUTED_VALUE"""),45029.6125245486)</f>
        <v>45029.612524548596</v>
      </c>
      <c r="B1045" s="1" t="str">
        <f ca="1">IFERROR(__xludf.DUMMYFUNCTION("""COMPUTED_VALUE"""),"payaljainsingh@gmail.com")</f>
        <v>payaljainsingh@gmail.com</v>
      </c>
      <c r="C1045" s="1" t="str">
        <f ca="1">IFERROR(__xludf.DUMMYFUNCTION("""COMPUTED_VALUE"""),"Payal Singh")</f>
        <v>Payal Singh</v>
      </c>
      <c r="D1045" s="1">
        <f ca="1">IFERROR(__xludf.DUMMYFUNCTION("""COMPUTED_VALUE"""),9818906479)</f>
        <v>9818906479</v>
      </c>
      <c r="E1045" s="1" t="str">
        <f ca="1">IFERROR(__xludf.DUMMYFUNCTION("""COMPUTED_VALUE"""),"Yes")</f>
        <v>Yes</v>
      </c>
      <c r="F1045" s="1" t="str">
        <f ca="1">IFERROR(__xludf.DUMMYFUNCTION("""COMPUTED_VALUE"""),"हिन्दी")</f>
        <v>हिन्दी</v>
      </c>
      <c r="G1045" s="1" t="str">
        <f ca="1">IFERROR(__xludf.DUMMYFUNCTION("""COMPUTED_VALUE"""),"व्यक्ति निर्माण, युवा/विद्यार्थी एवं शिक्षक")</f>
        <v>व्यक्ति निर्माण, युवा/विद्यार्थी एवं शिक्षक</v>
      </c>
      <c r="H1045" s="1"/>
      <c r="I1045" s="1"/>
      <c r="J1045" s="1"/>
      <c r="K1045" s="1"/>
      <c r="L1045" s="1"/>
      <c r="M1045" s="1"/>
      <c r="N1045" s="1"/>
      <c r="O1045" s="1"/>
      <c r="P1045" s="1"/>
      <c r="Q1045" s="1"/>
      <c r="R1045" s="1"/>
      <c r="S1045" s="1"/>
      <c r="T1045" s="1" t="str">
        <f ca="1">IFERROR(__xludf.DUMMYFUNCTION("""COMPUTED_VALUE"""),"विद्यार्थी एवं शिक्षक")</f>
        <v>विद्यार्थी एवं शिक्षक</v>
      </c>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f ca="1">IFERROR(__xludf.DUMMYFUNCTION("""COMPUTED_VALUE"""),1)</f>
        <v>1</v>
      </c>
      <c r="BX1045" s="1">
        <f ca="1">IFERROR(__xludf.DUMMYFUNCTION("""COMPUTED_VALUE"""),0)</f>
        <v>0</v>
      </c>
      <c r="BY1045" s="1">
        <f ca="1">IFERROR(__xludf.DUMMYFUNCTION("""COMPUTED_VALUE"""),1)</f>
        <v>1</v>
      </c>
      <c r="BZ1045" s="1">
        <f ca="1">IFERROR(__xludf.DUMMYFUNCTION("""COMPUTED_VALUE"""),0)</f>
        <v>0</v>
      </c>
      <c r="CA1045" s="1" t="str">
        <f ca="1">IFERROR(__xludf.DUMMYFUNCTION("""COMPUTED_VALUE"""),"Yes")</f>
        <v>Yes</v>
      </c>
      <c r="CB1045" s="5">
        <f ca="1">IFERROR(__xludf.DUMMYFUNCTION("""COMPUTED_VALUE"""),45039.6125245486)</f>
        <v>45039.612524548596</v>
      </c>
      <c r="CC1045" s="1" t="str">
        <f ca="1">IFERROR(__xludf.DUMMYFUNCTION("""COMPUTED_VALUE"""),"अश्लीलता हमें पतित बना रही है : Rare Book")</f>
        <v>अश्लीलता हमें पतित बना रही है : Rare Book</v>
      </c>
      <c r="CD1045" s="3" t="str">
        <f ca="1">IFERROR(__xludf.DUMMYFUNCTION("""COMPUTED_VALUE"""),"https://vicharkrantibooks.org/productdetail?book_name=HINP0075_ASHLILATA_HAMEN_PATIT_BANA_RAHI_HAI_xxyyyy&amp;product_id=640")</f>
        <v>https://vicharkrantibooks.org/productdetail?book_name=HINP0075_ASHLILATA_HAMEN_PATIT_BANA_RAHI_HAI_xxyyyy&amp;product_id=640</v>
      </c>
      <c r="CE1045" s="1" t="str">
        <f ca="1">IFERROR(__xludf.DUMMYFUNCTION("""COMPUTED_VALUE"""),"Audiobook : अश्लीलता हमें पतित बना रही है : Rare Book : payaljainsingh@gmail.com : Recorded")</f>
        <v>Audiobook : अश्लीलता हमें पतित बना रही है : Rare Book : payaljainsingh@gmail.com : Recorded</v>
      </c>
      <c r="CF1045" s="1" t="str">
        <f ca="1">IFERROR(__xludf.DUMMYFUNCTION("""COMPUTED_VALUE"""),"#N/A")</f>
        <v>#N/A</v>
      </c>
      <c r="CG1045" s="1" t="str">
        <f ca="1">IFERROR(__xludf.DUMMYFUNCTION("""COMPUTED_VALUE"""),"Adarniya Payal Singh ji अश्लीलता हमें पतित बना रही है : Rare Book : Allocated on 13-Apr-23 Contact Number  9818906479")</f>
        <v>Adarniya Payal Singh ji अश्लीलता हमें पतित बना रही है : Rare Book : Allocated on 13-Apr-23 Contact Number  9818906479</v>
      </c>
      <c r="CH1045" s="1"/>
      <c r="CI1045" s="1"/>
    </row>
    <row r="1046" spans="1:87" x14ac:dyDescent="0.25">
      <c r="A1046" s="5">
        <f ca="1">IFERROR(__xludf.DUMMYFUNCTION("""COMPUTED_VALUE"""),45029.5904696064)</f>
        <v>45029.590469606403</v>
      </c>
      <c r="B1046" s="1" t="str">
        <f ca="1">IFERROR(__xludf.DUMMYFUNCTION("""COMPUTED_VALUE"""),"siyaramcschzb@gmail.com")</f>
        <v>siyaramcschzb@gmail.com</v>
      </c>
      <c r="C1046" s="1" t="str">
        <f ca="1">IFERROR(__xludf.DUMMYFUNCTION("""COMPUTED_VALUE"""),"Brajesh kumar ")</f>
        <v xml:space="preserve">Brajesh kumar </v>
      </c>
      <c r="D1046" s="1">
        <f ca="1">IFERROR(__xludf.DUMMYFUNCTION("""COMPUTED_VALUE"""),6299045473)</f>
        <v>6299045473</v>
      </c>
      <c r="E1046" s="1" t="str">
        <f ca="1">IFERROR(__xludf.DUMMYFUNCTION("""COMPUTED_VALUE"""),"No")</f>
        <v>No</v>
      </c>
      <c r="F1046" s="1" t="str">
        <f ca="1">IFERROR(__xludf.DUMMYFUNCTION("""COMPUTED_VALUE"""),"हिन्दी")</f>
        <v>हिन्दी</v>
      </c>
      <c r="G1046" s="1" t="str">
        <f ca="1">IFERROR(__xludf.DUMMYFUNCTION("""COMPUTED_VALUE"""),"राष्ट्र निर्माण")</f>
        <v>राष्ट्र निर्माण</v>
      </c>
      <c r="H1046" s="1"/>
      <c r="I1046" s="1"/>
      <c r="J1046" s="1"/>
      <c r="K1046" s="1"/>
      <c r="L1046" s="1"/>
      <c r="M1046" s="1"/>
      <c r="N1046" s="1"/>
      <c r="O1046" s="1"/>
      <c r="P1046" s="1"/>
      <c r="Q1046" s="1"/>
      <c r="R1046" s="1" t="str">
        <f ca="1">IFERROR(__xludf.DUMMYFUNCTION("""COMPUTED_VALUE"""),"राष्ट्र निर्माण")</f>
        <v>राष्ट्र निर्माण</v>
      </c>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f ca="1">IFERROR(__xludf.DUMMYFUNCTION("""COMPUTED_VALUE"""),1)</f>
        <v>1</v>
      </c>
      <c r="BX1046" s="1">
        <f ca="1">IFERROR(__xludf.DUMMYFUNCTION("""COMPUTED_VALUE"""),0)</f>
        <v>0</v>
      </c>
      <c r="BY1046" s="1">
        <f ca="1">IFERROR(__xludf.DUMMYFUNCTION("""COMPUTED_VALUE"""),0)</f>
        <v>0</v>
      </c>
      <c r="BZ1046" s="1">
        <f ca="1">IFERROR(__xludf.DUMMYFUNCTION("""COMPUTED_VALUE"""),0)</f>
        <v>0</v>
      </c>
      <c r="CA1046" s="1" t="str">
        <f ca="1">IFERROR(__xludf.DUMMYFUNCTION("""COMPUTED_VALUE"""),"Yes")</f>
        <v>Yes</v>
      </c>
      <c r="CB1046" s="1"/>
      <c r="CC1046" s="1" t="str">
        <f ca="1">IFERROR(__xludf.DUMMYFUNCTION("""COMPUTED_VALUE"""),"शिक्षा ओर विद्या : H_VS_49")</f>
        <v>शिक्षा ओर विद्या : H_VS_49</v>
      </c>
      <c r="CD1046" s="1" t="str">
        <f ca="1">IFERROR(__xludf.DUMMYFUNCTION("""COMPUTED_VALUE"""),"#N/A")</f>
        <v>#N/A</v>
      </c>
      <c r="CE1046" s="1" t="str">
        <f ca="1">IFERROR(__xludf.DUMMYFUNCTION("""COMPUTED_VALUE"""),"Audiobook : शिक्षा ओर विद्या : H_VS_49 : siyaramcschzb@gmail.com : Recorded")</f>
        <v>Audiobook : शिक्षा ओर विद्या : H_VS_49 : siyaramcschzb@gmail.com : Recorded</v>
      </c>
      <c r="CF1046" s="1"/>
      <c r="CG1046" s="1" t="str">
        <f ca="1">IFERROR(__xludf.DUMMYFUNCTION("""COMPUTED_VALUE"""),"Adarniya Brajesh kumar  ji शिक्षा ओर विद्या : H_VS_49 : Allocated on 13-Apr-23 Contact Number  6299045473")</f>
        <v>Adarniya Brajesh kumar  ji शिक्षा ओर विद्या : H_VS_49 : Allocated on 13-Apr-23 Contact Number  6299045473</v>
      </c>
      <c r="CH1046" s="1"/>
      <c r="CI1046" s="1"/>
    </row>
    <row r="1047" spans="1:87" x14ac:dyDescent="0.25">
      <c r="A1047" s="5">
        <f ca="1">IFERROR(__xludf.DUMMYFUNCTION("""COMPUTED_VALUE"""),45029.5874730787)</f>
        <v>45029.587473078704</v>
      </c>
      <c r="B1047" s="1" t="str">
        <f ca="1">IFERROR(__xludf.DUMMYFUNCTION("""COMPUTED_VALUE"""),"rbbansalriya@gmail.com")</f>
        <v>rbbansalriya@gmail.com</v>
      </c>
      <c r="C1047" s="1" t="str">
        <f ca="1">IFERROR(__xludf.DUMMYFUNCTION("""COMPUTED_VALUE"""),"Riya bansal ")</f>
        <v xml:space="preserve">Riya bansal </v>
      </c>
      <c r="D1047" s="1">
        <f ca="1">IFERROR(__xludf.DUMMYFUNCTION("""COMPUTED_VALUE"""),9176361023)</f>
        <v>9176361023</v>
      </c>
      <c r="E1047" s="1" t="str">
        <f ca="1">IFERROR(__xludf.DUMMYFUNCTION("""COMPUTED_VALUE"""),"Yes")</f>
        <v>Yes</v>
      </c>
      <c r="F1047" s="1" t="str">
        <f ca="1">IFERROR(__xludf.DUMMYFUNCTION("""COMPUTED_VALUE"""),"हिन्दी")</f>
        <v>हिन्दी</v>
      </c>
      <c r="G1047" s="1" t="str">
        <f ca="1">IFERROR(__xludf.DUMMYFUNCTION("""COMPUTED_VALUE"""),"अध्यात्म, धर्म एवं दर्शन")</f>
        <v>अध्यात्म, धर्म एवं दर्शन</v>
      </c>
      <c r="H1047" s="1" t="str">
        <f ca="1">IFERROR(__xludf.DUMMYFUNCTION("""COMPUTED_VALUE"""),"आत्मज्ञान एवं आत्मनिर्माण")</f>
        <v>आत्मज्ञान एवं आत्मनिर्माण</v>
      </c>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f ca="1">IFERROR(__xludf.DUMMYFUNCTION("""COMPUTED_VALUE"""),54)</f>
        <v>54</v>
      </c>
      <c r="BX1047" s="1">
        <f ca="1">IFERROR(__xludf.DUMMYFUNCTION("""COMPUTED_VALUE"""),55)</f>
        <v>55</v>
      </c>
      <c r="BY1047" s="1">
        <f ca="1">IFERROR(__xludf.DUMMYFUNCTION("""COMPUTED_VALUE"""),9)</f>
        <v>9</v>
      </c>
      <c r="BZ1047" s="1">
        <f ca="1">IFERROR(__xludf.DUMMYFUNCTION("""COMPUTED_VALUE"""),43)</f>
        <v>43</v>
      </c>
      <c r="CA1047" s="1" t="str">
        <f ca="1">IFERROR(__xludf.DUMMYFUNCTION("""COMPUTED_VALUE"""),"Yes")</f>
        <v>Yes</v>
      </c>
      <c r="CB1047" s="1"/>
      <c r="CC1047" s="1" t="str">
        <f ca="1">IFERROR(__xludf.DUMMYFUNCTION("""COMPUTED_VALUE"""),"उत्कृष्टतावादी दर्शन ही भोगवाद का अन्त करेगा : Rare Book")</f>
        <v>उत्कृष्टतावादी दर्शन ही भोगवाद का अन्त करेगा : Rare Book</v>
      </c>
      <c r="CD1047" s="3" t="str">
        <f ca="1">IFERROR(__xludf.DUMMYFUNCTION("""COMPUTED_VALUE"""),"https://vicharkrantibooks.org/productdetail?book_name=HINP0939_UTKRUSHTATAVADI_DARSHAN_HI_BHOGAVAD_KA_ANT_KAREGA_xx1982&amp;product_id=1504")</f>
        <v>https://vicharkrantibooks.org/productdetail?book_name=HINP0939_UTKRUSHTATAVADI_DARSHAN_HI_BHOGAVAD_KA_ANT_KAREGA_xx1982&amp;product_id=1504</v>
      </c>
      <c r="CE1047" s="1" t="str">
        <f ca="1">IFERROR(__xludf.DUMMYFUNCTION("""COMPUTED_VALUE"""),"Audiobook : उत्कृष्टतावादी दर्शन ही भोगवाद का अन्त करेगा : Rare Book : rbbansalriya@gmail.com : Recorded")</f>
        <v>Audiobook : उत्कृष्टतावादी दर्शन ही भोगवाद का अन्त करेगा : Rare Book : rbbansalriya@gmail.com : Recorded</v>
      </c>
      <c r="CF1047" s="1" t="str">
        <f ca="1">IFERROR(__xludf.DUMMYFUNCTION("""COMPUTED_VALUE"""),"Audiobook : उत्कृष्टतावादी दर्शन ही भोगवाद का अन्त करेगा : Rare Book : rbbansalriya@gmail.com : Recorded")</f>
        <v>Audiobook : उत्कृष्टतावादी दर्शन ही भोगवाद का अन्त करेगा : Rare Book : rbbansalriya@gmail.com : Recorded</v>
      </c>
      <c r="CG1047" s="1" t="str">
        <f ca="1">IFERROR(__xludf.DUMMYFUNCTION("""COMPUTED_VALUE"""),"Adarniya Riya bansal  ji उत्कृष्टतावादी दर्शन ही भोगवाद का अन्त करेगा : Rare Book : Allocated on 13-Apr-23 Contact Number  9176361023")</f>
        <v>Adarniya Riya bansal  ji उत्कृष्टतावादी दर्शन ही भोगवाद का अन्त करेगा : Rare Book : Allocated on 13-Apr-23 Contact Number  9176361023</v>
      </c>
      <c r="CH1047" s="1"/>
      <c r="CI1047" s="1"/>
    </row>
    <row r="1048" spans="1:87" x14ac:dyDescent="0.25">
      <c r="A1048" s="5">
        <f ca="1">IFERROR(__xludf.DUMMYFUNCTION("""COMPUTED_VALUE"""),45028.2490491898)</f>
        <v>45028.249049189799</v>
      </c>
      <c r="B1048" s="1" t="str">
        <f ca="1">IFERROR(__xludf.DUMMYFUNCTION("""COMPUTED_VALUE"""),"jamunashukla17@gmail.com")</f>
        <v>jamunashukla17@gmail.com</v>
      </c>
      <c r="C1048" s="1" t="str">
        <f ca="1">IFERROR(__xludf.DUMMYFUNCTION("""COMPUTED_VALUE"""),"Smt J S Shukla ")</f>
        <v xml:space="preserve">Smt J S Shukla </v>
      </c>
      <c r="D1048" s="1">
        <f ca="1">IFERROR(__xludf.DUMMYFUNCTION("""COMPUTED_VALUE"""),8390353167)</f>
        <v>8390353167</v>
      </c>
      <c r="E1048" s="1" t="str">
        <f ca="1">IFERROR(__xludf.DUMMYFUNCTION("""COMPUTED_VALUE"""),"Yes")</f>
        <v>Yes</v>
      </c>
      <c r="F1048" s="1" t="str">
        <f ca="1">IFERROR(__xludf.DUMMYFUNCTION("""COMPUTED_VALUE"""),"हिन्दी")</f>
        <v>हिन्दी</v>
      </c>
      <c r="G1048" s="1" t="str">
        <f ca="1">IFERROR(__xludf.DUMMYFUNCTION("""COMPUTED_VALUE"""),"युग परिवर्तन-विचार क्रांति")</f>
        <v>युग परिवर्तन-विचार क्रांति</v>
      </c>
      <c r="H1048" s="1"/>
      <c r="I1048" s="1"/>
      <c r="J1048" s="1"/>
      <c r="K1048" s="1"/>
      <c r="L1048" s="1"/>
      <c r="M1048" s="1"/>
      <c r="N1048" s="1"/>
      <c r="O1048" s="1"/>
      <c r="P1048" s="1"/>
      <c r="Q1048" s="1" t="str">
        <f ca="1">IFERROR(__xludf.DUMMYFUNCTION("""COMPUTED_VALUE"""),"युग निर्माण योजना एवं युग परिवर्तन")</f>
        <v>युग निर्माण योजना एवं युग परिवर्तन</v>
      </c>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f ca="1">IFERROR(__xludf.DUMMYFUNCTION("""COMPUTED_VALUE"""),53)</f>
        <v>53</v>
      </c>
      <c r="BX1048" s="1">
        <f ca="1">IFERROR(__xludf.DUMMYFUNCTION("""COMPUTED_VALUE"""),53)</f>
        <v>53</v>
      </c>
      <c r="BY1048" s="1">
        <f ca="1">IFERROR(__xludf.DUMMYFUNCTION("""COMPUTED_VALUE"""),9)</f>
        <v>9</v>
      </c>
      <c r="BZ1048" s="1">
        <f ca="1">IFERROR(__xludf.DUMMYFUNCTION("""COMPUTED_VALUE"""),25)</f>
        <v>25</v>
      </c>
      <c r="CA1048" s="1" t="str">
        <f ca="1">IFERROR(__xludf.DUMMYFUNCTION("""COMPUTED_VALUE"""),"Yes")</f>
        <v>Yes</v>
      </c>
      <c r="CB1048" s="5">
        <f ca="1">IFERROR(__xludf.DUMMYFUNCTION("""COMPUTED_VALUE"""),45038.2490491898)</f>
        <v>45038.249049189799</v>
      </c>
      <c r="CC1048" s="1" t="str">
        <f ca="1">IFERROR(__xludf.DUMMYFUNCTION("""COMPUTED_VALUE"""),"ध्वंस के बिना सृजन कैसे : Rare Book")</f>
        <v>ध्वंस के बिना सृजन कैसे : Rare Book</v>
      </c>
      <c r="CD1048" s="3" t="str">
        <f ca="1">IFERROR(__xludf.DUMMYFUNCTION("""COMPUTED_VALUE"""),"https://vicharkrantibooks.org/productdetail?book_name=HINP0250_DHVANSH_KE_BINA_SRUJAN_KAISE_xx1982&amp;product_id=815")</f>
        <v>https://vicharkrantibooks.org/productdetail?book_name=HINP0250_DHVANSH_KE_BINA_SRUJAN_KAISE_xx1982&amp;product_id=815</v>
      </c>
      <c r="CE1048" s="1" t="str">
        <f ca="1">IFERROR(__xludf.DUMMYFUNCTION("""COMPUTED_VALUE"""),"Audiobook : ध्वंस के बिना सृजन कैसे : Rare Book : jamunashukla17@gmail.com : Recorded")</f>
        <v>Audiobook : ध्वंस के बिना सृजन कैसे : Rare Book : jamunashukla17@gmail.com : Recorded</v>
      </c>
      <c r="CF1048" s="1" t="str">
        <f ca="1">IFERROR(__xludf.DUMMYFUNCTION("""COMPUTED_VALUE"""),"Audiobook : ध्वंस के बिना सृजन कैसे : Rare Book : jamunashukla17@gmail.com : Recorded")</f>
        <v>Audiobook : ध्वंस के बिना सृजन कैसे : Rare Book : jamunashukla17@gmail.com : Recorded</v>
      </c>
      <c r="CG1048" s="1" t="str">
        <f ca="1">IFERROR(__xludf.DUMMYFUNCTION("""COMPUTED_VALUE"""),"Adarniya Smt J S Shukla  ji ध्वंस के बिना सृजन कैसे : Rare Book : Allocated on 12-Apr-23 Contact Number  8390353167")</f>
        <v>Adarniya Smt J S Shukla  ji ध्वंस के बिना सृजन कैसे : Rare Book : Allocated on 12-Apr-23 Contact Number  8390353167</v>
      </c>
      <c r="CH1048" s="1"/>
      <c r="CI1048" s="1"/>
    </row>
    <row r="1049" spans="1:87" x14ac:dyDescent="0.25">
      <c r="A1049" s="5">
        <f ca="1">IFERROR(__xludf.DUMMYFUNCTION("""COMPUTED_VALUE"""),45027.6788551388)</f>
        <v>45027.678855138802</v>
      </c>
      <c r="B1049" s="1" t="str">
        <f ca="1">IFERROR(__xludf.DUMMYFUNCTION("""COMPUTED_VALUE"""),"Naina.MIstry@awgpuk.org")</f>
        <v>Naina.MIstry@awgpuk.org</v>
      </c>
      <c r="C1049" s="1" t="str">
        <f ca="1">IFERROR(__xludf.DUMMYFUNCTION("""COMPUTED_VALUE"""),"Naina Mistry ")</f>
        <v xml:space="preserve">Naina Mistry </v>
      </c>
      <c r="D1049" s="1" t="str">
        <f ca="1">IFERROR(__xludf.DUMMYFUNCTION("""COMPUTED_VALUE"""),"07786996129")</f>
        <v>07786996129</v>
      </c>
      <c r="E1049" s="1" t="str">
        <f ca="1">IFERROR(__xludf.DUMMYFUNCTION("""COMPUTED_VALUE"""),"Yes")</f>
        <v>Yes</v>
      </c>
      <c r="F1049" s="1" t="str">
        <f ca="1">IFERROR(__xludf.DUMMYFUNCTION("""COMPUTED_VALUE"""),"English")</f>
        <v>English</v>
      </c>
      <c r="G1049" s="1" t="str">
        <f ca="1">IFERROR(__xludf.DUMMYFUNCTION("""COMPUTED_VALUE"""),"English")</f>
        <v>English</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f ca="1">IFERROR(__xludf.DUMMYFUNCTION("""COMPUTED_VALUE"""),6)</f>
        <v>6</v>
      </c>
      <c r="BX1049" s="1">
        <f ca="1">IFERROR(__xludf.DUMMYFUNCTION("""COMPUTED_VALUE"""),6)</f>
        <v>6</v>
      </c>
      <c r="BY1049" s="1">
        <f ca="1">IFERROR(__xludf.DUMMYFUNCTION("""COMPUTED_VALUE"""),2)</f>
        <v>2</v>
      </c>
      <c r="BZ1049" s="1">
        <f ca="1">IFERROR(__xludf.DUMMYFUNCTION("""COMPUTED_VALUE"""),3)</f>
        <v>3</v>
      </c>
      <c r="CA1049" s="1" t="str">
        <f ca="1">IFERROR(__xludf.DUMMYFUNCTION("""COMPUTED_VALUE"""),"Yes")</f>
        <v>Yes</v>
      </c>
      <c r="CB1049" s="5">
        <f ca="1">IFERROR(__xludf.DUMMYFUNCTION("""COMPUTED_VALUE"""),45037.6788551388)</f>
        <v>45037.678855138802</v>
      </c>
      <c r="CC1049" s="1" t="str">
        <f ca="1">IFERROR(__xludf.DUMMYFUNCTION("""COMPUTED_VALUE"""),"Overall Progress Of Women : EP_115")</f>
        <v>Overall Progress Of Women : EP_115</v>
      </c>
      <c r="CD1049" s="3" t="str">
        <f ca="1">IFERROR(__xludf.DUMMYFUNCTION("""COMPUTED_VALUE"""),"https://vicharkrantibooks.org/productdetail?book_name=ENGPE115_OVERALL_PROGRESS_OF_WOMEN_xxyyyy&amp;product_id=3500")</f>
        <v>https://vicharkrantibooks.org/productdetail?book_name=ENGPE115_OVERALL_PROGRESS_OF_WOMEN_xxyyyy&amp;product_id=3500</v>
      </c>
      <c r="CE1049" s="1" t="str">
        <f ca="1">IFERROR(__xludf.DUMMYFUNCTION("""COMPUTED_VALUE"""),"Audiobook : Overall Progress Of Women : EP_115 : Naina.MIstry@awgpuk.org : Recorded")</f>
        <v>Audiobook : Overall Progress Of Women : EP_115 : Naina.MIstry@awgpuk.org : Recorded</v>
      </c>
      <c r="CF1049" s="1" t="str">
        <f ca="1">IFERROR(__xludf.DUMMYFUNCTION("""COMPUTED_VALUE"""),"Audiobook : Overall Progress Of Women : EP_115 : Naina.MIstry@awgpuk.org : Recorded")</f>
        <v>Audiobook : Overall Progress Of Women : EP_115 : Naina.MIstry@awgpuk.org : Recorded</v>
      </c>
      <c r="CG1049" s="1" t="str">
        <f ca="1">IFERROR(__xludf.DUMMYFUNCTION("""COMPUTED_VALUE"""),"Adarniya Naina Mistry  ji Overall Progress Of Women : EP_115 : Allocated on 11-Apr-23 Contact Number  07786996129")</f>
        <v>Adarniya Naina Mistry  ji Overall Progress Of Women : EP_115 : Allocated on 11-Apr-23 Contact Number  07786996129</v>
      </c>
      <c r="CH1049" s="1"/>
      <c r="CI1049" s="1"/>
    </row>
    <row r="1050" spans="1:87" x14ac:dyDescent="0.25">
      <c r="A1050" s="5">
        <f ca="1">IFERROR(__xludf.DUMMYFUNCTION("""COMPUTED_VALUE"""),45027.6656966319)</f>
        <v>45027.665696631899</v>
      </c>
      <c r="B1050" s="1" t="str">
        <f ca="1">IFERROR(__xludf.DUMMYFUNCTION("""COMPUTED_VALUE"""),"spmittalmumbai@gmail.com")</f>
        <v>spmittalmumbai@gmail.com</v>
      </c>
      <c r="C1050" s="1" t="str">
        <f ca="1">IFERROR(__xludf.DUMMYFUNCTION("""COMPUTED_VALUE"""),"Satya prabha Mittal")</f>
        <v>Satya prabha Mittal</v>
      </c>
      <c r="D1050" s="1">
        <f ca="1">IFERROR(__xludf.DUMMYFUNCTION("""COMPUTED_VALUE"""),7045537099)</f>
        <v>7045537099</v>
      </c>
      <c r="E1050" s="1" t="str">
        <f ca="1">IFERROR(__xludf.DUMMYFUNCTION("""COMPUTED_VALUE"""),"Yes")</f>
        <v>Yes</v>
      </c>
      <c r="F1050" s="1" t="str">
        <f ca="1">IFERROR(__xludf.DUMMYFUNCTION("""COMPUTED_VALUE"""),"हिन्दी")</f>
        <v>हिन्दी</v>
      </c>
      <c r="G1050" s="1" t="str">
        <f ca="1">IFERROR(__xludf.DUMMYFUNCTION("""COMPUTED_VALUE"""),"अध्यात्म, धर्म एवं दर्शन")</f>
        <v>अध्यात्म, धर्म एवं दर्शन</v>
      </c>
      <c r="H1050" s="1" t="str">
        <f ca="1">IFERROR(__xludf.DUMMYFUNCTION("""COMPUTED_VALUE"""),"उपासना")</f>
        <v>उपासना</v>
      </c>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f ca="1">IFERROR(__xludf.DUMMYFUNCTION("""COMPUTED_VALUE"""),39)</f>
        <v>39</v>
      </c>
      <c r="BX1050" s="1">
        <f ca="1">IFERROR(__xludf.DUMMYFUNCTION("""COMPUTED_VALUE"""),32)</f>
        <v>32</v>
      </c>
      <c r="BY1050" s="1">
        <f ca="1">IFERROR(__xludf.DUMMYFUNCTION("""COMPUTED_VALUE"""),11)</f>
        <v>11</v>
      </c>
      <c r="BZ1050" s="1">
        <f ca="1">IFERROR(__xludf.DUMMYFUNCTION("""COMPUTED_VALUE"""),23)</f>
        <v>23</v>
      </c>
      <c r="CA1050" s="1" t="str">
        <f ca="1">IFERROR(__xludf.DUMMYFUNCTION("""COMPUTED_VALUE"""),"Yes")</f>
        <v>Yes</v>
      </c>
      <c r="CB1050" s="5">
        <f ca="1">IFERROR(__xludf.DUMMYFUNCTION("""COMPUTED_VALUE"""),45037.6656966319)</f>
        <v>45037.665696631899</v>
      </c>
      <c r="CC1050" s="1" t="str">
        <f ca="1">IFERROR(__xludf.DUMMYFUNCTION("""COMPUTED_VALUE"""),"उच्चस्तरीय साधना के कुछ जानने योग्य अनुशासन : Rare Book")</f>
        <v>उच्चस्तरीय साधना के कुछ जानने योग्य अनुशासन : Rare Book</v>
      </c>
      <c r="CD1050" s="3" t="str">
        <f ca="1">IFERROR(__xludf.DUMMYFUNCTION("""COMPUTED_VALUE"""),"https://vicharkrantibooks.org/productdetail?book_name=HINP0915_UCHCHASTARIY_SADHANA_KE_KUCHH_JANANE_YOGY_ANUSHASAN_xx1982&amp;product_id=1480")</f>
        <v>https://vicharkrantibooks.org/productdetail?book_name=HINP0915_UCHCHASTARIY_SADHANA_KE_KUCHH_JANANE_YOGY_ANUSHASAN_xx1982&amp;product_id=1480</v>
      </c>
      <c r="CE1050" s="1" t="str">
        <f ca="1">IFERROR(__xludf.DUMMYFUNCTION("""COMPUTED_VALUE"""),"Audiobook : उच्चस्तरीय साधना के कुछ जानने योग्य अनुशासन : Rare Book : spmittalmumbai@gmail.com : Recorded")</f>
        <v>Audiobook : उच्चस्तरीय साधना के कुछ जानने योग्य अनुशासन : Rare Book : spmittalmumbai@gmail.com : Recorded</v>
      </c>
      <c r="CF1050" s="1" t="str">
        <f ca="1">IFERROR(__xludf.DUMMYFUNCTION("""COMPUTED_VALUE"""),"Audiobook : उच्चस्तरीय साधना के कुछ जानने योग्य अनुशासन : Rare Book : spmittalmumbai@gmail.com : Recorded")</f>
        <v>Audiobook : उच्चस्तरीय साधना के कुछ जानने योग्य अनुशासन : Rare Book : spmittalmumbai@gmail.com : Recorded</v>
      </c>
      <c r="CG1050" s="1" t="str">
        <f ca="1">IFERROR(__xludf.DUMMYFUNCTION("""COMPUTED_VALUE"""),"Adarniya Satya prabha Mittal ji उच्चस्तरीय साधना के कुछ जानने योग्य अनुशासन : Rare Book : Allocated on 11-Apr-23 Contact Number  7045537099")</f>
        <v>Adarniya Satya prabha Mittal ji उच्चस्तरीय साधना के कुछ जानने योग्य अनुशासन : Rare Book : Allocated on 11-Apr-23 Contact Number  7045537099</v>
      </c>
      <c r="CH1050" s="1"/>
      <c r="CI1050" s="1"/>
    </row>
    <row r="1051" spans="1:87" x14ac:dyDescent="0.25">
      <c r="A1051" s="5">
        <f ca="1">IFERROR(__xludf.DUMMYFUNCTION("""COMPUTED_VALUE"""),45027.2973540393)</f>
        <v>45027.2973540393</v>
      </c>
      <c r="B1051" s="1" t="str">
        <f ca="1">IFERROR(__xludf.DUMMYFUNCTION("""COMPUTED_VALUE"""),"jgsm138@gmail.com")</f>
        <v>jgsm138@gmail.com</v>
      </c>
      <c r="C1051" s="1" t="str">
        <f ca="1">IFERROR(__xludf.DUMMYFUNCTION("""COMPUTED_VALUE"""),"Shanta Mittal")</f>
        <v>Shanta Mittal</v>
      </c>
      <c r="D1051" s="1">
        <f ca="1">IFERROR(__xludf.DUMMYFUNCTION("""COMPUTED_VALUE"""),9416825380)</f>
        <v>9416825380</v>
      </c>
      <c r="E1051" s="1" t="str">
        <f ca="1">IFERROR(__xludf.DUMMYFUNCTION("""COMPUTED_VALUE"""),"Yes")</f>
        <v>Yes</v>
      </c>
      <c r="F1051" s="1" t="str">
        <f ca="1">IFERROR(__xludf.DUMMYFUNCTION("""COMPUTED_VALUE"""),"हिन्दी")</f>
        <v>हिन्दी</v>
      </c>
      <c r="G1051" s="1" t="str">
        <f ca="1">IFERROR(__xludf.DUMMYFUNCTION("""COMPUTED_VALUE"""),"जीवन प्रबंध")</f>
        <v>जीवन प्रबंध</v>
      </c>
      <c r="H1051" s="1"/>
      <c r="I1051" s="1"/>
      <c r="J1051" s="1"/>
      <c r="K1051" s="1"/>
      <c r="L1051" s="1" t="str">
        <f ca="1">IFERROR(__xludf.DUMMYFUNCTION("""COMPUTED_VALUE"""),"मानव जीवन की गरिमा")</f>
        <v>मानव जीवन की गरिमा</v>
      </c>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f ca="1">IFERROR(__xludf.DUMMYFUNCTION("""COMPUTED_VALUE"""),1)</f>
        <v>1</v>
      </c>
      <c r="BX1051" s="1">
        <f ca="1">IFERROR(__xludf.DUMMYFUNCTION("""COMPUTED_VALUE"""),0)</f>
        <v>0</v>
      </c>
      <c r="BY1051" s="1">
        <f ca="1">IFERROR(__xludf.DUMMYFUNCTION("""COMPUTED_VALUE"""),1)</f>
        <v>1</v>
      </c>
      <c r="BZ1051" s="1">
        <f ca="1">IFERROR(__xludf.DUMMYFUNCTION("""COMPUTED_VALUE"""),0)</f>
        <v>0</v>
      </c>
      <c r="CA1051" s="1" t="str">
        <f ca="1">IFERROR(__xludf.DUMMYFUNCTION("""COMPUTED_VALUE"""),"Yes")</f>
        <v>Yes</v>
      </c>
      <c r="CB1051" s="5">
        <f ca="1">IFERROR(__xludf.DUMMYFUNCTION("""COMPUTED_VALUE"""),45037.2973540393)</f>
        <v>45037.2973540393</v>
      </c>
      <c r="CC1051" s="1" t="str">
        <f ca="1">IFERROR(__xludf.DUMMYFUNCTION("""COMPUTED_VALUE"""),"जीवन साधना की उर्जा रश्मियाँ : H_SC_04")</f>
        <v>जीवन साधना की उर्जा रश्मियाँ : H_SC_04</v>
      </c>
      <c r="CD1051" s="3" t="str">
        <f ca="1">IFERROR(__xludf.DUMMYFUNCTION("""COMPUTED_VALUE"""),"https://vicharkrantibooks.org/productdetail?book_name=HINP0395_JIVAN_SADHANA_KI_URJA_RASHAMIYAN_xxyyyy&amp;product_id=960")</f>
        <v>https://vicharkrantibooks.org/productdetail?book_name=HINP0395_JIVAN_SADHANA_KI_URJA_RASHAMIYAN_xxyyyy&amp;product_id=960</v>
      </c>
      <c r="CE1051" s="1" t="str">
        <f ca="1">IFERROR(__xludf.DUMMYFUNCTION("""COMPUTED_VALUE"""),"Audiobook : जीवन साधना की उर्जा रश्मियाँ : H_SC_04 : jgsm138@gmail.com : Recorded")</f>
        <v>Audiobook : जीवन साधना की उर्जा रश्मियाँ : H_SC_04 : jgsm138@gmail.com : Recorded</v>
      </c>
      <c r="CF1051" s="1" t="str">
        <f ca="1">IFERROR(__xludf.DUMMYFUNCTION("""COMPUTED_VALUE"""),"#N/A")</f>
        <v>#N/A</v>
      </c>
      <c r="CG1051" s="1" t="str">
        <f ca="1">IFERROR(__xludf.DUMMYFUNCTION("""COMPUTED_VALUE"""),"Adarniya Shanta Mittal ji जीवन साधना की उर्जा रश्मियाँ : H_SC_04 : Allocated on 11-Apr-23 Contact Number  9416825380")</f>
        <v>Adarniya Shanta Mittal ji जीवन साधना की उर्जा रश्मियाँ : H_SC_04 : Allocated on 11-Apr-23 Contact Number  9416825380</v>
      </c>
      <c r="CH1051" s="1"/>
      <c r="CI1051" s="1"/>
    </row>
    <row r="1052" spans="1:87" x14ac:dyDescent="0.25">
      <c r="A1052" s="5">
        <f ca="1">IFERROR(__xludf.DUMMYFUNCTION("""COMPUTED_VALUE"""),45026.6450298379)</f>
        <v>45026.645029837899</v>
      </c>
      <c r="B1052" s="1" t="str">
        <f ca="1">IFERROR(__xludf.DUMMYFUNCTION("""COMPUTED_VALUE"""),"amrita_dube@yahoo.com")</f>
        <v>amrita_dube@yahoo.com</v>
      </c>
      <c r="C1052" s="1" t="str">
        <f ca="1">IFERROR(__xludf.DUMMYFUNCTION("""COMPUTED_VALUE"""),"Amrita")</f>
        <v>Amrita</v>
      </c>
      <c r="D1052" s="1"/>
      <c r="E1052" s="1" t="str">
        <f ca="1">IFERROR(__xludf.DUMMYFUNCTION("""COMPUTED_VALUE"""),"No")</f>
        <v>No</v>
      </c>
      <c r="F1052" s="1" t="str">
        <f ca="1">IFERROR(__xludf.DUMMYFUNCTION("""COMPUTED_VALUE"""),"English")</f>
        <v>English</v>
      </c>
      <c r="G1052" s="1" t="str">
        <f ca="1">IFERROR(__xludf.DUMMYFUNCTION("""COMPUTED_VALUE"""),"अध्यात्म, धर्म एवं दर्शन")</f>
        <v>अध्यात्म, धर्म एवं दर्शन</v>
      </c>
      <c r="H1052" s="1" t="str">
        <f ca="1">IFERROR(__xludf.DUMMYFUNCTION("""COMPUTED_VALUE"""),"अध्यात्म, धर्म एवं आस्तिकता")</f>
        <v>अध्यात्म, धर्म एवं आस्तिकता</v>
      </c>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f ca="1">IFERROR(__xludf.DUMMYFUNCTION("""COMPUTED_VALUE"""),17)</f>
        <v>17</v>
      </c>
      <c r="BX1052" s="1">
        <f ca="1">IFERROR(__xludf.DUMMYFUNCTION("""COMPUTED_VALUE"""),14)</f>
        <v>14</v>
      </c>
      <c r="BY1052" s="1">
        <f ca="1">IFERROR(__xludf.DUMMYFUNCTION("""COMPUTED_VALUE"""),6)</f>
        <v>6</v>
      </c>
      <c r="BZ1052" s="1">
        <f ca="1">IFERROR(__xludf.DUMMYFUNCTION("""COMPUTED_VALUE"""),5)</f>
        <v>5</v>
      </c>
      <c r="CA1052" s="1" t="str">
        <f ca="1">IFERROR(__xludf.DUMMYFUNCTION("""COMPUTED_VALUE"""),"Yes")</f>
        <v>Yes</v>
      </c>
      <c r="CB1052" s="5">
        <f ca="1">IFERROR(__xludf.DUMMYFUNCTION("""COMPUTED_VALUE"""),45036.6450298379)</f>
        <v>45036.645029837899</v>
      </c>
      <c r="CC1052" s="1" t="str">
        <f ca="1">IFERROR(__xludf.DUMMYFUNCTION("""COMPUTED_VALUE"""),"The Demand Of The Times : EP_36")</f>
        <v>The Demand Of The Times : EP_36</v>
      </c>
      <c r="CD1052" s="3" t="str">
        <f ca="1">IFERROR(__xludf.DUMMYFUNCTION("""COMPUTED_VALUE"""),"https://vicharkrantibooks.org/productdetail?book_name=ENGR1423_THE_DEMAND_OF_THE_TIMES_xxyyyy&amp;product_id=3429")</f>
        <v>https://vicharkrantibooks.org/productdetail?book_name=ENGR1423_THE_DEMAND_OF_THE_TIMES_xxyyyy&amp;product_id=3429</v>
      </c>
      <c r="CE1052" s="1" t="str">
        <f ca="1">IFERROR(__xludf.DUMMYFUNCTION("""COMPUTED_VALUE"""),"Audiobook : The Demand Of The Times : EP_36 : amrita_dube@yahoo.com : Recorded")</f>
        <v>Audiobook : The Demand Of The Times : EP_36 : amrita_dube@yahoo.com : Recorded</v>
      </c>
      <c r="CF1052" s="1" t="str">
        <f ca="1">IFERROR(__xludf.DUMMYFUNCTION("""COMPUTED_VALUE"""),"Audiobook : The Demand Of The Times : EP_36 : amrita_dube@yahoo.com : Recorded")</f>
        <v>Audiobook : The Demand Of The Times : EP_36 : amrita_dube@yahoo.com : Recorded</v>
      </c>
      <c r="CG1052" s="1" t="str">
        <f ca="1">IFERROR(__xludf.DUMMYFUNCTION("""COMPUTED_VALUE"""),"Adarniya Amrita ji The Demand Of The Times : EP_36 : Allocated on 10-Apr-23 Contact Number  ")</f>
        <v xml:space="preserve">Adarniya Amrita ji The Demand Of The Times : EP_36 : Allocated on 10-Apr-23 Contact Number  </v>
      </c>
      <c r="CH1052" s="1"/>
      <c r="CI1052" s="1"/>
    </row>
    <row r="1053" spans="1:87" x14ac:dyDescent="0.25">
      <c r="A1053" s="5">
        <f ca="1">IFERROR(__xludf.DUMMYFUNCTION("""COMPUTED_VALUE"""),45026.017965)</f>
        <v>45026.017964999999</v>
      </c>
      <c r="B1053" s="1" t="str">
        <f ca="1">IFERROR(__xludf.DUMMYFUNCTION("""COMPUTED_VALUE"""),"myselfrichadeep@outlook.com")</f>
        <v>myselfrichadeep@outlook.com</v>
      </c>
      <c r="C1053" s="1" t="str">
        <f ca="1">IFERROR(__xludf.DUMMYFUNCTION("""COMPUTED_VALUE"""),"Richa Pandey ")</f>
        <v xml:space="preserve">Richa Pandey </v>
      </c>
      <c r="D1053" s="1">
        <f ca="1">IFERROR(__xludf.DUMMYFUNCTION("""COMPUTED_VALUE"""),8292579606)</f>
        <v>8292579606</v>
      </c>
      <c r="E1053" s="1" t="str">
        <f ca="1">IFERROR(__xludf.DUMMYFUNCTION("""COMPUTED_VALUE"""),"Yes")</f>
        <v>Yes</v>
      </c>
      <c r="F1053" s="1" t="str">
        <f ca="1">IFERROR(__xludf.DUMMYFUNCTION("""COMPUTED_VALUE"""),"हिन्दी")</f>
        <v>हिन्दी</v>
      </c>
      <c r="G1053" s="1" t="str">
        <f ca="1">IFERROR(__xludf.DUMMYFUNCTION("""COMPUTED_VALUE"""),"व्यक्ति निर्माण, युवा/विद्यार्थी एवं शिक्षक")</f>
        <v>व्यक्ति निर्माण, युवा/विद्यार्थी एवं शिक्षक</v>
      </c>
      <c r="H1053" s="1"/>
      <c r="I1053" s="1"/>
      <c r="J1053" s="1"/>
      <c r="K1053" s="1"/>
      <c r="L1053" s="1"/>
      <c r="M1053" s="1"/>
      <c r="N1053" s="1"/>
      <c r="O1053" s="1"/>
      <c r="P1053" s="1"/>
      <c r="Q1053" s="1"/>
      <c r="R1053" s="1"/>
      <c r="S1053" s="1"/>
      <c r="T1053" s="1" t="str">
        <f ca="1">IFERROR(__xludf.DUMMYFUNCTION("""COMPUTED_VALUE"""),"व्यक्तित्व परिष्कार")</f>
        <v>व्यक्तित्व परिष्कार</v>
      </c>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f ca="1">IFERROR(__xludf.DUMMYFUNCTION("""COMPUTED_VALUE"""),1)</f>
        <v>1</v>
      </c>
      <c r="BX1053" s="1">
        <f ca="1">IFERROR(__xludf.DUMMYFUNCTION("""COMPUTED_VALUE"""),0)</f>
        <v>0</v>
      </c>
      <c r="BY1053" s="1">
        <f ca="1">IFERROR(__xludf.DUMMYFUNCTION("""COMPUTED_VALUE"""),1)</f>
        <v>1</v>
      </c>
      <c r="BZ1053" s="1">
        <f ca="1">IFERROR(__xludf.DUMMYFUNCTION("""COMPUTED_VALUE"""),0)</f>
        <v>0</v>
      </c>
      <c r="CA1053" s="1" t="str">
        <f ca="1">IFERROR(__xludf.DUMMYFUNCTION("""COMPUTED_VALUE"""),"Yes")</f>
        <v>Yes</v>
      </c>
      <c r="CB1053" s="5">
        <f ca="1">IFERROR(__xludf.DUMMYFUNCTION("""COMPUTED_VALUE"""),45036.017965)</f>
        <v>45036.017964999999</v>
      </c>
      <c r="CC1053" s="1" t="str">
        <f ca="1">IFERROR(__xludf.DUMMYFUNCTION("""COMPUTED_VALUE"""),"अश्लीलता के अजगर से बचें : Rare Book")</f>
        <v>अश्लीलता के अजगर से बचें : Rare Book</v>
      </c>
      <c r="CD1053" s="3" t="str">
        <f ca="1">IFERROR(__xludf.DUMMYFUNCTION("""COMPUTED_VALUE"""),"https://vicharkrantibooks.org/productdetail?book_name=HINP0076_ASHLILATA_KE_AJAGAR_SE_BACHEN_xxyyyy&amp;product_id=641")</f>
        <v>https://vicharkrantibooks.org/productdetail?book_name=HINP0076_ASHLILATA_KE_AJAGAR_SE_BACHEN_xxyyyy&amp;product_id=641</v>
      </c>
      <c r="CE1053" s="1" t="str">
        <f ca="1">IFERROR(__xludf.DUMMYFUNCTION("""COMPUTED_VALUE"""),"Audiobook : अश्लीलता के अजगर से बचें : Rare Book : myselfrichadeep@outlook.com : Recorded")</f>
        <v>Audiobook : अश्लीलता के अजगर से बचें : Rare Book : myselfrichadeep@outlook.com : Recorded</v>
      </c>
      <c r="CF1053" s="1" t="str">
        <f ca="1">IFERROR(__xludf.DUMMYFUNCTION("""COMPUTED_VALUE"""),"#N/A")</f>
        <v>#N/A</v>
      </c>
      <c r="CG1053" s="1" t="str">
        <f ca="1">IFERROR(__xludf.DUMMYFUNCTION("""COMPUTED_VALUE"""),"Adarniya Richa Pandey  ji अश्लीलता के अजगर से बचें : Rare Book : Allocated on 10-Apr-23 Contact Number  8292579606")</f>
        <v>Adarniya Richa Pandey  ji अश्लीलता के अजगर से बचें : Rare Book : Allocated on 10-Apr-23 Contact Number  8292579606</v>
      </c>
      <c r="CH1053" s="1"/>
      <c r="CI1053" s="1"/>
    </row>
    <row r="1054" spans="1:87" x14ac:dyDescent="0.25">
      <c r="A1054" s="5">
        <f ca="1">IFERROR(__xludf.DUMMYFUNCTION("""COMPUTED_VALUE"""),45025.6496723611)</f>
        <v>45025.649672361098</v>
      </c>
      <c r="B1054" s="1" t="str">
        <f ca="1">IFERROR(__xludf.DUMMYFUNCTION("""COMPUTED_VALUE"""),"druma4107@gmail.com")</f>
        <v>druma4107@gmail.com</v>
      </c>
      <c r="C1054" s="1" t="str">
        <f ca="1">IFERROR(__xludf.DUMMYFUNCTION("""COMPUTED_VALUE"""),"Dr Uma Agrawal")</f>
        <v>Dr Uma Agrawal</v>
      </c>
      <c r="D1054" s="1">
        <f ca="1">IFERROR(__xludf.DUMMYFUNCTION("""COMPUTED_VALUE"""),9410861182)</f>
        <v>9410861182</v>
      </c>
      <c r="E1054" s="1" t="str">
        <f ca="1">IFERROR(__xludf.DUMMYFUNCTION("""COMPUTED_VALUE"""),"Yes")</f>
        <v>Yes</v>
      </c>
      <c r="F1054" s="1" t="str">
        <f ca="1">IFERROR(__xludf.DUMMYFUNCTION("""COMPUTED_VALUE"""),"हिन्दी")</f>
        <v>हिन्दी</v>
      </c>
      <c r="G1054" s="1" t="str">
        <f ca="1">IFERROR(__xludf.DUMMYFUNCTION("""COMPUTED_VALUE"""),"समग्र स्वास्थ्य")</f>
        <v>समग्र स्वास्थ्य</v>
      </c>
      <c r="H1054" s="1"/>
      <c r="I1054" s="1"/>
      <c r="J1054" s="1"/>
      <c r="K1054" s="1"/>
      <c r="L1054" s="1"/>
      <c r="M1054" s="1"/>
      <c r="N1054" s="1"/>
      <c r="O1054" s="1"/>
      <c r="P1054" s="1"/>
      <c r="Q1054" s="1"/>
      <c r="R1054" s="1"/>
      <c r="S1054" s="1"/>
      <c r="T1054" s="1"/>
      <c r="U1054" s="1" t="str">
        <f ca="1">IFERROR(__xludf.DUMMYFUNCTION("""COMPUTED_VALUE"""),"स्वास्थ्य संवर्धन")</f>
        <v>स्वास्थ्य संवर्धन</v>
      </c>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f ca="1">IFERROR(__xludf.DUMMYFUNCTION("""COMPUTED_VALUE"""),104)</f>
        <v>104</v>
      </c>
      <c r="BX1054" s="1">
        <f ca="1">IFERROR(__xludf.DUMMYFUNCTION("""COMPUTED_VALUE"""),106)</f>
        <v>106</v>
      </c>
      <c r="BY1054" s="1">
        <f ca="1">IFERROR(__xludf.DUMMYFUNCTION("""COMPUTED_VALUE"""),9)</f>
        <v>9</v>
      </c>
      <c r="BZ1054" s="1">
        <f ca="1">IFERROR(__xludf.DUMMYFUNCTION("""COMPUTED_VALUE"""),43)</f>
        <v>43</v>
      </c>
      <c r="CA1054" s="1" t="str">
        <f ca="1">IFERROR(__xludf.DUMMYFUNCTION("""COMPUTED_VALUE"""),"Yes")</f>
        <v>Yes</v>
      </c>
      <c r="CB1054" s="5">
        <f ca="1">IFERROR(__xludf.DUMMYFUNCTION("""COMPUTED_VALUE"""),45035.6496723611)</f>
        <v>45035.649672361098</v>
      </c>
      <c r="CC1054" s="1" t="str">
        <f ca="1">IFERROR(__xludf.DUMMYFUNCTION("""COMPUTED_VALUE"""),"तुलसी अमृतोपम : Rare Book")</f>
        <v>तुलसी अमृतोपम : Rare Book</v>
      </c>
      <c r="CD1054" s="3" t="str">
        <f ca="1">IFERROR(__xludf.DUMMYFUNCTION("""COMPUTED_VALUE"""),"https://vicharkrantibooks.org/productdetail?book_name=HINP0913_TULASI_AMRUTOPAM_xxyyyy&amp;product_id=1478")</f>
        <v>https://vicharkrantibooks.org/productdetail?book_name=HINP0913_TULASI_AMRUTOPAM_xxyyyy&amp;product_id=1478</v>
      </c>
      <c r="CE1054" s="1" t="str">
        <f ca="1">IFERROR(__xludf.DUMMYFUNCTION("""COMPUTED_VALUE"""),"Audiobook : तुलसी अमृतोपम : Rare Book : druma4107@gmail.com : Recorded")</f>
        <v>Audiobook : तुलसी अमृतोपम : Rare Book : druma4107@gmail.com : Recorded</v>
      </c>
      <c r="CF1054" s="1" t="str">
        <f ca="1">IFERROR(__xludf.DUMMYFUNCTION("""COMPUTED_VALUE"""),"Audiobook : तुलसी अमृतोपम : Rare Book : druma4107@gmail.com : Recorded")</f>
        <v>Audiobook : तुलसी अमृतोपम : Rare Book : druma4107@gmail.com : Recorded</v>
      </c>
      <c r="CG1054" s="1" t="str">
        <f ca="1">IFERROR(__xludf.DUMMYFUNCTION("""COMPUTED_VALUE"""),"Adarniya Dr Uma Agrawal ji तुलसी अमृतोपम : Rare Book : Allocated on 09-Apr-23 Contact Number  9410861182")</f>
        <v>Adarniya Dr Uma Agrawal ji तुलसी अमृतोपम : Rare Book : Allocated on 09-Apr-23 Contact Number  9410861182</v>
      </c>
      <c r="CH1054" s="1"/>
      <c r="CI1054" s="1"/>
    </row>
    <row r="1055" spans="1:87" x14ac:dyDescent="0.25">
      <c r="A1055" s="5">
        <f ca="1">IFERROR(__xludf.DUMMYFUNCTION("""COMPUTED_VALUE"""),45024.692891331)</f>
        <v>45024.692891330997</v>
      </c>
      <c r="B1055" s="1" t="str">
        <f ca="1">IFERROR(__xludf.DUMMYFUNCTION("""COMPUTED_VALUE"""),"rekhabhagat2511@gmail.com")</f>
        <v>rekhabhagat2511@gmail.com</v>
      </c>
      <c r="C1055" s="1" t="str">
        <f ca="1">IFERROR(__xludf.DUMMYFUNCTION("""COMPUTED_VALUE"""),"Rekha Bhagat")</f>
        <v>Rekha Bhagat</v>
      </c>
      <c r="D1055" s="1" t="str">
        <f ca="1">IFERROR(__xludf.DUMMYFUNCTION("""COMPUTED_VALUE"""),"94248 11235 ")</f>
        <v xml:space="preserve">94248 11235 </v>
      </c>
      <c r="E1055" s="1" t="str">
        <f ca="1">IFERROR(__xludf.DUMMYFUNCTION("""COMPUTED_VALUE"""),"Yes")</f>
        <v>Yes</v>
      </c>
      <c r="F1055" s="1" t="str">
        <f ca="1">IFERROR(__xludf.DUMMYFUNCTION("""COMPUTED_VALUE"""),"हिन्दी")</f>
        <v>हिन्दी</v>
      </c>
      <c r="G1055" s="1" t="str">
        <f ca="1">IFERROR(__xludf.DUMMYFUNCTION("""COMPUTED_VALUE"""),"वैज्ञानिक अध्यात्मवाद का प्रतिपादन")</f>
        <v>वैज्ञानिक अध्यात्मवाद का प्रतिपादन</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f ca="1">IFERROR(__xludf.DUMMYFUNCTION("""COMPUTED_VALUE"""),19)</f>
        <v>19</v>
      </c>
      <c r="BX1055" s="1">
        <f ca="1">IFERROR(__xludf.DUMMYFUNCTION("""COMPUTED_VALUE"""),11)</f>
        <v>11</v>
      </c>
      <c r="BY1055" s="1">
        <f ca="1">IFERROR(__xludf.DUMMYFUNCTION("""COMPUTED_VALUE"""),8)</f>
        <v>8</v>
      </c>
      <c r="BZ1055" s="1">
        <f ca="1">IFERROR(__xludf.DUMMYFUNCTION("""COMPUTED_VALUE"""),4)</f>
        <v>4</v>
      </c>
      <c r="CA1055" s="1" t="str">
        <f ca="1">IFERROR(__xludf.DUMMYFUNCTION("""COMPUTED_VALUE"""),"Yes")</f>
        <v>Yes</v>
      </c>
      <c r="CB1055" s="5">
        <f ca="1">IFERROR(__xludf.DUMMYFUNCTION("""COMPUTED_VALUE"""),45034.692891331)</f>
        <v>45034.692891330997</v>
      </c>
      <c r="CC1055" s="1" t="str">
        <f ca="1">IFERROR(__xludf.DUMMYFUNCTION("""COMPUTED_VALUE"""),"विज्ञान धर्मपरक होकर ही मानवोपयोगी : Rare Book")</f>
        <v>विज्ञान धर्मपरक होकर ही मानवोपयोगी : Rare Book</v>
      </c>
      <c r="CD1055" s="3" t="str">
        <f ca="1">IFERROR(__xludf.DUMMYFUNCTION("""COMPUTED_VALUE"""),"https://vicharkrantibooks.org/productdetail?book_name=HINP0972_VIGYAN_DHARMPARAK_HOKAR_HI_MANAVOPAYOGI_xxyyyy&amp;product_id=1537")</f>
        <v>https://vicharkrantibooks.org/productdetail?book_name=HINP0972_VIGYAN_DHARMPARAK_HOKAR_HI_MANAVOPAYOGI_xxyyyy&amp;product_id=1537</v>
      </c>
      <c r="CE1055" s="1" t="str">
        <f ca="1">IFERROR(__xludf.DUMMYFUNCTION("""COMPUTED_VALUE"""),"Audiobook : विज्ञान धर्मपरक होकर ही मानवोपयोगी : Rare Book : rekhabhagat2511@gmail.com : Recorded")</f>
        <v>Audiobook : विज्ञान धर्मपरक होकर ही मानवोपयोगी : Rare Book : rekhabhagat2511@gmail.com : Recorded</v>
      </c>
      <c r="CF1055" s="1" t="str">
        <f ca="1">IFERROR(__xludf.DUMMYFUNCTION("""COMPUTED_VALUE"""),"Audiobook : विज्ञान धर्मपरक होकर ही मानवोपयोगी : Rare Book : rekhabhagat2511@gmail.com : Recorded")</f>
        <v>Audiobook : विज्ञान धर्मपरक होकर ही मानवोपयोगी : Rare Book : rekhabhagat2511@gmail.com : Recorded</v>
      </c>
      <c r="CG1055" s="1" t="str">
        <f ca="1">IFERROR(__xludf.DUMMYFUNCTION("""COMPUTED_VALUE"""),"Adarniya Rekha Bhagat ji विज्ञान धर्मपरक होकर ही मानवोपयोगी : Rare Book : Allocated on 08-Apr-23 Contact Number  94248 11235 ")</f>
        <v xml:space="preserve">Adarniya Rekha Bhagat ji विज्ञान धर्मपरक होकर ही मानवोपयोगी : Rare Book : Allocated on 08-Apr-23 Contact Number  94248 11235 </v>
      </c>
      <c r="CH1055" s="1"/>
      <c r="CI1055" s="1"/>
    </row>
    <row r="1056" spans="1:87" x14ac:dyDescent="0.25">
      <c r="A1056" s="5">
        <f ca="1">IFERROR(__xludf.DUMMYFUNCTION("""COMPUTED_VALUE"""),45023.3046862962)</f>
        <v>45023.3046862962</v>
      </c>
      <c r="B1056" s="1" t="str">
        <f ca="1">IFERROR(__xludf.DUMMYFUNCTION("""COMPUTED_VALUE"""),"druma4107@gmail.com")</f>
        <v>druma4107@gmail.com</v>
      </c>
      <c r="C1056" s="1" t="str">
        <f ca="1">IFERROR(__xludf.DUMMYFUNCTION("""COMPUTED_VALUE"""),"Dr Uma Agrawal")</f>
        <v>Dr Uma Agrawal</v>
      </c>
      <c r="D1056" s="1">
        <f ca="1">IFERROR(__xludf.DUMMYFUNCTION("""COMPUTED_VALUE"""),9410861182)</f>
        <v>9410861182</v>
      </c>
      <c r="E1056" s="1" t="str">
        <f ca="1">IFERROR(__xludf.DUMMYFUNCTION("""COMPUTED_VALUE"""),"Yes")</f>
        <v>Yes</v>
      </c>
      <c r="F1056" s="1" t="str">
        <f ca="1">IFERROR(__xludf.DUMMYFUNCTION("""COMPUTED_VALUE"""),"हिन्दी")</f>
        <v>हिन्दी</v>
      </c>
      <c r="G1056" s="1" t="str">
        <f ca="1">IFERROR(__xludf.DUMMYFUNCTION("""COMPUTED_VALUE"""),"समग्र स्वास्थ्य")</f>
        <v>समग्र स्वास्थ्य</v>
      </c>
      <c r="H1056" s="1"/>
      <c r="I1056" s="1"/>
      <c r="J1056" s="1"/>
      <c r="K1056" s="1"/>
      <c r="L1056" s="1"/>
      <c r="M1056" s="1"/>
      <c r="N1056" s="1"/>
      <c r="O1056" s="1"/>
      <c r="P1056" s="1"/>
      <c r="Q1056" s="1"/>
      <c r="R1056" s="1"/>
      <c r="S1056" s="1"/>
      <c r="T1056" s="1"/>
      <c r="U1056" s="1" t="str">
        <f ca="1">IFERROR(__xludf.DUMMYFUNCTION("""COMPUTED_VALUE"""),"स्वास्थ्य संवर्धन")</f>
        <v>स्वास्थ्य संवर्धन</v>
      </c>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f ca="1">IFERROR(__xludf.DUMMYFUNCTION("""COMPUTED_VALUE"""),104)</f>
        <v>104</v>
      </c>
      <c r="BX1056" s="1">
        <f ca="1">IFERROR(__xludf.DUMMYFUNCTION("""COMPUTED_VALUE"""),106)</f>
        <v>106</v>
      </c>
      <c r="BY1056" s="1">
        <f ca="1">IFERROR(__xludf.DUMMYFUNCTION("""COMPUTED_VALUE"""),9)</f>
        <v>9</v>
      </c>
      <c r="BZ1056" s="1">
        <f ca="1">IFERROR(__xludf.DUMMYFUNCTION("""COMPUTED_VALUE"""),43)</f>
        <v>43</v>
      </c>
      <c r="CA1056" s="1" t="str">
        <f ca="1">IFERROR(__xludf.DUMMYFUNCTION("""COMPUTED_VALUE"""),"Yes")</f>
        <v>Yes</v>
      </c>
      <c r="CB1056" s="5">
        <f ca="1">IFERROR(__xludf.DUMMYFUNCTION("""COMPUTED_VALUE"""),45033.3046862962)</f>
        <v>45033.3046862962</v>
      </c>
      <c r="CC1056" s="1" t="str">
        <f ca="1">IFERROR(__xludf.DUMMYFUNCTION("""COMPUTED_VALUE"""),"टहलना एक अति उपयोगी और सरल व्यायाम : Rare Book")</f>
        <v>टहलना एक अति उपयोगी और सरल व्यायाम : Rare Book</v>
      </c>
      <c r="CD1056" s="3" t="str">
        <f ca="1">IFERROR(__xludf.DUMMYFUNCTION("""COMPUTED_VALUE"""),"https://vicharkrantibooks.org/productdetail?book_name=HINP0899_TAHALANA_EK_ATI_UPAYOGI_AUR_SARAL_VYAYAM_xx1982&amp;product_id=1464")</f>
        <v>https://vicharkrantibooks.org/productdetail?book_name=HINP0899_TAHALANA_EK_ATI_UPAYOGI_AUR_SARAL_VYAYAM_xx1982&amp;product_id=1464</v>
      </c>
      <c r="CE1056" s="1" t="str">
        <f ca="1">IFERROR(__xludf.DUMMYFUNCTION("""COMPUTED_VALUE"""),"Audiobook : टहलना एक अति उपयोगी और सरल व्यायाम : Rare Book : druma4107@gmail.com : Recorded")</f>
        <v>Audiobook : टहलना एक अति उपयोगी और सरल व्यायाम : Rare Book : druma4107@gmail.com : Recorded</v>
      </c>
      <c r="CF1056" s="1" t="str">
        <f ca="1">IFERROR(__xludf.DUMMYFUNCTION("""COMPUTED_VALUE"""),"Audiobook : टहलना एक अति उपयोगी और सरल व्यायाम : Rare Book : druma4107@gmail.com : Recorded")</f>
        <v>Audiobook : टहलना एक अति उपयोगी और सरल व्यायाम : Rare Book : druma4107@gmail.com : Recorded</v>
      </c>
      <c r="CG1056" s="1" t="str">
        <f ca="1">IFERROR(__xludf.DUMMYFUNCTION("""COMPUTED_VALUE"""),"Adarniya Dr Uma Agrawal ji टहलना एक अति उपयोगी और सरल व्यायाम : Rare Book : Allocated on 07-Apr-23 Contact Number  9410861182")</f>
        <v>Adarniya Dr Uma Agrawal ji टहलना एक अति उपयोगी और सरल व्यायाम : Rare Book : Allocated on 07-Apr-23 Contact Number  9410861182</v>
      </c>
      <c r="CH1056" s="1"/>
      <c r="CI1056" s="1"/>
    </row>
    <row r="1057" spans="1:87" x14ac:dyDescent="0.25">
      <c r="A1057" s="5">
        <f ca="1">IFERROR(__xludf.DUMMYFUNCTION("""COMPUTED_VALUE"""),45023.0890845833)</f>
        <v>45023.089084583298</v>
      </c>
      <c r="B1057" s="1" t="str">
        <f ca="1">IFERROR(__xludf.DUMMYFUNCTION("""COMPUTED_VALUE"""),"sanjayneha1@yahoo.com")</f>
        <v>sanjayneha1@yahoo.com</v>
      </c>
      <c r="C1057" s="1" t="str">
        <f ca="1">IFERROR(__xludf.DUMMYFUNCTION("""COMPUTED_VALUE"""),"Neha Manocha")</f>
        <v>Neha Manocha</v>
      </c>
      <c r="D1057" s="1">
        <f ca="1">IFERROR(__xludf.DUMMYFUNCTION("""COMPUTED_VALUE"""),16174130446)</f>
        <v>16174130446</v>
      </c>
      <c r="E1057" s="1" t="str">
        <f ca="1">IFERROR(__xludf.DUMMYFUNCTION("""COMPUTED_VALUE"""),"Yes")</f>
        <v>Yes</v>
      </c>
      <c r="F1057" s="1" t="str">
        <f ca="1">IFERROR(__xludf.DUMMYFUNCTION("""COMPUTED_VALUE"""),"हिन्दी or English")</f>
        <v>हिन्दी or English</v>
      </c>
      <c r="G1057" s="1" t="str">
        <f ca="1">IFERROR(__xludf.DUMMYFUNCTION("""COMPUTED_VALUE"""),"युग द्रष्टा पं. श्रीराम शर्मा आचार्यजी")</f>
        <v>युग द्रष्टा पं. श्रीराम शर्मा आचार्यजी</v>
      </c>
      <c r="H1057" s="1"/>
      <c r="I1057" s="1"/>
      <c r="J1057" s="1"/>
      <c r="K1057" s="1"/>
      <c r="L1057" s="1"/>
      <c r="M1057" s="1"/>
      <c r="N1057" s="1"/>
      <c r="O1057" s="1"/>
      <c r="P1057" s="1" t="str">
        <f ca="1">IFERROR(__xludf.DUMMYFUNCTION("""COMPUTED_VALUE"""),"युगॠषी का जीवनदर्शन")</f>
        <v>युगॠषी का जीवनदर्शन</v>
      </c>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f ca="1">IFERROR(__xludf.DUMMYFUNCTION("""COMPUTED_VALUE"""),33)</f>
        <v>33</v>
      </c>
      <c r="BX1057" s="1">
        <f ca="1">IFERROR(__xludf.DUMMYFUNCTION("""COMPUTED_VALUE"""),40)</f>
        <v>40</v>
      </c>
      <c r="BY1057" s="1">
        <f ca="1">IFERROR(__xludf.DUMMYFUNCTION("""COMPUTED_VALUE"""),3)</f>
        <v>3</v>
      </c>
      <c r="BZ1057" s="1">
        <f ca="1">IFERROR(__xludf.DUMMYFUNCTION("""COMPUTED_VALUE"""),22)</f>
        <v>22</v>
      </c>
      <c r="CA1057" s="1" t="str">
        <f ca="1">IFERROR(__xludf.DUMMYFUNCTION("""COMPUTED_VALUE"""),"Yes")</f>
        <v>Yes</v>
      </c>
      <c r="CB1057" s="5">
        <f ca="1">IFERROR(__xludf.DUMMYFUNCTION("""COMPUTED_VALUE"""),45033.0890845833)</f>
        <v>45033.089084583298</v>
      </c>
      <c r="CC1057" s="1" t="str">
        <f ca="1">IFERROR(__xludf.DUMMYFUNCTION("""COMPUTED_VALUE"""),"The Grandeur&amp;Glory Of Gurutatva : EP_97")</f>
        <v>The Grandeur&amp;Glory Of Gurutatva : EP_97</v>
      </c>
      <c r="CD1057" s="3" t="str">
        <f ca="1">IFERROR(__xludf.DUMMYFUNCTION("""COMPUTED_VALUE"""),"https://vicharkrantibooks.org/productdetail?book_name=ENGPE097_THE_GRANDEUR_AND_GLORY_OF_GURUTATVA_xxyyyy&amp;product_id=3489")</f>
        <v>https://vicharkrantibooks.org/productdetail?book_name=ENGPE097_THE_GRANDEUR_AND_GLORY_OF_GURUTATVA_xxyyyy&amp;product_id=3489</v>
      </c>
      <c r="CE1057" s="1" t="str">
        <f ca="1">IFERROR(__xludf.DUMMYFUNCTION("""COMPUTED_VALUE"""),"Audiobook : The Grandeur&amp;Glory Of Gurutatva : EP_97 : sanjayneha1@yahoo.com : Recorded")</f>
        <v>Audiobook : The Grandeur&amp;Glory Of Gurutatva : EP_97 : sanjayneha1@yahoo.com : Recorded</v>
      </c>
      <c r="CF1057" s="1" t="str">
        <f ca="1">IFERROR(__xludf.DUMMYFUNCTION("""COMPUTED_VALUE"""),"Audiobook : The Grandeur&amp;Glory Of Gurutatva : EP_97 : sanjayneha1@yahoo.com : Recorded")</f>
        <v>Audiobook : The Grandeur&amp;Glory Of Gurutatva : EP_97 : sanjayneha1@yahoo.com : Recorded</v>
      </c>
      <c r="CG1057" s="1" t="str">
        <f ca="1">IFERROR(__xludf.DUMMYFUNCTION("""COMPUTED_VALUE"""),"Adarniya Neha Manocha ji The Grandeur&amp;Glory Of Gurutatva : EP_97 : Allocated on 07-Apr-23 Contact Number  16174130446")</f>
        <v>Adarniya Neha Manocha ji The Grandeur&amp;Glory Of Gurutatva : EP_97 : Allocated on 07-Apr-23 Contact Number  16174130446</v>
      </c>
      <c r="CH1057" s="1"/>
      <c r="CI1057" s="1"/>
    </row>
    <row r="1058" spans="1:87" x14ac:dyDescent="0.25">
      <c r="A1058" s="5">
        <f ca="1">IFERROR(__xludf.DUMMYFUNCTION("""COMPUTED_VALUE"""),45022.6601522222)</f>
        <v>45022.660152222197</v>
      </c>
      <c r="B1058" s="1" t="str">
        <f ca="1">IFERROR(__xludf.DUMMYFUNCTION("""COMPUTED_VALUE"""),"thummarkrishna13@gmail.com")</f>
        <v>thummarkrishna13@gmail.com</v>
      </c>
      <c r="C1058" s="1" t="str">
        <f ca="1">IFERROR(__xludf.DUMMYFUNCTION("""COMPUTED_VALUE"""),"Thummar Krishna ")</f>
        <v xml:space="preserve">Thummar Krishna </v>
      </c>
      <c r="D1058" s="1">
        <f ca="1">IFERROR(__xludf.DUMMYFUNCTION("""COMPUTED_VALUE"""),7359466066)</f>
        <v>7359466066</v>
      </c>
      <c r="E1058" s="1" t="str">
        <f ca="1">IFERROR(__xludf.DUMMYFUNCTION("""COMPUTED_VALUE"""),"Yes")</f>
        <v>Yes</v>
      </c>
      <c r="F1058" s="1" t="str">
        <f ca="1">IFERROR(__xludf.DUMMYFUNCTION("""COMPUTED_VALUE"""),"हिन्दी or English")</f>
        <v>हिन्दी or English</v>
      </c>
      <c r="G1058" s="1" t="str">
        <f ca="1">IFERROR(__xludf.DUMMYFUNCTION("""COMPUTED_VALUE"""),"युग द्रष्टा पं. श्रीराम शर्मा आचार्यजी")</f>
        <v>युग द्रष्टा पं. श्रीराम शर्मा आचार्यजी</v>
      </c>
      <c r="H1058" s="1"/>
      <c r="I1058" s="1"/>
      <c r="J1058" s="1"/>
      <c r="K1058" s="1"/>
      <c r="L1058" s="1"/>
      <c r="M1058" s="1"/>
      <c r="N1058" s="1"/>
      <c r="O1058" s="1"/>
      <c r="P1058" s="1" t="str">
        <f ca="1">IFERROR(__xludf.DUMMYFUNCTION("""COMPUTED_VALUE"""),"युगॠषी का जीवनदर्शन")</f>
        <v>युगॠषी का जीवनदर्शन</v>
      </c>
      <c r="Q1058" s="1"/>
      <c r="R1058" s="1"/>
      <c r="S1058" s="1" t="str">
        <f ca="1">IFERROR(__xludf.DUMMYFUNCTION("""COMPUTED_VALUE"""),"वैज्ञानिक अध्यात्मवाद का प्रतिपादन")</f>
        <v>वैज्ञानिक अध्यात्मवाद का प्रतिपादन</v>
      </c>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f ca="1">IFERROR(__xludf.DUMMYFUNCTION("""COMPUTED_VALUE"""),2)</f>
        <v>2</v>
      </c>
      <c r="BX1058" s="1">
        <f ca="1">IFERROR(__xludf.DUMMYFUNCTION("""COMPUTED_VALUE"""),0)</f>
        <v>0</v>
      </c>
      <c r="BY1058" s="1">
        <f ca="1">IFERROR(__xludf.DUMMYFUNCTION("""COMPUTED_VALUE"""),2)</f>
        <v>2</v>
      </c>
      <c r="BZ1058" s="1">
        <f ca="1">IFERROR(__xludf.DUMMYFUNCTION("""COMPUTED_VALUE"""),0)</f>
        <v>0</v>
      </c>
      <c r="CA1058" s="1" t="str">
        <f ca="1">IFERROR(__xludf.DUMMYFUNCTION("""COMPUTED_VALUE"""),"Yes")</f>
        <v>Yes</v>
      </c>
      <c r="CB1058" s="5">
        <f ca="1">IFERROR(__xludf.DUMMYFUNCTION("""COMPUTED_VALUE"""),45032.6601522222)</f>
        <v>45032.660152222197</v>
      </c>
      <c r="CC1058" s="1" t="str">
        <f ca="1">IFERROR(__xludf.DUMMYFUNCTION("""COMPUTED_VALUE"""),"Gayatri A Unique Solutions For Problems : EP_35")</f>
        <v>Gayatri A Unique Solutions For Problems : EP_35</v>
      </c>
      <c r="CD1058" s="3" t="str">
        <f ca="1">IFERROR(__xludf.DUMMYFUNCTION("""COMPUTED_VALUE"""),"https://vicharkrantibooks.org/productdetail?book_name=ENGPE035_GAYATRI_A_UNIQUE_SOLUTIONS_FOR_PROBLEMS_xxyyyy&amp;product_id=3428")</f>
        <v>https://vicharkrantibooks.org/productdetail?book_name=ENGPE035_GAYATRI_A_UNIQUE_SOLUTIONS_FOR_PROBLEMS_xxyyyy&amp;product_id=3428</v>
      </c>
      <c r="CE1058" s="1" t="str">
        <f ca="1">IFERROR(__xludf.DUMMYFUNCTION("""COMPUTED_VALUE"""),"Audiobook : Gayatri A Unique Solutions For Problems : EP_35 : thummarkrishna13@gmail.com : Recorded")</f>
        <v>Audiobook : Gayatri A Unique Solutions For Problems : EP_35 : thummarkrishna13@gmail.com : Recorded</v>
      </c>
      <c r="CF1058" s="1" t="str">
        <f ca="1">IFERROR(__xludf.DUMMYFUNCTION("""COMPUTED_VALUE"""),"#N/A")</f>
        <v>#N/A</v>
      </c>
      <c r="CG1058" s="1" t="str">
        <f ca="1">IFERROR(__xludf.DUMMYFUNCTION("""COMPUTED_VALUE"""),"Adarniya Thummar Krishna  ji Gayatri A Unique Solutions For Problems : EP_35 : Allocated on 06-Apr-23 Contact Number  7359466066")</f>
        <v>Adarniya Thummar Krishna  ji Gayatri A Unique Solutions For Problems : EP_35 : Allocated on 06-Apr-23 Contact Number  7359466066</v>
      </c>
      <c r="CH1058" s="1"/>
      <c r="CI1058" s="1"/>
    </row>
    <row r="1059" spans="1:87" x14ac:dyDescent="0.25">
      <c r="A1059" s="5">
        <f ca="1">IFERROR(__xludf.DUMMYFUNCTION("""COMPUTED_VALUE"""),45020.7284554513)</f>
        <v>45020.728455451303</v>
      </c>
      <c r="B1059" s="1" t="str">
        <f ca="1">IFERROR(__xludf.DUMMYFUNCTION("""COMPUTED_VALUE"""),"sbdswati@gmail.com")</f>
        <v>sbdswati@gmail.com</v>
      </c>
      <c r="C1059" s="1" t="str">
        <f ca="1">IFERROR(__xludf.DUMMYFUNCTION("""COMPUTED_VALUE"""),"Swati Srivastava ")</f>
        <v xml:space="preserve">Swati Srivastava </v>
      </c>
      <c r="D1059" s="1">
        <f ca="1">IFERROR(__xludf.DUMMYFUNCTION("""COMPUTED_VALUE"""),6397862188)</f>
        <v>6397862188</v>
      </c>
      <c r="E1059" s="1" t="str">
        <f ca="1">IFERROR(__xludf.DUMMYFUNCTION("""COMPUTED_VALUE"""),"Yes")</f>
        <v>Yes</v>
      </c>
      <c r="F1059" s="1" t="str">
        <f ca="1">IFERROR(__xludf.DUMMYFUNCTION("""COMPUTED_VALUE"""),"हिन्दी")</f>
        <v>हिन्दी</v>
      </c>
      <c r="G1059" s="1" t="str">
        <f ca="1">IFERROR(__xludf.DUMMYFUNCTION("""COMPUTED_VALUE"""),"अध्यात्म, धर्म एवं दर्शन")</f>
        <v>अध्यात्म, धर्म एवं दर्शन</v>
      </c>
      <c r="H1059" s="1" t="str">
        <f ca="1">IFERROR(__xludf.DUMMYFUNCTION("""COMPUTED_VALUE"""),"उपासना")</f>
        <v>उपासना</v>
      </c>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f ca="1">IFERROR(__xludf.DUMMYFUNCTION("""COMPUTED_VALUE"""),10)</f>
        <v>10</v>
      </c>
      <c r="BX1059" s="1">
        <f ca="1">IFERROR(__xludf.DUMMYFUNCTION("""COMPUTED_VALUE"""),12)</f>
        <v>12</v>
      </c>
      <c r="BY1059" s="1">
        <f ca="1">IFERROR(__xludf.DUMMYFUNCTION("""COMPUTED_VALUE"""),2)</f>
        <v>2</v>
      </c>
      <c r="BZ1059" s="1">
        <f ca="1">IFERROR(__xludf.DUMMYFUNCTION("""COMPUTED_VALUE"""),1)</f>
        <v>1</v>
      </c>
      <c r="CA1059" s="1" t="str">
        <f ca="1">IFERROR(__xludf.DUMMYFUNCTION("""COMPUTED_VALUE"""),"Yes")</f>
        <v>Yes</v>
      </c>
      <c r="CB1059" s="5">
        <f ca="1">IFERROR(__xludf.DUMMYFUNCTION("""COMPUTED_VALUE"""),45030.7284554513)</f>
        <v>45030.728455451303</v>
      </c>
      <c r="CC1059" s="1" t="str">
        <f ca="1">IFERROR(__xludf.DUMMYFUNCTION("""COMPUTED_VALUE"""),"गुणों का परिष्कार ही सच्ची भक्ति : H_JS_57")</f>
        <v>गुणों का परिष्कार ही सच्ची भक्ति : H_JS_57</v>
      </c>
      <c r="CD1059" s="3" t="str">
        <f ca="1">IFERROR(__xludf.DUMMYFUNCTION("""COMPUTED_VALUE"""),"https://vicharkrantibooks.org/productdetail?book_name=HINP0316_GUNON_KA_PARISHKAR_HI_SACHCHI_BHAKTI_xx2011&amp;product_id=881")</f>
        <v>https://vicharkrantibooks.org/productdetail?book_name=HINP0316_GUNON_KA_PARISHKAR_HI_SACHCHI_BHAKTI_xx2011&amp;product_id=881</v>
      </c>
      <c r="CE1059" s="1" t="str">
        <f ca="1">IFERROR(__xludf.DUMMYFUNCTION("""COMPUTED_VALUE"""),"Audiobook : गुणों का परिष्कार ही सच्ची भक्ति : H_JS_57 : sbdswati@gmail.com : Recorded")</f>
        <v>Audiobook : गुणों का परिष्कार ही सच्ची भक्ति : H_JS_57 : sbdswati@gmail.com : Recorded</v>
      </c>
      <c r="CF1059" s="1" t="str">
        <f ca="1">IFERROR(__xludf.DUMMYFUNCTION("""COMPUTED_VALUE"""),"Audiobook : गुणों का परिष्कार ही सच्ची भक्ति : H_JS_57 : sbdswati@gmail.com : Recorded")</f>
        <v>Audiobook : गुणों का परिष्कार ही सच्ची भक्ति : H_JS_57 : sbdswati@gmail.com : Recorded</v>
      </c>
      <c r="CG1059" s="1" t="str">
        <f ca="1">IFERROR(__xludf.DUMMYFUNCTION("""COMPUTED_VALUE"""),"Adarniya Swati Srivastava  ji गुणों का परिष्कार ही सच्ची भक्ति : H_JS_57 : Allocated on 04-Apr-23 Contact Number  6397862188")</f>
        <v>Adarniya Swati Srivastava  ji गुणों का परिष्कार ही सच्ची भक्ति : H_JS_57 : Allocated on 04-Apr-23 Contact Number  6397862188</v>
      </c>
      <c r="CH1059" s="1"/>
      <c r="CI1059" s="1"/>
    </row>
    <row r="1060" spans="1:87" x14ac:dyDescent="0.25">
      <c r="A1060" s="5">
        <f ca="1">IFERROR(__xludf.DUMMYFUNCTION("""COMPUTED_VALUE"""),45018.9113680671)</f>
        <v>45018.9113680671</v>
      </c>
      <c r="B1060" s="1" t="str">
        <f ca="1">IFERROR(__xludf.DUMMYFUNCTION("""COMPUTED_VALUE"""),"richasharma310575@gmail.com")</f>
        <v>richasharma310575@gmail.com</v>
      </c>
      <c r="C1060" s="1" t="str">
        <f ca="1">IFERROR(__xludf.DUMMYFUNCTION("""COMPUTED_VALUE"""),"Richa Sharma")</f>
        <v>Richa Sharma</v>
      </c>
      <c r="D1060" s="1">
        <f ca="1">IFERROR(__xludf.DUMMYFUNCTION("""COMPUTED_VALUE"""),9479664049)</f>
        <v>9479664049</v>
      </c>
      <c r="E1060" s="1" t="str">
        <f ca="1">IFERROR(__xludf.DUMMYFUNCTION("""COMPUTED_VALUE"""),"Yes")</f>
        <v>Yes</v>
      </c>
      <c r="F1060" s="1" t="str">
        <f ca="1">IFERROR(__xludf.DUMMYFUNCTION("""COMPUTED_VALUE"""),"हिन्दी")</f>
        <v>हिन्दी</v>
      </c>
      <c r="G1060" s="1" t="str">
        <f ca="1">IFERROR(__xludf.DUMMYFUNCTION("""COMPUTED_VALUE"""),"गायत्री परिवार")</f>
        <v>गायत्री परिवार</v>
      </c>
      <c r="H1060" s="1"/>
      <c r="I1060" s="1"/>
      <c r="J1060" s="1" t="str">
        <f ca="1">IFERROR(__xludf.DUMMYFUNCTION("""COMPUTED_VALUE"""),"सृजन शिल्पियों की योजनाबद्ध कार्य पद्धति")</f>
        <v>सृजन शिल्पियों की योजनाबद्ध कार्य पद्धति</v>
      </c>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f ca="1">IFERROR(__xludf.DUMMYFUNCTION("""COMPUTED_VALUE"""),23)</f>
        <v>23</v>
      </c>
      <c r="BX1060" s="1">
        <f ca="1">IFERROR(__xludf.DUMMYFUNCTION("""COMPUTED_VALUE"""),28)</f>
        <v>28</v>
      </c>
      <c r="BY1060" s="1">
        <f ca="1">IFERROR(__xludf.DUMMYFUNCTION("""COMPUTED_VALUE"""),2)</f>
        <v>2</v>
      </c>
      <c r="BZ1060" s="1">
        <f ca="1">IFERROR(__xludf.DUMMYFUNCTION("""COMPUTED_VALUE"""),24)</f>
        <v>24</v>
      </c>
      <c r="CA1060" s="1" t="str">
        <f ca="1">IFERROR(__xludf.DUMMYFUNCTION("""COMPUTED_VALUE"""),"Yes")</f>
        <v>Yes</v>
      </c>
      <c r="CB1060" s="5">
        <f ca="1">IFERROR(__xludf.DUMMYFUNCTION("""COMPUTED_VALUE"""),45028.9113680671)</f>
        <v>45028.9113680671</v>
      </c>
      <c r="CC1060" s="1" t="str">
        <f ca="1">IFERROR(__xludf.DUMMYFUNCTION("""COMPUTED_VALUE"""),"युग निर्माण अभियान : H_SC_36")</f>
        <v>युग निर्माण अभियान : H_SC_36</v>
      </c>
      <c r="CD1060" s="3" t="str">
        <f ca="1">IFERROR(__xludf.DUMMYFUNCTION("""COMPUTED_VALUE"""),"https://vicharkrantibooks.org/productdetail?book_name=HINP1037_YUG_NIRMAN_ABHIYAN_Re2011&amp;product_id=1602")</f>
        <v>https://vicharkrantibooks.org/productdetail?book_name=HINP1037_YUG_NIRMAN_ABHIYAN_Re2011&amp;product_id=1602</v>
      </c>
      <c r="CE1060" s="1" t="str">
        <f ca="1">IFERROR(__xludf.DUMMYFUNCTION("""COMPUTED_VALUE"""),"Audiobook : युग निर्माण अभियान : H_SC_36 : richasharma310575@gmail.com : Recorded")</f>
        <v>Audiobook : युग निर्माण अभियान : H_SC_36 : richasharma310575@gmail.com : Recorded</v>
      </c>
      <c r="CF1060" s="1" t="str">
        <f ca="1">IFERROR(__xludf.DUMMYFUNCTION("""COMPUTED_VALUE"""),"Audiobook : युग निर्माण अभियान : H_SC_36 : richasharma310575@gmail.com : Recorded")</f>
        <v>Audiobook : युग निर्माण अभियान : H_SC_36 : richasharma310575@gmail.com : Recorded</v>
      </c>
      <c r="CG1060" s="1" t="str">
        <f ca="1">IFERROR(__xludf.DUMMYFUNCTION("""COMPUTED_VALUE"""),"Adarniya Richa Sharma ji युग निर्माण अभियान : H_SC_36 : Allocated on 02-Apr-23 Contact Number  9479664049")</f>
        <v>Adarniya Richa Sharma ji युग निर्माण अभियान : H_SC_36 : Allocated on 02-Apr-23 Contact Number  9479664049</v>
      </c>
      <c r="CH1060" s="1"/>
      <c r="CI1060" s="1"/>
    </row>
    <row r="1061" spans="1:87" x14ac:dyDescent="0.25">
      <c r="A1061" s="5">
        <f ca="1">IFERROR(__xludf.DUMMYFUNCTION("""COMPUTED_VALUE"""),45017.8478148148)</f>
        <v>45017.847814814799</v>
      </c>
      <c r="B1061" s="1" t="str">
        <f ca="1">IFERROR(__xludf.DUMMYFUNCTION("""COMPUTED_VALUE"""),"pragyapaliwal78@gmail.com")</f>
        <v>pragyapaliwal78@gmail.com</v>
      </c>
      <c r="C1061" s="1" t="str">
        <f ca="1">IFERROR(__xludf.DUMMYFUNCTION("""COMPUTED_VALUE"""),"Pragya Paliwal")</f>
        <v>Pragya Paliwal</v>
      </c>
      <c r="D1061" s="1">
        <f ca="1">IFERROR(__xludf.DUMMYFUNCTION("""COMPUTED_VALUE"""),8696296388)</f>
        <v>8696296388</v>
      </c>
      <c r="E1061" s="1" t="str">
        <f ca="1">IFERROR(__xludf.DUMMYFUNCTION("""COMPUTED_VALUE"""),"Yes")</f>
        <v>Yes</v>
      </c>
      <c r="F1061" s="1" t="str">
        <f ca="1">IFERROR(__xludf.DUMMYFUNCTION("""COMPUTED_VALUE"""),"हिन्दी")</f>
        <v>हिन्दी</v>
      </c>
      <c r="G1061" s="1" t="str">
        <f ca="1">IFERROR(__xludf.DUMMYFUNCTION("""COMPUTED_VALUE"""),"वैज्ञानिक अध्यात्मवाद का प्रतिपादन")</f>
        <v>वैज्ञानिक अध्यात्मवाद का प्रतिपादन</v>
      </c>
      <c r="H1061" s="1"/>
      <c r="I1061" s="1"/>
      <c r="J1061" s="1"/>
      <c r="K1061" s="1"/>
      <c r="L1061" s="1"/>
      <c r="M1061" s="1"/>
      <c r="N1061" s="1"/>
      <c r="O1061" s="1"/>
      <c r="P1061" s="1"/>
      <c r="Q1061" s="1"/>
      <c r="R1061" s="1"/>
      <c r="S1061" s="1" t="str">
        <f ca="1">IFERROR(__xludf.DUMMYFUNCTION("""COMPUTED_VALUE"""),"वैज्ञानिक अध्यात्मवाद का प्रतिपादन")</f>
        <v>वैज्ञानिक अध्यात्मवाद का प्रतिपादन</v>
      </c>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f ca="1">IFERROR(__xludf.DUMMYFUNCTION("""COMPUTED_VALUE"""),11)</f>
        <v>11</v>
      </c>
      <c r="BX1061" s="1">
        <f ca="1">IFERROR(__xludf.DUMMYFUNCTION("""COMPUTED_VALUE"""),3)</f>
        <v>3</v>
      </c>
      <c r="BY1061" s="1">
        <f ca="1">IFERROR(__xludf.DUMMYFUNCTION("""COMPUTED_VALUE"""),8)</f>
        <v>8</v>
      </c>
      <c r="BZ1061" s="1">
        <f ca="1">IFERROR(__xludf.DUMMYFUNCTION("""COMPUTED_VALUE"""),0)</f>
        <v>0</v>
      </c>
      <c r="CA1061" s="1" t="str">
        <f ca="1">IFERROR(__xludf.DUMMYFUNCTION("""COMPUTED_VALUE"""),"Yes")</f>
        <v>Yes</v>
      </c>
      <c r="CB1061" s="5">
        <f ca="1">IFERROR(__xludf.DUMMYFUNCTION("""COMPUTED_VALUE"""),45027.8478148148)</f>
        <v>45027.847814814799</v>
      </c>
      <c r="CC1061" s="1" t="str">
        <f ca="1">IFERROR(__xludf.DUMMYFUNCTION("""COMPUTED_VALUE"""),"विज्ञान धर्म का विरोधी नहीं हो सकता : Rare Book")</f>
        <v>विज्ञान धर्म का विरोधी नहीं हो सकता : Rare Book</v>
      </c>
      <c r="CD1061" s="3" t="str">
        <f ca="1">IFERROR(__xludf.DUMMYFUNCTION("""COMPUTED_VALUE"""),"https://vicharkrantibooks.org/productdetail?book_name=HINP0971_VIGYAN_DHARM_KA_VIRODHI_NAHI_HO_SAKATA_xx1981&amp;product_id=1536")</f>
        <v>https://vicharkrantibooks.org/productdetail?book_name=HINP0971_VIGYAN_DHARM_KA_VIRODHI_NAHI_HO_SAKATA_xx1981&amp;product_id=1536</v>
      </c>
      <c r="CE1061" s="1" t="str">
        <f ca="1">IFERROR(__xludf.DUMMYFUNCTION("""COMPUTED_VALUE"""),"Audiobook : विज्ञान धर्म का विरोधी नहीं हो सकता : Rare Book : pragyapaliwal78@gmail.com : Recorded")</f>
        <v>Audiobook : विज्ञान धर्म का विरोधी नहीं हो सकता : Rare Book : pragyapaliwal78@gmail.com : Recorded</v>
      </c>
      <c r="CF1061" s="1" t="str">
        <f ca="1">IFERROR(__xludf.DUMMYFUNCTION("""COMPUTED_VALUE"""),"#N/A")</f>
        <v>#N/A</v>
      </c>
      <c r="CG1061" s="1" t="str">
        <f ca="1">IFERROR(__xludf.DUMMYFUNCTION("""COMPUTED_VALUE"""),"Adarniya Pragya Paliwal ji विज्ञान धर्म का विरोधी नहीं हो सकता : Rare Book : Allocated on 01-Apr-23 Contact Number  8696296388")</f>
        <v>Adarniya Pragya Paliwal ji विज्ञान धर्म का विरोधी नहीं हो सकता : Rare Book : Allocated on 01-Apr-23 Contact Number  8696296388</v>
      </c>
      <c r="CH1061" s="1"/>
      <c r="CI1061" s="1"/>
    </row>
    <row r="1062" spans="1:87" x14ac:dyDescent="0.25">
      <c r="A1062" s="5">
        <f ca="1">IFERROR(__xludf.DUMMYFUNCTION("""COMPUTED_VALUE"""),45017.543885)</f>
        <v>45017.543884999999</v>
      </c>
      <c r="B1062" s="1" t="str">
        <f ca="1">IFERROR(__xludf.DUMMYFUNCTION("""COMPUTED_VALUE"""),"druma4107@gmail.com")</f>
        <v>druma4107@gmail.com</v>
      </c>
      <c r="C1062" s="1" t="str">
        <f ca="1">IFERROR(__xludf.DUMMYFUNCTION("""COMPUTED_VALUE"""),"Dr Uma Agrawal")</f>
        <v>Dr Uma Agrawal</v>
      </c>
      <c r="D1062" s="1">
        <f ca="1">IFERROR(__xludf.DUMMYFUNCTION("""COMPUTED_VALUE"""),9410861182)</f>
        <v>9410861182</v>
      </c>
      <c r="E1062" s="1" t="str">
        <f ca="1">IFERROR(__xludf.DUMMYFUNCTION("""COMPUTED_VALUE"""),"Yes")</f>
        <v>Yes</v>
      </c>
      <c r="F1062" s="1" t="str">
        <f ca="1">IFERROR(__xludf.DUMMYFUNCTION("""COMPUTED_VALUE"""),"हिन्दी")</f>
        <v>हिन्दी</v>
      </c>
      <c r="G1062" s="1" t="str">
        <f ca="1">IFERROR(__xludf.DUMMYFUNCTION("""COMPUTED_VALUE"""),"समग्र स्वास्थ्य")</f>
        <v>समग्र स्वास्थ्य</v>
      </c>
      <c r="H1062" s="1"/>
      <c r="I1062" s="1"/>
      <c r="J1062" s="1"/>
      <c r="K1062" s="1"/>
      <c r="L1062" s="1"/>
      <c r="M1062" s="1"/>
      <c r="N1062" s="1"/>
      <c r="O1062" s="1"/>
      <c r="P1062" s="1"/>
      <c r="Q1062" s="1"/>
      <c r="R1062" s="1"/>
      <c r="S1062" s="1"/>
      <c r="T1062" s="1"/>
      <c r="U1062" s="1" t="str">
        <f ca="1">IFERROR(__xludf.DUMMYFUNCTION("""COMPUTED_VALUE"""),"मानसिक स्वास्थ्य")</f>
        <v>मानसिक स्वास्थ्य</v>
      </c>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f ca="1">IFERROR(__xludf.DUMMYFUNCTION("""COMPUTED_VALUE"""),104)</f>
        <v>104</v>
      </c>
      <c r="BX1062" s="1">
        <f ca="1">IFERROR(__xludf.DUMMYFUNCTION("""COMPUTED_VALUE"""),106)</f>
        <v>106</v>
      </c>
      <c r="BY1062" s="1">
        <f ca="1">IFERROR(__xludf.DUMMYFUNCTION("""COMPUTED_VALUE"""),9)</f>
        <v>9</v>
      </c>
      <c r="BZ1062" s="1">
        <f ca="1">IFERROR(__xludf.DUMMYFUNCTION("""COMPUTED_VALUE"""),43)</f>
        <v>43</v>
      </c>
      <c r="CA1062" s="1" t="str">
        <f ca="1">IFERROR(__xludf.DUMMYFUNCTION("""COMPUTED_VALUE"""),"Yes")</f>
        <v>Yes</v>
      </c>
      <c r="CB1062" s="5">
        <f ca="1">IFERROR(__xludf.DUMMYFUNCTION("""COMPUTED_VALUE"""),45027.543885)</f>
        <v>45027.543884999999</v>
      </c>
      <c r="CC1062" s="1" t="str">
        <f ca="1">IFERROR(__xludf.DUMMYFUNCTION("""COMPUTED_VALUE"""),"जीवनदाता सूर्य : Rare Book")</f>
        <v>जीवनदाता सूर्य : Rare Book</v>
      </c>
      <c r="CD1062" s="3" t="str">
        <f ca="1">IFERROR(__xludf.DUMMYFUNCTION("""COMPUTED_VALUE"""),"https://vicharkrantibooks.org/productdetail?book_name=HINP0400_JIVANADATA_SURY_xxyyyy&amp;product_id=965")</f>
        <v>https://vicharkrantibooks.org/productdetail?book_name=HINP0400_JIVANADATA_SURY_xxyyyy&amp;product_id=965</v>
      </c>
      <c r="CE1062" s="1" t="str">
        <f ca="1">IFERROR(__xludf.DUMMYFUNCTION("""COMPUTED_VALUE"""),"Audiobook : जीवनदाता सूर्य : Rare Book : druma4107@gmail.com : Recorded")</f>
        <v>Audiobook : जीवनदाता सूर्य : Rare Book : druma4107@gmail.com : Recorded</v>
      </c>
      <c r="CF1062" s="1" t="str">
        <f ca="1">IFERROR(__xludf.DUMMYFUNCTION("""COMPUTED_VALUE"""),"Audiobook : जीवनदाता सूर्य : Rare Book : druma4107@gmail.com : Recorded")</f>
        <v>Audiobook : जीवनदाता सूर्य : Rare Book : druma4107@gmail.com : Recorded</v>
      </c>
      <c r="CG1062" s="1" t="str">
        <f ca="1">IFERROR(__xludf.DUMMYFUNCTION("""COMPUTED_VALUE"""),"Adarniya Dr Uma Agrawal ji जीवनदाता सूर्य : Rare Book : Allocated on 01-Apr-23 Contact Number  9410861182")</f>
        <v>Adarniya Dr Uma Agrawal ji जीवनदाता सूर्य : Rare Book : Allocated on 01-Apr-23 Contact Number  9410861182</v>
      </c>
      <c r="CH1062" s="1"/>
      <c r="CI1062" s="1"/>
    </row>
    <row r="1063" spans="1:87" x14ac:dyDescent="0.25">
      <c r="A1063" s="5">
        <f ca="1">IFERROR(__xludf.DUMMYFUNCTION("""COMPUTED_VALUE"""),45016.9203761689)</f>
        <v>45016.920376168899</v>
      </c>
      <c r="B1063" s="1" t="str">
        <f ca="1">IFERROR(__xludf.DUMMYFUNCTION("""COMPUTED_VALUE"""),"rbbansalriya@gmail.com")</f>
        <v>rbbansalriya@gmail.com</v>
      </c>
      <c r="C1063" s="1" t="str">
        <f ca="1">IFERROR(__xludf.DUMMYFUNCTION("""COMPUTED_VALUE"""),"Riya bansal ")</f>
        <v xml:space="preserve">Riya bansal </v>
      </c>
      <c r="D1063" s="1">
        <f ca="1">IFERROR(__xludf.DUMMYFUNCTION("""COMPUTED_VALUE"""),9176361023)</f>
        <v>9176361023</v>
      </c>
      <c r="E1063" s="1" t="str">
        <f ca="1">IFERROR(__xludf.DUMMYFUNCTION("""COMPUTED_VALUE"""),"Yes")</f>
        <v>Yes</v>
      </c>
      <c r="F1063" s="1" t="str">
        <f ca="1">IFERROR(__xludf.DUMMYFUNCTION("""COMPUTED_VALUE"""),"हिन्दी")</f>
        <v>हिन्दी</v>
      </c>
      <c r="G1063" s="1" t="str">
        <f ca="1">IFERROR(__xludf.DUMMYFUNCTION("""COMPUTED_VALUE"""),"अध्यात्म, धर्म एवं दर्शन")</f>
        <v>अध्यात्म, धर्म एवं दर्शन</v>
      </c>
      <c r="H1063" s="1" t="str">
        <f ca="1">IFERROR(__xludf.DUMMYFUNCTION("""COMPUTED_VALUE"""),"अध्यात्म, धर्म एवं आस्तिकता")</f>
        <v>अध्यात्म, धर्म एवं आस्तिकता</v>
      </c>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f ca="1">IFERROR(__xludf.DUMMYFUNCTION("""COMPUTED_VALUE"""),54)</f>
        <v>54</v>
      </c>
      <c r="BX1063" s="1">
        <f ca="1">IFERROR(__xludf.DUMMYFUNCTION("""COMPUTED_VALUE"""),55)</f>
        <v>55</v>
      </c>
      <c r="BY1063" s="1">
        <f ca="1">IFERROR(__xludf.DUMMYFUNCTION("""COMPUTED_VALUE"""),9)</f>
        <v>9</v>
      </c>
      <c r="BZ1063" s="1">
        <f ca="1">IFERROR(__xludf.DUMMYFUNCTION("""COMPUTED_VALUE"""),43)</f>
        <v>43</v>
      </c>
      <c r="CA1063" s="1" t="str">
        <f ca="1">IFERROR(__xludf.DUMMYFUNCTION("""COMPUTED_VALUE"""),"Yes")</f>
        <v>Yes</v>
      </c>
      <c r="CB1063" s="5">
        <f ca="1">IFERROR(__xludf.DUMMYFUNCTION("""COMPUTED_VALUE"""),45026.9203761689)</f>
        <v>45026.920376168899</v>
      </c>
      <c r="CC1063" s="1" t="str">
        <f ca="1">IFERROR(__xludf.DUMMYFUNCTION("""COMPUTED_VALUE"""),"खिलौनोंने आध्यात्म का सत्यनाश कर दिया : H_JS_37")</f>
        <v>खिलौनोंने आध्यात्म का सत्यनाश कर दिया : H_JS_37</v>
      </c>
      <c r="CD1063" s="3" t="str">
        <f ca="1">IFERROR(__xludf.DUMMYFUNCTION("""COMPUTED_VALUE"""),"https://vicharkrantibooks.org/productdetail?book_name=HINP0438_KHILAUNONE_ADHYATM_KA_SATYANASH_KAR_DIYA_xx2011&amp;product_id=1003")</f>
        <v>https://vicharkrantibooks.org/productdetail?book_name=HINP0438_KHILAUNONE_ADHYATM_KA_SATYANASH_KAR_DIYA_xx2011&amp;product_id=1003</v>
      </c>
      <c r="CE1063" s="1" t="str">
        <f ca="1">IFERROR(__xludf.DUMMYFUNCTION("""COMPUTED_VALUE"""),"Audiobook : खिलौनोंने आध्यात्म का सत्यनाश कर दिया : H_JS_37 : rbbansalriya@gmail.com : Recorded")</f>
        <v>Audiobook : खिलौनोंने आध्यात्म का सत्यनाश कर दिया : H_JS_37 : rbbansalriya@gmail.com : Recorded</v>
      </c>
      <c r="CF1063" s="1" t="str">
        <f ca="1">IFERROR(__xludf.DUMMYFUNCTION("""COMPUTED_VALUE"""),"Audiobook : खिलौनोंने आध्यात्म का सत्यनाश कर दिया : H_JS_37 : rbbansalriya@gmail.com : Recorded")</f>
        <v>Audiobook : खिलौनोंने आध्यात्म का सत्यनाश कर दिया : H_JS_37 : rbbansalriya@gmail.com : Recorded</v>
      </c>
      <c r="CG1063" s="1" t="str">
        <f ca="1">IFERROR(__xludf.DUMMYFUNCTION("""COMPUTED_VALUE"""),"Adarniya Riya bansal  ji खिलौनोंने आध्यात्म का सत्यनाश कर दिया : H_JS_37 : Allocated on 31-Mar-23 Contact Number  9176361023")</f>
        <v>Adarniya Riya bansal  ji खिलौनोंने आध्यात्म का सत्यनाश कर दिया : H_JS_37 : Allocated on 31-Mar-23 Contact Number  9176361023</v>
      </c>
      <c r="CH1063" s="1"/>
      <c r="CI1063" s="1"/>
    </row>
    <row r="1064" spans="1:87" x14ac:dyDescent="0.25">
      <c r="A1064" s="5">
        <f ca="1">IFERROR(__xludf.DUMMYFUNCTION("""COMPUTED_VALUE"""),45016.6939754398)</f>
        <v>45016.693975439797</v>
      </c>
      <c r="B1064" s="1" t="str">
        <f ca="1">IFERROR(__xludf.DUMMYFUNCTION("""COMPUTED_VALUE"""),"jamunashukla17@gmail.com")</f>
        <v>jamunashukla17@gmail.com</v>
      </c>
      <c r="C1064" s="1" t="str">
        <f ca="1">IFERROR(__xludf.DUMMYFUNCTION("""COMPUTED_VALUE"""),"Smt J S Shukla ")</f>
        <v xml:space="preserve">Smt J S Shukla </v>
      </c>
      <c r="D1064" s="1">
        <f ca="1">IFERROR(__xludf.DUMMYFUNCTION("""COMPUTED_VALUE"""),8390353167)</f>
        <v>8390353167</v>
      </c>
      <c r="E1064" s="1" t="str">
        <f ca="1">IFERROR(__xludf.DUMMYFUNCTION("""COMPUTED_VALUE"""),"Yes")</f>
        <v>Yes</v>
      </c>
      <c r="F1064" s="1" t="str">
        <f ca="1">IFERROR(__xludf.DUMMYFUNCTION("""COMPUTED_VALUE"""),"हिन्दी")</f>
        <v>हिन्दी</v>
      </c>
      <c r="G1064" s="1" t="str">
        <f ca="1">IFERROR(__xludf.DUMMYFUNCTION("""COMPUTED_VALUE"""),"pragya geet ")</f>
        <v xml:space="preserve">pragya geet </v>
      </c>
      <c r="H1064" s="1" t="str">
        <f ca="1">IFERROR(__xludf.DUMMYFUNCTION("""COMPUTED_VALUE"""),"साधना")</f>
        <v>साधना</v>
      </c>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f ca="1">IFERROR(__xludf.DUMMYFUNCTION("""COMPUTED_VALUE"""),53)</f>
        <v>53</v>
      </c>
      <c r="BX1064" s="1">
        <f ca="1">IFERROR(__xludf.DUMMYFUNCTION("""COMPUTED_VALUE"""),53)</f>
        <v>53</v>
      </c>
      <c r="BY1064" s="1">
        <f ca="1">IFERROR(__xludf.DUMMYFUNCTION("""COMPUTED_VALUE"""),9)</f>
        <v>9</v>
      </c>
      <c r="BZ1064" s="1">
        <f ca="1">IFERROR(__xludf.DUMMYFUNCTION("""COMPUTED_VALUE"""),25)</f>
        <v>25</v>
      </c>
      <c r="CA1064" s="1" t="str">
        <f ca="1">IFERROR(__xludf.DUMMYFUNCTION("""COMPUTED_VALUE"""),"Yes")</f>
        <v>Yes</v>
      </c>
      <c r="CB1064" s="5">
        <f ca="1">IFERROR(__xludf.DUMMYFUNCTION("""COMPUTED_VALUE"""),45026.6939754398)</f>
        <v>45026.693975439797</v>
      </c>
      <c r="CC1064" s="1" t="str">
        <f ca="1">IFERROR(__xludf.DUMMYFUNCTION("""COMPUTED_VALUE"""),"प्रतिक पूजा का वैज्ञानिक आधार : H_JS_51")</f>
        <v>प्रतिक पूजा का वैज्ञानिक आधार : H_JS_51</v>
      </c>
      <c r="CD1064" s="3" t="str">
        <f ca="1">IFERROR(__xludf.DUMMYFUNCTION("""COMPUTED_VALUE"""),"https://vicharkrantibooks.org/productdetail?book_name=HINP0680_PRATIK_PUJA_KA_VAIGYANIK_ADHAR_xx2011&amp;product_id=1245")</f>
        <v>https://vicharkrantibooks.org/productdetail?book_name=HINP0680_PRATIK_PUJA_KA_VAIGYANIK_ADHAR_xx2011&amp;product_id=1245</v>
      </c>
      <c r="CE1064" s="1" t="str">
        <f ca="1">IFERROR(__xludf.DUMMYFUNCTION("""COMPUTED_VALUE"""),"Audiobook : प्रतिक पूजा का वैज्ञानिक आधार : H_JS_51 : jamunashukla17@gmail.com : Recorded")</f>
        <v>Audiobook : प्रतिक पूजा का वैज्ञानिक आधार : H_JS_51 : jamunashukla17@gmail.com : Recorded</v>
      </c>
      <c r="CF1064" s="1" t="str">
        <f ca="1">IFERROR(__xludf.DUMMYFUNCTION("""COMPUTED_VALUE"""),"Audiobook : प्रतिक पूजा का वैज्ञानिक आधार : H_JS_51 : jamunashukla17@gmail.com : Recorded")</f>
        <v>Audiobook : प्रतिक पूजा का वैज्ञानिक आधार : H_JS_51 : jamunashukla17@gmail.com : Recorded</v>
      </c>
      <c r="CG1064" s="1" t="str">
        <f ca="1">IFERROR(__xludf.DUMMYFUNCTION("""COMPUTED_VALUE"""),"Adarniya Smt J S Shukla  ji प्रतिक पूजा का वैज्ञानिक आधार : H_JS_51 : Allocated on 31-Mar-23 Contact Number  8390353167")</f>
        <v>Adarniya Smt J S Shukla  ji प्रतिक पूजा का वैज्ञानिक आधार : H_JS_51 : Allocated on 31-Mar-23 Contact Number  8390353167</v>
      </c>
      <c r="CH1064" s="1"/>
      <c r="CI1064" s="1"/>
    </row>
    <row r="1065" spans="1:87" x14ac:dyDescent="0.25">
      <c r="A1065" s="5">
        <f ca="1">IFERROR(__xludf.DUMMYFUNCTION("""COMPUTED_VALUE"""),45016.577697581)</f>
        <v>45016.577697581</v>
      </c>
      <c r="B1065" s="1" t="str">
        <f ca="1">IFERROR(__xludf.DUMMYFUNCTION("""COMPUTED_VALUE"""),"spmittalmumbai@gmail.com")</f>
        <v>spmittalmumbai@gmail.com</v>
      </c>
      <c r="C1065" s="1" t="str">
        <f ca="1">IFERROR(__xludf.DUMMYFUNCTION("""COMPUTED_VALUE"""),"Satya prabha Mittal")</f>
        <v>Satya prabha Mittal</v>
      </c>
      <c r="D1065" s="1">
        <f ca="1">IFERROR(__xludf.DUMMYFUNCTION("""COMPUTED_VALUE"""),9860003407)</f>
        <v>9860003407</v>
      </c>
      <c r="E1065" s="1" t="str">
        <f ca="1">IFERROR(__xludf.DUMMYFUNCTION("""COMPUTED_VALUE"""),"Yes")</f>
        <v>Yes</v>
      </c>
      <c r="F1065" s="1" t="str">
        <f ca="1">IFERROR(__xludf.DUMMYFUNCTION("""COMPUTED_VALUE"""),"हिन्दी")</f>
        <v>हिन्दी</v>
      </c>
      <c r="G1065" s="1" t="str">
        <f ca="1">IFERROR(__xludf.DUMMYFUNCTION("""COMPUTED_VALUE"""),"युग परिवर्तन-विचार क्रांति")</f>
        <v>युग परिवर्तन-विचार क्रांति</v>
      </c>
      <c r="H1065" s="1"/>
      <c r="I1065" s="1"/>
      <c r="J1065" s="1"/>
      <c r="K1065" s="1"/>
      <c r="L1065" s="1"/>
      <c r="M1065" s="1"/>
      <c r="N1065" s="1"/>
      <c r="O1065" s="1"/>
      <c r="P1065" s="1"/>
      <c r="Q1065" s="1" t="str">
        <f ca="1">IFERROR(__xludf.DUMMYFUNCTION("""COMPUTED_VALUE"""),"विचार क्रांति")</f>
        <v>विचार क्रांति</v>
      </c>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f ca="1">IFERROR(__xludf.DUMMYFUNCTION("""COMPUTED_VALUE"""),39)</f>
        <v>39</v>
      </c>
      <c r="BX1065" s="1">
        <f ca="1">IFERROR(__xludf.DUMMYFUNCTION("""COMPUTED_VALUE"""),32)</f>
        <v>32</v>
      </c>
      <c r="BY1065" s="1">
        <f ca="1">IFERROR(__xludf.DUMMYFUNCTION("""COMPUTED_VALUE"""),11)</f>
        <v>11</v>
      </c>
      <c r="BZ1065" s="1">
        <f ca="1">IFERROR(__xludf.DUMMYFUNCTION("""COMPUTED_VALUE"""),23)</f>
        <v>23</v>
      </c>
      <c r="CA1065" s="1" t="str">
        <f ca="1">IFERROR(__xludf.DUMMYFUNCTION("""COMPUTED_VALUE"""),"Yes")</f>
        <v>Yes</v>
      </c>
      <c r="CB1065" s="5">
        <f ca="1">IFERROR(__xludf.DUMMYFUNCTION("""COMPUTED_VALUE"""),45026.577697581)</f>
        <v>45026.577697581</v>
      </c>
      <c r="CC1065" s="1" t="str">
        <f ca="1">IFERROR(__xludf.DUMMYFUNCTION("""COMPUTED_VALUE"""),"युग परिवर्तन में ज्ञानयज्ञ की भूमिका : H_JS_06")</f>
        <v>युग परिवर्तन में ज्ञानयज्ञ की भूमिका : H_JS_06</v>
      </c>
      <c r="CD1065" s="3" t="str">
        <f ca="1">IFERROR(__xludf.DUMMYFUNCTION("""COMPUTED_VALUE"""),"https://vicharkrantibooks.org/productdetail?book_name=HINP1056_YUG_PARIVARTAN_MEIN_GYANYAGY_KI_BHUMIKA_xx2011&amp;product_id=1621")</f>
        <v>https://vicharkrantibooks.org/productdetail?book_name=HINP1056_YUG_PARIVARTAN_MEIN_GYANYAGY_KI_BHUMIKA_xx2011&amp;product_id=1621</v>
      </c>
      <c r="CE1065" s="1" t="str">
        <f ca="1">IFERROR(__xludf.DUMMYFUNCTION("""COMPUTED_VALUE"""),"Audiobook : युग परिवर्तन में ज्ञानयज्ञ की भूमिका : H_JS_06 : spmittalmumbai@gmail.com : Recorded")</f>
        <v>Audiobook : युग परिवर्तन में ज्ञानयज्ञ की भूमिका : H_JS_06 : spmittalmumbai@gmail.com : Recorded</v>
      </c>
      <c r="CF1065" s="1" t="str">
        <f ca="1">IFERROR(__xludf.DUMMYFUNCTION("""COMPUTED_VALUE"""),"#N/A")</f>
        <v>#N/A</v>
      </c>
      <c r="CG1065" s="1" t="str">
        <f ca="1">IFERROR(__xludf.DUMMYFUNCTION("""COMPUTED_VALUE"""),"Adarniya Satya prabha Mittal ji युग परिवर्तन में ज्ञानयज्ञ की भूमिका : H_JS_06 : Allocated on 31-Mar-23 Contact Number  9860003407")</f>
        <v>Adarniya Satya prabha Mittal ji युग परिवर्तन में ज्ञानयज्ञ की भूमिका : H_JS_06 : Allocated on 31-Mar-23 Contact Number  9860003407</v>
      </c>
      <c r="CH1065" s="1"/>
      <c r="CI1065" s="1"/>
    </row>
    <row r="1066" spans="1:87" x14ac:dyDescent="0.25">
      <c r="A1066" s="5">
        <f ca="1">IFERROR(__xludf.DUMMYFUNCTION("""COMPUTED_VALUE"""),45016.4184823148)</f>
        <v>45016.418482314803</v>
      </c>
      <c r="B1066" s="1" t="str">
        <f ca="1">IFERROR(__xludf.DUMMYFUNCTION("""COMPUTED_VALUE"""),"anshu14.singh@yahoo.in")</f>
        <v>anshu14.singh@yahoo.in</v>
      </c>
      <c r="C1066" s="1" t="str">
        <f ca="1">IFERROR(__xludf.DUMMYFUNCTION("""COMPUTED_VALUE"""),"Anshu singh")</f>
        <v>Anshu singh</v>
      </c>
      <c r="D1066" s="1">
        <f ca="1">IFERROR(__xludf.DUMMYFUNCTION("""COMPUTED_VALUE"""),9977301575)</f>
        <v>9977301575</v>
      </c>
      <c r="E1066" s="1" t="str">
        <f ca="1">IFERROR(__xludf.DUMMYFUNCTION("""COMPUTED_VALUE"""),"Yes")</f>
        <v>Yes</v>
      </c>
      <c r="F1066" s="1" t="str">
        <f ca="1">IFERROR(__xludf.DUMMYFUNCTION("""COMPUTED_VALUE"""),"हिन्दी")</f>
        <v>हिन्दी</v>
      </c>
      <c r="G1066" s="1" t="str">
        <f ca="1">IFERROR(__xludf.DUMMYFUNCTION("""COMPUTED_VALUE"""),"अध्यात्म, धर्म एवं दर्शन")</f>
        <v>अध्यात्म, धर्म एवं दर्शन</v>
      </c>
      <c r="H1066" s="1" t="str">
        <f ca="1">IFERROR(__xludf.DUMMYFUNCTION("""COMPUTED_VALUE"""),"अध्यात्म, धर्म एवं आस्तिकता")</f>
        <v>अध्यात्म, धर्म एवं आस्तिकता</v>
      </c>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f ca="1">IFERROR(__xludf.DUMMYFUNCTION("""COMPUTED_VALUE"""),9)</f>
        <v>9</v>
      </c>
      <c r="BX1066" s="1">
        <f ca="1">IFERROR(__xludf.DUMMYFUNCTION("""COMPUTED_VALUE"""),5)</f>
        <v>5</v>
      </c>
      <c r="BY1066" s="1">
        <f ca="1">IFERROR(__xludf.DUMMYFUNCTION("""COMPUTED_VALUE"""),4)</f>
        <v>4</v>
      </c>
      <c r="BZ1066" s="1">
        <f ca="1">IFERROR(__xludf.DUMMYFUNCTION("""COMPUTED_VALUE"""),0)</f>
        <v>0</v>
      </c>
      <c r="CA1066" s="1" t="str">
        <f ca="1">IFERROR(__xludf.DUMMYFUNCTION("""COMPUTED_VALUE"""),"Yes")</f>
        <v>Yes</v>
      </c>
      <c r="CB1066" s="5">
        <f ca="1">IFERROR(__xludf.DUMMYFUNCTION("""COMPUTED_VALUE"""),45026.4184823148)</f>
        <v>45026.418482314803</v>
      </c>
      <c r="CC1066" s="1" t="str">
        <f ca="1">IFERROR(__xludf.DUMMYFUNCTION("""COMPUTED_VALUE"""),"कामनाएँ भगवान को सौंप दें : H_JS_54")</f>
        <v>कामनाएँ भगवान को सौंप दें : H_JS_54</v>
      </c>
      <c r="CD1066" s="3" t="str">
        <f ca="1">IFERROR(__xludf.DUMMYFUNCTION("""COMPUTED_VALUE"""),"https://vicharkrantibooks.org/productdetail?book_name=HINP0417_KAMANAEN_BHAGAVAN_KO_SAUNP_DEN_xx2011&amp;product_id=982")</f>
        <v>https://vicharkrantibooks.org/productdetail?book_name=HINP0417_KAMANAEN_BHAGAVAN_KO_SAUNP_DEN_xx2011&amp;product_id=982</v>
      </c>
      <c r="CE1066" s="1" t="str">
        <f ca="1">IFERROR(__xludf.DUMMYFUNCTION("""COMPUTED_VALUE"""),"Audiobook : कामनाएँ भगवान को सौंप दें : H_JS_54 : anshu14.singh@yahoo.in : Recorded")</f>
        <v>Audiobook : कामनाएँ भगवान को सौंप दें : H_JS_54 : anshu14.singh@yahoo.in : Recorded</v>
      </c>
      <c r="CF1066" s="1" t="str">
        <f ca="1">IFERROR(__xludf.DUMMYFUNCTION("""COMPUTED_VALUE"""),"#N/A")</f>
        <v>#N/A</v>
      </c>
      <c r="CG1066" s="1" t="str">
        <f ca="1">IFERROR(__xludf.DUMMYFUNCTION("""COMPUTED_VALUE"""),"Adarniya Anshu singh ji कामनाएँ भगवान को सौंप दें : H_JS_54 : Allocated on 31-Mar-23 Contact Number  9977301575")</f>
        <v>Adarniya Anshu singh ji कामनाएँ भगवान को सौंप दें : H_JS_54 : Allocated on 31-Mar-23 Contact Number  9977301575</v>
      </c>
      <c r="CH1066" s="1"/>
      <c r="CI1066" s="1"/>
    </row>
    <row r="1067" spans="1:87" x14ac:dyDescent="0.25">
      <c r="A1067" s="5">
        <f ca="1">IFERROR(__xludf.DUMMYFUNCTION("""COMPUTED_VALUE"""),45015.9114945138)</f>
        <v>45015.911494513799</v>
      </c>
      <c r="B1067" s="1" t="str">
        <f ca="1">IFERROR(__xludf.DUMMYFUNCTION("""COMPUTED_VALUE"""),"daleshwary67@gmail.com")</f>
        <v>daleshwary67@gmail.com</v>
      </c>
      <c r="C1067" s="1" t="str">
        <f ca="1">IFERROR(__xludf.DUMMYFUNCTION("""COMPUTED_VALUE"""),"Daleshwary Sharma")</f>
        <v>Daleshwary Sharma</v>
      </c>
      <c r="D1067" s="1" t="str">
        <f ca="1">IFERROR(__xludf.DUMMYFUNCTION("""COMPUTED_VALUE"""),"+91 8587900034")</f>
        <v>+91 8587900034</v>
      </c>
      <c r="E1067" s="1" t="str">
        <f ca="1">IFERROR(__xludf.DUMMYFUNCTION("""COMPUTED_VALUE"""),"Yes")</f>
        <v>Yes</v>
      </c>
      <c r="F1067" s="1" t="str">
        <f ca="1">IFERROR(__xludf.DUMMYFUNCTION("""COMPUTED_VALUE"""),"हिन्दी")</f>
        <v>हिन्दी</v>
      </c>
      <c r="G1067" s="1" t="str">
        <f ca="1">IFERROR(__xludf.DUMMYFUNCTION("""COMPUTED_VALUE"""),"युग द्रष्टा पं. श्रीराम शर्मा आचार्यजी")</f>
        <v>युग द्रष्टा पं. श्रीराम शर्मा आचार्यजी</v>
      </c>
      <c r="H1067" s="1"/>
      <c r="I1067" s="1"/>
      <c r="J1067" s="1"/>
      <c r="K1067" s="1"/>
      <c r="L1067" s="1"/>
      <c r="M1067" s="1"/>
      <c r="N1067" s="1"/>
      <c r="O1067" s="1"/>
      <c r="P1067" s="1" t="str">
        <f ca="1">IFERROR(__xludf.DUMMYFUNCTION("""COMPUTED_VALUE"""),"युगॠषी का जीवनदर्शन")</f>
        <v>युगॠषी का जीवनदर्शन</v>
      </c>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f ca="1">IFERROR(__xludf.DUMMYFUNCTION("""COMPUTED_VALUE"""),15)</f>
        <v>15</v>
      </c>
      <c r="BX1067" s="1">
        <f ca="1">IFERROR(__xludf.DUMMYFUNCTION("""COMPUTED_VALUE"""),9)</f>
        <v>9</v>
      </c>
      <c r="BY1067" s="1">
        <f ca="1">IFERROR(__xludf.DUMMYFUNCTION("""COMPUTED_VALUE"""),5)</f>
        <v>5</v>
      </c>
      <c r="BZ1067" s="1">
        <f ca="1">IFERROR(__xludf.DUMMYFUNCTION("""COMPUTED_VALUE"""),5)</f>
        <v>5</v>
      </c>
      <c r="CA1067" s="1" t="str">
        <f ca="1">IFERROR(__xludf.DUMMYFUNCTION("""COMPUTED_VALUE"""),"Yes")</f>
        <v>Yes</v>
      </c>
      <c r="CB1067" s="5">
        <f ca="1">IFERROR(__xludf.DUMMYFUNCTION("""COMPUTED_VALUE"""),45025.9114945138)</f>
        <v>45025.911494513799</v>
      </c>
      <c r="CC1067" s="1" t="str">
        <f ca="1">IFERROR(__xludf.DUMMYFUNCTION("""COMPUTED_VALUE"""),"सद्‌गुरू वचनामृत : H_SC_11")</f>
        <v>सद्‌गुरू वचनामृत : H_SC_11</v>
      </c>
      <c r="CD1067" s="3" t="str">
        <f ca="1">IFERROR(__xludf.DUMMYFUNCTION("""COMPUTED_VALUE"""),"https://vicharkrantibooks.org/productdetail?book_name=HINP0735_SADGURU_VACHANAMRUT_xxyyyy&amp;product_id=1300")</f>
        <v>https://vicharkrantibooks.org/productdetail?book_name=HINP0735_SADGURU_VACHANAMRUT_xxyyyy&amp;product_id=1300</v>
      </c>
      <c r="CE1067" s="1" t="str">
        <f ca="1">IFERROR(__xludf.DUMMYFUNCTION("""COMPUTED_VALUE"""),"Audiobook : सद्‌गुरू वचनामृत : H_SC_11 : daleshwary67@gmail.com : Recorded")</f>
        <v>Audiobook : सद्‌गुरू वचनामृत : H_SC_11 : daleshwary67@gmail.com : Recorded</v>
      </c>
      <c r="CF1067" s="1" t="str">
        <f ca="1">IFERROR(__xludf.DUMMYFUNCTION("""COMPUTED_VALUE"""),"Audiobook : सद्‌गुरू वचनामृत : H_SC_11 : daleshwary67@gmail.com : Recorded")</f>
        <v>Audiobook : सद्‌गुरू वचनामृत : H_SC_11 : daleshwary67@gmail.com : Recorded</v>
      </c>
      <c r="CG1067" s="1" t="str">
        <f ca="1">IFERROR(__xludf.DUMMYFUNCTION("""COMPUTED_VALUE"""),"Adarniya Daleshwary Sharma ji सद्‌गुरू वचनामृत : H_SC_11 : Allocated on 30-Mar-23 Contact Number  +91 8587900034")</f>
        <v>Adarniya Daleshwary Sharma ji सद्‌गुरू वचनामृत : H_SC_11 : Allocated on 30-Mar-23 Contact Number  +91 8587900034</v>
      </c>
      <c r="CH1067" s="1"/>
      <c r="CI1067" s="1"/>
    </row>
    <row r="1068" spans="1:87" x14ac:dyDescent="0.25">
      <c r="A1068" s="5">
        <f ca="1">IFERROR(__xludf.DUMMYFUNCTION("""COMPUTED_VALUE"""),45014.5134484606)</f>
        <v>45014.513448460602</v>
      </c>
      <c r="B1068" s="1" t="str">
        <f ca="1">IFERROR(__xludf.DUMMYFUNCTION("""COMPUTED_VALUE"""),"apoorva2027@gmail.com")</f>
        <v>apoorva2027@gmail.com</v>
      </c>
      <c r="C1068" s="1" t="str">
        <f ca="1">IFERROR(__xludf.DUMMYFUNCTION("""COMPUTED_VALUE"""),"Apoorva Sri")</f>
        <v>Apoorva Sri</v>
      </c>
      <c r="D1068" s="1">
        <f ca="1">IFERROR(__xludf.DUMMYFUNCTION("""COMPUTED_VALUE"""),9971378149)</f>
        <v>9971378149</v>
      </c>
      <c r="E1068" s="1" t="str">
        <f ca="1">IFERROR(__xludf.DUMMYFUNCTION("""COMPUTED_VALUE"""),"No")</f>
        <v>No</v>
      </c>
      <c r="F1068" s="1" t="str">
        <f ca="1">IFERROR(__xludf.DUMMYFUNCTION("""COMPUTED_VALUE"""),"हिन्दी or English")</f>
        <v>हिन्दी or English</v>
      </c>
      <c r="G1068" s="1" t="str">
        <f ca="1">IFERROR(__xludf.DUMMYFUNCTION("""COMPUTED_VALUE"""),"Pocket book")</f>
        <v>Pocket book</v>
      </c>
      <c r="H1068" s="1" t="str">
        <f ca="1">IFERROR(__xludf.DUMMYFUNCTION("""COMPUTED_VALUE"""),"उपासना")</f>
        <v>उपासना</v>
      </c>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f ca="1">IFERROR(__xludf.DUMMYFUNCTION("""COMPUTED_VALUE"""),2)</f>
        <v>2</v>
      </c>
      <c r="BX1068" s="1">
        <f ca="1">IFERROR(__xludf.DUMMYFUNCTION("""COMPUTED_VALUE"""),0)</f>
        <v>0</v>
      </c>
      <c r="BY1068" s="1">
        <f ca="1">IFERROR(__xludf.DUMMYFUNCTION("""COMPUTED_VALUE"""),2)</f>
        <v>2</v>
      </c>
      <c r="BZ1068" s="1">
        <f ca="1">IFERROR(__xludf.DUMMYFUNCTION("""COMPUTED_VALUE"""),0)</f>
        <v>0</v>
      </c>
      <c r="CA1068" s="1" t="str">
        <f ca="1">IFERROR(__xludf.DUMMYFUNCTION("""COMPUTED_VALUE"""),"Yes")</f>
        <v>Yes</v>
      </c>
      <c r="CB1068" s="5">
        <f ca="1">IFERROR(__xludf.DUMMYFUNCTION("""COMPUTED_VALUE"""),45024.5134484606)</f>
        <v>45024.513448460602</v>
      </c>
      <c r="CC1068" s="1" t="str">
        <f ca="1">IFERROR(__xludf.DUMMYFUNCTION("""COMPUTED_VALUE"""),"अपने ब्राह्मण एवं संत को जिंदा रखें : H_JS_03")</f>
        <v>अपने ब्राह्मण एवं संत को जिंदा रखें : H_JS_03</v>
      </c>
      <c r="CD1068" s="3" t="str">
        <f ca="1">IFERROR(__xludf.DUMMYFUNCTION("""COMPUTED_VALUE"""),"https://vicharkrantibooks.org/productdetail?book_name=HINP0063_APANE_BHRAHAMAN_EVAM_SANT_KO_JINDA_RAKHEN_xx2011&amp;product_id=628")</f>
        <v>https://vicharkrantibooks.org/productdetail?book_name=HINP0063_APANE_BHRAHAMAN_EVAM_SANT_KO_JINDA_RAKHEN_xx2011&amp;product_id=628</v>
      </c>
      <c r="CE1068" s="1" t="str">
        <f ca="1">IFERROR(__xludf.DUMMYFUNCTION("""COMPUTED_VALUE"""),"Audiobook : अपने ब्राह्मण एवं संत को जिंदा रखें : H_JS_03 : apoorva2027@gmail.com : Recorded")</f>
        <v>Audiobook : अपने ब्राह्मण एवं संत को जिंदा रखें : H_JS_03 : apoorva2027@gmail.com : Recorded</v>
      </c>
      <c r="CF1068" s="1" t="str">
        <f ca="1">IFERROR(__xludf.DUMMYFUNCTION("""COMPUTED_VALUE"""),"#N/A")</f>
        <v>#N/A</v>
      </c>
      <c r="CG1068" s="1" t="str">
        <f ca="1">IFERROR(__xludf.DUMMYFUNCTION("""COMPUTED_VALUE"""),"Adarniya Apoorva Sri ji अपने ब्राह्मण एवं संत को जिंदा रखें : H_JS_03 : Allocated on 29-Mar-23 Contact Number  9971378149")</f>
        <v>Adarniya Apoorva Sri ji अपने ब्राह्मण एवं संत को जिंदा रखें : H_JS_03 : Allocated on 29-Mar-23 Contact Number  9971378149</v>
      </c>
      <c r="CH1068" s="1"/>
      <c r="CI1068" s="1"/>
    </row>
    <row r="1069" spans="1:87" x14ac:dyDescent="0.25">
      <c r="A1069" s="5">
        <f ca="1">IFERROR(__xludf.DUMMYFUNCTION("""COMPUTED_VALUE"""),45013.9508591435)</f>
        <v>45013.950859143501</v>
      </c>
      <c r="B1069" s="1" t="str">
        <f ca="1">IFERROR(__xludf.DUMMYFUNCTION("""COMPUTED_VALUE"""),"vandana15rastogi@gmail.com")</f>
        <v>vandana15rastogi@gmail.com</v>
      </c>
      <c r="C1069" s="1" t="str">
        <f ca="1">IFERROR(__xludf.DUMMYFUNCTION("""COMPUTED_VALUE"""),"Vandana Rastogi")</f>
        <v>Vandana Rastogi</v>
      </c>
      <c r="D1069" s="1">
        <f ca="1">IFERROR(__xludf.DUMMYFUNCTION("""COMPUTED_VALUE"""),9359528684)</f>
        <v>9359528684</v>
      </c>
      <c r="E1069" s="1" t="str">
        <f ca="1">IFERROR(__xludf.DUMMYFUNCTION("""COMPUTED_VALUE"""),"Yes")</f>
        <v>Yes</v>
      </c>
      <c r="F1069" s="1" t="str">
        <f ca="1">IFERROR(__xludf.DUMMYFUNCTION("""COMPUTED_VALUE"""),"हिन्दी")</f>
        <v>हिन्दी</v>
      </c>
      <c r="G1069" s="1" t="str">
        <f ca="1">IFERROR(__xludf.DUMMYFUNCTION("""COMPUTED_VALUE"""),"वैज्ञानिक अध्यात्मवाद का प्रतिपादन")</f>
        <v>वैज्ञानिक अध्यात्मवाद का प्रतिपादन</v>
      </c>
      <c r="H1069" s="1"/>
      <c r="I1069" s="1"/>
      <c r="J1069" s="1"/>
      <c r="K1069" s="1"/>
      <c r="L1069" s="1"/>
      <c r="M1069" s="1"/>
      <c r="N1069" s="1"/>
      <c r="O1069" s="1"/>
      <c r="P1069" s="1"/>
      <c r="Q1069" s="1"/>
      <c r="R1069" s="1"/>
      <c r="S1069" s="1" t="str">
        <f ca="1">IFERROR(__xludf.DUMMYFUNCTION("""COMPUTED_VALUE"""),"वैज्ञानिक अध्यात्मवाद का प्रतिपादन")</f>
        <v>वैज्ञानिक अध्यात्मवाद का प्रतिपादन</v>
      </c>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f ca="1">IFERROR(__xludf.DUMMYFUNCTION("""COMPUTED_VALUE"""),33)</f>
        <v>33</v>
      </c>
      <c r="BX1069" s="1">
        <f ca="1">IFERROR(__xludf.DUMMYFUNCTION("""COMPUTED_VALUE"""),19)</f>
        <v>19</v>
      </c>
      <c r="BY1069" s="1">
        <f ca="1">IFERROR(__xludf.DUMMYFUNCTION("""COMPUTED_VALUE"""),17)</f>
        <v>17</v>
      </c>
      <c r="BZ1069" s="1">
        <f ca="1">IFERROR(__xludf.DUMMYFUNCTION("""COMPUTED_VALUE"""),14)</f>
        <v>14</v>
      </c>
      <c r="CA1069" s="1" t="str">
        <f ca="1">IFERROR(__xludf.DUMMYFUNCTION("""COMPUTED_VALUE"""),"Yes")</f>
        <v>Yes</v>
      </c>
      <c r="CB1069" s="5">
        <f ca="1">IFERROR(__xludf.DUMMYFUNCTION("""COMPUTED_VALUE"""),45023.9508591435)</f>
        <v>45023.950859143501</v>
      </c>
      <c r="CC1069" s="1" t="str">
        <f ca="1">IFERROR(__xludf.DUMMYFUNCTION("""COMPUTED_VALUE"""),"अध्यात्म अर्थात्‌ उत्कृष्ट चिंतन आदर्श कर्तृत्व : H_JS_01")</f>
        <v>अध्यात्म अर्थात्‌ उत्कृष्ट चिंतन आदर्श कर्तृत्व : H_JS_01</v>
      </c>
      <c r="CD1069" s="3" t="str">
        <f ca="1">IFERROR(__xludf.DUMMYFUNCTION("""COMPUTED_VALUE"""),"https://vicharkrantibooks.org/productdetail?book_name=HINP0010_ADHYATM_ARTHAT%E2%80%8C_UTKRUSHT_CHINTAN_ADARSH_KARTUTV_xx1982&amp;product_id=575")</f>
        <v>https://vicharkrantibooks.org/productdetail?book_name=HINP0010_ADHYATM_ARTHAT%E2%80%8C_UTKRUSHT_CHINTAN_ADARSH_KARTUTV_xx1982&amp;product_id=575</v>
      </c>
      <c r="CE1069" s="1" t="str">
        <f ca="1">IFERROR(__xludf.DUMMYFUNCTION("""COMPUTED_VALUE"""),"Audiobook : अध्यात्म अर्थात्‌ उत्कृष्ट चिंतन आदर्श कर्तृत्व : H_JS_01 : vandana15rastogi@gmail.com : Recorded")</f>
        <v>Audiobook : अध्यात्म अर्थात्‌ उत्कृष्ट चिंतन आदर्श कर्तृत्व : H_JS_01 : vandana15rastogi@gmail.com : Recorded</v>
      </c>
      <c r="CF1069" s="1" t="str">
        <f ca="1">IFERROR(__xludf.DUMMYFUNCTION("""COMPUTED_VALUE"""),"Audiobook : अध्यात्म अर्थात्‌ उत्कृष्ट चिंतन आदर्श कर्तृत्व : H_JS_01 : vandana15rastogi@gmail.com : Recorded")</f>
        <v>Audiobook : अध्यात्म अर्थात्‌ उत्कृष्ट चिंतन आदर्श कर्तृत्व : H_JS_01 : vandana15rastogi@gmail.com : Recorded</v>
      </c>
      <c r="CG1069" s="1" t="str">
        <f ca="1">IFERROR(__xludf.DUMMYFUNCTION("""COMPUTED_VALUE"""),"Adarniya Vandana Rastogi ji अध्यात्म अर्थात्‌ उत्कृष्ट चिंतन आदर्श कर्तृत्व : H_JS_01 : Allocated on 28-Mar-23 Contact Number  9359528684")</f>
        <v>Adarniya Vandana Rastogi ji अध्यात्म अर्थात्‌ उत्कृष्ट चिंतन आदर्श कर्तृत्व : H_JS_01 : Allocated on 28-Mar-23 Contact Number  9359528684</v>
      </c>
      <c r="CH1069" s="1"/>
      <c r="CI1069" s="1"/>
    </row>
    <row r="1070" spans="1:87" x14ac:dyDescent="0.25">
      <c r="A1070" s="5">
        <f ca="1">IFERROR(__xludf.DUMMYFUNCTION("""COMPUTED_VALUE"""),45013.4742853009)</f>
        <v>45013.474285300901</v>
      </c>
      <c r="B1070" s="1" t="str">
        <f ca="1">IFERROR(__xludf.DUMMYFUNCTION("""COMPUTED_VALUE"""),"rbbansalriya@gmail.com")</f>
        <v>rbbansalriya@gmail.com</v>
      </c>
      <c r="C1070" s="1" t="str">
        <f ca="1">IFERROR(__xludf.DUMMYFUNCTION("""COMPUTED_VALUE"""),"Riya bansal ")</f>
        <v xml:space="preserve">Riya bansal </v>
      </c>
      <c r="D1070" s="1">
        <f ca="1">IFERROR(__xludf.DUMMYFUNCTION("""COMPUTED_VALUE"""),9176361023)</f>
        <v>9176361023</v>
      </c>
      <c r="E1070" s="1" t="str">
        <f ca="1">IFERROR(__xludf.DUMMYFUNCTION("""COMPUTED_VALUE"""),"Yes")</f>
        <v>Yes</v>
      </c>
      <c r="F1070" s="1" t="str">
        <f ca="1">IFERROR(__xludf.DUMMYFUNCTION("""COMPUTED_VALUE"""),"हिन्दी")</f>
        <v>हिन्दी</v>
      </c>
      <c r="G1070" s="1" t="str">
        <f ca="1">IFERROR(__xludf.DUMMYFUNCTION("""COMPUTED_VALUE"""),"अध्यात्म, धर्म एवं दर्शन")</f>
        <v>अध्यात्म, धर्म एवं दर्शन</v>
      </c>
      <c r="H1070" s="1" t="str">
        <f ca="1">IFERROR(__xludf.DUMMYFUNCTION("""COMPUTED_VALUE"""),"अध्यात्म, धर्म एवं आस्तिकता")</f>
        <v>अध्यात्म, धर्म एवं आस्तिकता</v>
      </c>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f ca="1">IFERROR(__xludf.DUMMYFUNCTION("""COMPUTED_VALUE"""),54)</f>
        <v>54</v>
      </c>
      <c r="BX1070" s="1">
        <f ca="1">IFERROR(__xludf.DUMMYFUNCTION("""COMPUTED_VALUE"""),55)</f>
        <v>55</v>
      </c>
      <c r="BY1070" s="1">
        <f ca="1">IFERROR(__xludf.DUMMYFUNCTION("""COMPUTED_VALUE"""),9)</f>
        <v>9</v>
      </c>
      <c r="BZ1070" s="1">
        <f ca="1">IFERROR(__xludf.DUMMYFUNCTION("""COMPUTED_VALUE"""),43)</f>
        <v>43</v>
      </c>
      <c r="CA1070" s="1" t="str">
        <f ca="1">IFERROR(__xludf.DUMMYFUNCTION("""COMPUTED_VALUE"""),"Yes")</f>
        <v>Yes</v>
      </c>
      <c r="CB1070" s="5">
        <f ca="1">IFERROR(__xludf.DUMMYFUNCTION("""COMPUTED_VALUE"""),45023.4742853009)</f>
        <v>45023.474285300901</v>
      </c>
      <c r="CC1070" s="1" t="str">
        <f ca="1">IFERROR(__xludf.DUMMYFUNCTION("""COMPUTED_VALUE"""),"उपासना साधना आराधना : H_JS_65")</f>
        <v>उपासना साधना आराधना : H_JS_65</v>
      </c>
      <c r="CD1070" s="3" t="str">
        <f ca="1">IFERROR(__xludf.DUMMYFUNCTION("""COMPUTED_VALUE"""),"https://vicharkrantibooks.org/productdetail?book_name=HINP0927_UPASANA_SADHANA_ARADHANA_xx2011&amp;product_id=1492")</f>
        <v>https://vicharkrantibooks.org/productdetail?book_name=HINP0927_UPASANA_SADHANA_ARADHANA_xx2011&amp;product_id=1492</v>
      </c>
      <c r="CE1070" s="1" t="str">
        <f ca="1">IFERROR(__xludf.DUMMYFUNCTION("""COMPUTED_VALUE"""),"Audiobook : उपासना साधना आराधना : H_JS_65 : rbbansalriya@gmail.com : Recorded")</f>
        <v>Audiobook : उपासना साधना आराधना : H_JS_65 : rbbansalriya@gmail.com : Recorded</v>
      </c>
      <c r="CF1070" s="1" t="str">
        <f ca="1">IFERROR(__xludf.DUMMYFUNCTION("""COMPUTED_VALUE"""),"Audiobook : उपासना साधना आराधना : H_JS_65 : rbbansalriya@gmail.com : Recorded")</f>
        <v>Audiobook : उपासना साधना आराधना : H_JS_65 : rbbansalriya@gmail.com : Recorded</v>
      </c>
      <c r="CG1070" s="1" t="str">
        <f ca="1">IFERROR(__xludf.DUMMYFUNCTION("""COMPUTED_VALUE"""),"Adarniya Riya bansal  ji उपासना साधना आराधना : H_JS_65 : Allocated on 28-Mar-23 Contact Number  9176361023")</f>
        <v>Adarniya Riya bansal  ji उपासना साधना आराधना : H_JS_65 : Allocated on 28-Mar-23 Contact Number  9176361023</v>
      </c>
      <c r="CH1070" s="1"/>
      <c r="CI1070" s="1"/>
    </row>
    <row r="1071" spans="1:87" x14ac:dyDescent="0.25">
      <c r="A1071" s="5">
        <f ca="1">IFERROR(__xludf.DUMMYFUNCTION("""COMPUTED_VALUE"""),45012.9089724768)</f>
        <v>45012.908972476798</v>
      </c>
      <c r="B1071" s="1" t="str">
        <f ca="1">IFERROR(__xludf.DUMMYFUNCTION("""COMPUTED_VALUE"""),"nksaxena.yoga@gmail.com")</f>
        <v>nksaxena.yoga@gmail.com</v>
      </c>
      <c r="C1071" s="1" t="str">
        <f ca="1">IFERROR(__xludf.DUMMYFUNCTION("""COMPUTED_VALUE"""),"Narendra Kumar Saxena")</f>
        <v>Narendra Kumar Saxena</v>
      </c>
      <c r="D1071" s="1">
        <f ca="1">IFERROR(__xludf.DUMMYFUNCTION("""COMPUTED_VALUE"""),8826499188)</f>
        <v>8826499188</v>
      </c>
      <c r="E1071" s="1" t="str">
        <f ca="1">IFERROR(__xludf.DUMMYFUNCTION("""COMPUTED_VALUE"""),"Yes")</f>
        <v>Yes</v>
      </c>
      <c r="F1071" s="1" t="str">
        <f ca="1">IFERROR(__xludf.DUMMYFUNCTION("""COMPUTED_VALUE"""),"हिन्दी")</f>
        <v>हिन्दी</v>
      </c>
      <c r="G1071" s="1" t="str">
        <f ca="1">IFERROR(__xludf.DUMMYFUNCTION("""COMPUTED_VALUE"""),"समग्र स्वास्थ्य")</f>
        <v>समग्र स्वास्थ्य</v>
      </c>
      <c r="H1071" s="1"/>
      <c r="I1071" s="1"/>
      <c r="J1071" s="1"/>
      <c r="K1071" s="1"/>
      <c r="L1071" s="1"/>
      <c r="M1071" s="1"/>
      <c r="N1071" s="1"/>
      <c r="O1071" s="1"/>
      <c r="P1071" s="1"/>
      <c r="Q1071" s="1"/>
      <c r="R1071" s="1"/>
      <c r="S1071" s="1"/>
      <c r="T1071" s="1"/>
      <c r="U1071" s="1" t="str">
        <f ca="1">IFERROR(__xludf.DUMMYFUNCTION("""COMPUTED_VALUE"""),"आहार-विहार एवं उपवास")</f>
        <v>आहार-विहार एवं उपवास</v>
      </c>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f ca="1">IFERROR(__xludf.DUMMYFUNCTION("""COMPUTED_VALUE"""),29)</f>
        <v>29</v>
      </c>
      <c r="BX1071" s="1">
        <f ca="1">IFERROR(__xludf.DUMMYFUNCTION("""COMPUTED_VALUE"""),30)</f>
        <v>30</v>
      </c>
      <c r="BY1071" s="1">
        <f ca="1">IFERROR(__xludf.DUMMYFUNCTION("""COMPUTED_VALUE"""),3)</f>
        <v>3</v>
      </c>
      <c r="BZ1071" s="1">
        <f ca="1">IFERROR(__xludf.DUMMYFUNCTION("""COMPUTED_VALUE"""),25)</f>
        <v>25</v>
      </c>
      <c r="CA1071" s="1" t="str">
        <f ca="1">IFERROR(__xludf.DUMMYFUNCTION("""COMPUTED_VALUE"""),"Yes")</f>
        <v>Yes</v>
      </c>
      <c r="CB1071" s="5">
        <f ca="1">IFERROR(__xludf.DUMMYFUNCTION("""COMPUTED_VALUE"""),45022.9089724768)</f>
        <v>45022.908972476798</v>
      </c>
      <c r="CC1071" s="1" t="str">
        <f ca="1">IFERROR(__xludf.DUMMYFUNCTION("""COMPUTED_VALUE"""),"चिरयौवन का वरदान सबके लिए सुलभ : Rare Book")</f>
        <v>चिरयौवन का वरदान सबके लिए सुलभ : Rare Book</v>
      </c>
      <c r="CD1071" s="3" t="str">
        <f ca="1">IFERROR(__xludf.DUMMYFUNCTION("""COMPUTED_VALUE"""),"https://vicharkrantibooks.org/productdetail?book_name=HINP0197_CHIRAYAUVAN_KA_VARADAN_SABAKE_LIE_SULABH_xx1982&amp;product_id=762")</f>
        <v>https://vicharkrantibooks.org/productdetail?book_name=HINP0197_CHIRAYAUVAN_KA_VARADAN_SABAKE_LIE_SULABH_xx1982&amp;product_id=762</v>
      </c>
      <c r="CE1071" s="1" t="str">
        <f ca="1">IFERROR(__xludf.DUMMYFUNCTION("""COMPUTED_VALUE"""),"Audiobook : चिरयौवन का वरदान सबके लिए सुलभ : Rare Book : nksaxena.yoga@gmail.com : Recorded")</f>
        <v>Audiobook : चिरयौवन का वरदान सबके लिए सुलभ : Rare Book : nksaxena.yoga@gmail.com : Recorded</v>
      </c>
      <c r="CF1071" s="1" t="str">
        <f ca="1">IFERROR(__xludf.DUMMYFUNCTION("""COMPUTED_VALUE"""),"Audiobook : चिरयौवन का वरदान सबके लिए सुलभ : Rare Book : nksaxena.yoga@gmail.com : Recorded")</f>
        <v>Audiobook : चिरयौवन का वरदान सबके लिए सुलभ : Rare Book : nksaxena.yoga@gmail.com : Recorded</v>
      </c>
      <c r="CG1071" s="1" t="str">
        <f ca="1">IFERROR(__xludf.DUMMYFUNCTION("""COMPUTED_VALUE"""),"Adarniya Narendra Kumar Saxena ji चिरयौवन का वरदान सबके लिए सुलभ : Rare Book : Allocated on 27-Mar-23 Contact Number  8826499188")</f>
        <v>Adarniya Narendra Kumar Saxena ji चिरयौवन का वरदान सबके लिए सुलभ : Rare Book : Allocated on 27-Mar-23 Contact Number  8826499188</v>
      </c>
      <c r="CH1071" s="1"/>
      <c r="CI1071" s="1"/>
    </row>
    <row r="1072" spans="1:87" x14ac:dyDescent="0.25">
      <c r="A1072" s="5">
        <f ca="1">IFERROR(__xludf.DUMMYFUNCTION("""COMPUTED_VALUE"""),45012.6991277546)</f>
        <v>45012.699127754597</v>
      </c>
      <c r="B1072" s="1" t="str">
        <f ca="1">IFERROR(__xludf.DUMMYFUNCTION("""COMPUTED_VALUE"""),"anshu14.singh@yahoo.in")</f>
        <v>anshu14.singh@yahoo.in</v>
      </c>
      <c r="C1072" s="1" t="str">
        <f ca="1">IFERROR(__xludf.DUMMYFUNCTION("""COMPUTED_VALUE"""),"Anshu singh")</f>
        <v>Anshu singh</v>
      </c>
      <c r="D1072" s="1">
        <f ca="1">IFERROR(__xludf.DUMMYFUNCTION("""COMPUTED_VALUE"""),9977301575)</f>
        <v>9977301575</v>
      </c>
      <c r="E1072" s="1" t="str">
        <f ca="1">IFERROR(__xludf.DUMMYFUNCTION("""COMPUTED_VALUE"""),"Yes")</f>
        <v>Yes</v>
      </c>
      <c r="F1072" s="1" t="str">
        <f ca="1">IFERROR(__xludf.DUMMYFUNCTION("""COMPUTED_VALUE"""),"हिन्दी")</f>
        <v>हिन्दी</v>
      </c>
      <c r="G1072" s="1" t="str">
        <f ca="1">IFERROR(__xludf.DUMMYFUNCTION("""COMPUTED_VALUE"""),"अध्यात्म, धर्म एवं दर्शन")</f>
        <v>अध्यात्म, धर्म एवं दर्शन</v>
      </c>
      <c r="H1072" s="1" t="str">
        <f ca="1">IFERROR(__xludf.DUMMYFUNCTION("""COMPUTED_VALUE"""),"अध्यात्म, धर्म एवं आस्तिकता")</f>
        <v>अध्यात्म, धर्म एवं आस्तिकता</v>
      </c>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f ca="1">IFERROR(__xludf.DUMMYFUNCTION("""COMPUTED_VALUE"""),9)</f>
        <v>9</v>
      </c>
      <c r="BX1072" s="1">
        <f ca="1">IFERROR(__xludf.DUMMYFUNCTION("""COMPUTED_VALUE"""),5)</f>
        <v>5</v>
      </c>
      <c r="BY1072" s="1">
        <f ca="1">IFERROR(__xludf.DUMMYFUNCTION("""COMPUTED_VALUE"""),4)</f>
        <v>4</v>
      </c>
      <c r="BZ1072" s="1">
        <f ca="1">IFERROR(__xludf.DUMMYFUNCTION("""COMPUTED_VALUE"""),0)</f>
        <v>0</v>
      </c>
      <c r="CA1072" s="1" t="str">
        <f ca="1">IFERROR(__xludf.DUMMYFUNCTION("""COMPUTED_VALUE"""),"Yes")</f>
        <v>Yes</v>
      </c>
      <c r="CB1072" s="5">
        <f ca="1">IFERROR(__xludf.DUMMYFUNCTION("""COMPUTED_VALUE"""),45022.6991277546)</f>
        <v>45022.699127754597</v>
      </c>
      <c r="CC1072" s="1" t="str">
        <f ca="1">IFERROR(__xludf.DUMMYFUNCTION("""COMPUTED_VALUE"""),"ईश्वरीय अनुशासन के अनुबंध : Rare Book")</f>
        <v>ईश्वरीय अनुशासन के अनुबंध : Rare Book</v>
      </c>
      <c r="CD1072" s="3" t="str">
        <f ca="1">IFERROR(__xludf.DUMMYFUNCTION("""COMPUTED_VALUE"""),"https://vicharkrantibooks.org/productdetail?book_name=HINP0367_ISHWARIY_ANUSHASAN_KE_ANUBANDH_xxyyyy&amp;product_id=932")</f>
        <v>https://vicharkrantibooks.org/productdetail?book_name=HINP0367_ISHWARIY_ANUSHASAN_KE_ANUBANDH_xxyyyy&amp;product_id=932</v>
      </c>
      <c r="CE1072" s="1" t="str">
        <f ca="1">IFERROR(__xludf.DUMMYFUNCTION("""COMPUTED_VALUE"""),"Audiobook : ईश्वरीय अनुशासन के अनुबंध : Rare Book : anshu14.singh@yahoo.in : Recorded")</f>
        <v>Audiobook : ईश्वरीय अनुशासन के अनुबंध : Rare Book : anshu14.singh@yahoo.in : Recorded</v>
      </c>
      <c r="CF1072" s="1" t="str">
        <f ca="1">IFERROR(__xludf.DUMMYFUNCTION("""COMPUTED_VALUE"""),"#N/A")</f>
        <v>#N/A</v>
      </c>
      <c r="CG1072" s="1" t="str">
        <f ca="1">IFERROR(__xludf.DUMMYFUNCTION("""COMPUTED_VALUE"""),"Adarniya Anshu singh ji ईश्वरीय अनुशासन के अनुबंध : Rare Book : Allocated on 27-Mar-23 Contact Number  9977301575")</f>
        <v>Adarniya Anshu singh ji ईश्वरीय अनुशासन के अनुबंध : Rare Book : Allocated on 27-Mar-23 Contact Number  9977301575</v>
      </c>
      <c r="CH1072" s="1"/>
      <c r="CI1072" s="1"/>
    </row>
    <row r="1073" spans="1:87" x14ac:dyDescent="0.25">
      <c r="A1073" s="5">
        <f ca="1">IFERROR(__xludf.DUMMYFUNCTION("""COMPUTED_VALUE"""),45012.6480001504)</f>
        <v>45012.648000150402</v>
      </c>
      <c r="B1073" s="1" t="str">
        <f ca="1">IFERROR(__xludf.DUMMYFUNCTION("""COMPUTED_VALUE"""),"rbbansalriya@gmail.com")</f>
        <v>rbbansalriya@gmail.com</v>
      </c>
      <c r="C1073" s="1" t="str">
        <f ca="1">IFERROR(__xludf.DUMMYFUNCTION("""COMPUTED_VALUE"""),"Riya bansal ")</f>
        <v xml:space="preserve">Riya bansal </v>
      </c>
      <c r="D1073" s="1">
        <f ca="1">IFERROR(__xludf.DUMMYFUNCTION("""COMPUTED_VALUE"""),9176361023)</f>
        <v>9176361023</v>
      </c>
      <c r="E1073" s="1" t="str">
        <f ca="1">IFERROR(__xludf.DUMMYFUNCTION("""COMPUTED_VALUE"""),"Yes")</f>
        <v>Yes</v>
      </c>
      <c r="F1073" s="1" t="str">
        <f ca="1">IFERROR(__xludf.DUMMYFUNCTION("""COMPUTED_VALUE"""),"हिन्दी")</f>
        <v>हिन्दी</v>
      </c>
      <c r="G1073" s="1" t="str">
        <f ca="1">IFERROR(__xludf.DUMMYFUNCTION("""COMPUTED_VALUE"""),"वैज्ञानिक अध्यात्मवाद का प्रतिपादन")</f>
        <v>वैज्ञानिक अध्यात्मवाद का प्रतिपादन</v>
      </c>
      <c r="H1073" s="1"/>
      <c r="I1073" s="1"/>
      <c r="J1073" s="1"/>
      <c r="K1073" s="1"/>
      <c r="L1073" s="1"/>
      <c r="M1073" s="1"/>
      <c r="N1073" s="1"/>
      <c r="O1073" s="1"/>
      <c r="P1073" s="1"/>
      <c r="Q1073" s="1"/>
      <c r="R1073" s="1"/>
      <c r="S1073" s="1" t="str">
        <f ca="1">IFERROR(__xludf.DUMMYFUNCTION("""COMPUTED_VALUE"""),"वैज्ञानिक अध्यात्मवाद का प्रतिपादन")</f>
        <v>वैज्ञानिक अध्यात्मवाद का प्रतिपादन</v>
      </c>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f ca="1">IFERROR(__xludf.DUMMYFUNCTION("""COMPUTED_VALUE"""),54)</f>
        <v>54</v>
      </c>
      <c r="BX1073" s="1">
        <f ca="1">IFERROR(__xludf.DUMMYFUNCTION("""COMPUTED_VALUE"""),55)</f>
        <v>55</v>
      </c>
      <c r="BY1073" s="1">
        <f ca="1">IFERROR(__xludf.DUMMYFUNCTION("""COMPUTED_VALUE"""),9)</f>
        <v>9</v>
      </c>
      <c r="BZ1073" s="1">
        <f ca="1">IFERROR(__xludf.DUMMYFUNCTION("""COMPUTED_VALUE"""),43)</f>
        <v>43</v>
      </c>
      <c r="CA1073" s="1" t="str">
        <f ca="1">IFERROR(__xludf.DUMMYFUNCTION("""COMPUTED_VALUE"""),"Yes")</f>
        <v>Yes</v>
      </c>
      <c r="CB1073" s="5">
        <f ca="1">IFERROR(__xludf.DUMMYFUNCTION("""COMPUTED_VALUE"""),45022.6480001504)</f>
        <v>45022.648000150402</v>
      </c>
      <c r="CC1073" s="1" t="str">
        <f ca="1">IFERROR(__xludf.DUMMYFUNCTION("""COMPUTED_VALUE"""),"विज्ञान का सहयोगी अधिष्ठाता है अध्यात्म : Rare Book")</f>
        <v>विज्ञान का सहयोगी अधिष्ठाता है अध्यात्म : Rare Book</v>
      </c>
      <c r="CD1073" s="3" t="str">
        <f ca="1">IFERROR(__xludf.DUMMYFUNCTION("""COMPUTED_VALUE"""),"https://vicharkrantibooks.org/productdetail?book_name=HINP0973_VIGYAN_KA_SAHAYOGI_ADHISTHATA_HAI_ADHYATM_xx1982&amp;product_id=1538")</f>
        <v>https://vicharkrantibooks.org/productdetail?book_name=HINP0973_VIGYAN_KA_SAHAYOGI_ADHISTHATA_HAI_ADHYATM_xx1982&amp;product_id=1538</v>
      </c>
      <c r="CE1073" s="1" t="str">
        <f ca="1">IFERROR(__xludf.DUMMYFUNCTION("""COMPUTED_VALUE"""),"Audiobook : विज्ञान का सहयोगी अधिष्ठाता है अध्यात्म : Rare Book : rbbansalriya@gmail.com : Recorded")</f>
        <v>Audiobook : विज्ञान का सहयोगी अधिष्ठाता है अध्यात्म : Rare Book : rbbansalriya@gmail.com : Recorded</v>
      </c>
      <c r="CF1073" s="1" t="str">
        <f ca="1">IFERROR(__xludf.DUMMYFUNCTION("""COMPUTED_VALUE"""),"#N/A")</f>
        <v>#N/A</v>
      </c>
      <c r="CG1073" s="1" t="str">
        <f ca="1">IFERROR(__xludf.DUMMYFUNCTION("""COMPUTED_VALUE"""),"Adarniya Riya bansal  ji विज्ञान का सहयोगी अधिष्ठाता है अध्यात्म : Rare Book : Allocated on 27-Mar-23 Contact Number  9176361023")</f>
        <v>Adarniya Riya bansal  ji विज्ञान का सहयोगी अधिष्ठाता है अध्यात्म : Rare Book : Allocated on 27-Mar-23 Contact Number  9176361023</v>
      </c>
      <c r="CH1073" s="1"/>
      <c r="CI1073" s="1"/>
    </row>
    <row r="1074" spans="1:87" x14ac:dyDescent="0.25">
      <c r="A1074" s="5">
        <f ca="1">IFERROR(__xludf.DUMMYFUNCTION("""COMPUTED_VALUE"""),45011.6137270717)</f>
        <v>45011.613727071701</v>
      </c>
      <c r="B1074" s="1" t="str">
        <f ca="1">IFERROR(__xludf.DUMMYFUNCTION("""COMPUTED_VALUE"""),"mauryaavni17@gmail.com")</f>
        <v>mauryaavni17@gmail.com</v>
      </c>
      <c r="C1074" s="1" t="str">
        <f ca="1">IFERROR(__xludf.DUMMYFUNCTION("""COMPUTED_VALUE"""),"Chhaya Maurya")</f>
        <v>Chhaya Maurya</v>
      </c>
      <c r="D1074" s="1">
        <f ca="1">IFERROR(__xludf.DUMMYFUNCTION("""COMPUTED_VALUE"""),9170888308)</f>
        <v>9170888308</v>
      </c>
      <c r="E1074" s="1" t="str">
        <f ca="1">IFERROR(__xludf.DUMMYFUNCTION("""COMPUTED_VALUE"""),"No")</f>
        <v>No</v>
      </c>
      <c r="F1074" s="1" t="str">
        <f ca="1">IFERROR(__xludf.DUMMYFUNCTION("""COMPUTED_VALUE"""),"हिन्दी")</f>
        <v>हिन्दी</v>
      </c>
      <c r="G1074" s="1" t="str">
        <f ca="1">IFERROR(__xludf.DUMMYFUNCTION("""COMPUTED_VALUE"""),"परिवार निर्माण")</f>
        <v>परिवार निर्माण</v>
      </c>
      <c r="H1074" s="1"/>
      <c r="I1074" s="1"/>
      <c r="J1074" s="1"/>
      <c r="K1074" s="1"/>
      <c r="L1074" s="1"/>
      <c r="M1074" s="1" t="str">
        <f ca="1">IFERROR(__xludf.DUMMYFUNCTION("""COMPUTED_VALUE"""),"बाल मनोविज्ञान")</f>
        <v>बाल मनोविज्ञान</v>
      </c>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f ca="1">IFERROR(__xludf.DUMMYFUNCTION("""COMPUTED_VALUE"""),1)</f>
        <v>1</v>
      </c>
      <c r="BX1074" s="1">
        <f ca="1">IFERROR(__xludf.DUMMYFUNCTION("""COMPUTED_VALUE"""),0)</f>
        <v>0</v>
      </c>
      <c r="BY1074" s="1">
        <f ca="1">IFERROR(__xludf.DUMMYFUNCTION("""COMPUTED_VALUE"""),1)</f>
        <v>1</v>
      </c>
      <c r="BZ1074" s="1">
        <f ca="1">IFERROR(__xludf.DUMMYFUNCTION("""COMPUTED_VALUE"""),0)</f>
        <v>0</v>
      </c>
      <c r="CA1074" s="1" t="str">
        <f ca="1">IFERROR(__xludf.DUMMYFUNCTION("""COMPUTED_VALUE"""),"Yes")</f>
        <v>Yes</v>
      </c>
      <c r="CB1074" s="5">
        <f ca="1">IFERROR(__xludf.DUMMYFUNCTION("""COMPUTED_VALUE"""),45021.6137270717)</f>
        <v>45021.613727071701</v>
      </c>
      <c r="CC1074" s="1" t="str">
        <f ca="1">IFERROR(__xludf.DUMMYFUNCTION("""COMPUTED_VALUE"""),"परिवार निर्माण के स्वर्णिम सूत्र : Rare Book")</f>
        <v>परिवार निर्माण के स्वर्णिम सूत्र : Rare Book</v>
      </c>
      <c r="CD1074" s="3" t="str">
        <f ca="1">IFERROR(__xludf.DUMMYFUNCTION("""COMPUTED_VALUE"""),"https://vicharkrantibooks.org/productdetail?book_name=HINP0634_PARIWAR_NIRMAN_KE_SWARNIM_SUTR_xxyyyy&amp;product_id=1199")</f>
        <v>https://vicharkrantibooks.org/productdetail?book_name=HINP0634_PARIWAR_NIRMAN_KE_SWARNIM_SUTR_xxyyyy&amp;product_id=1199</v>
      </c>
      <c r="CE1074" s="1" t="str">
        <f ca="1">IFERROR(__xludf.DUMMYFUNCTION("""COMPUTED_VALUE"""),"Audiobook : परिवार निर्माण के स्वर्णिम सूत्र : Rare Book : mauryaavni17@gmail.com : Recorded")</f>
        <v>Audiobook : परिवार निर्माण के स्वर्णिम सूत्र : Rare Book : mauryaavni17@gmail.com : Recorded</v>
      </c>
      <c r="CF1074" s="1" t="str">
        <f ca="1">IFERROR(__xludf.DUMMYFUNCTION("""COMPUTED_VALUE"""),"#N/A")</f>
        <v>#N/A</v>
      </c>
      <c r="CG1074" s="1" t="str">
        <f ca="1">IFERROR(__xludf.DUMMYFUNCTION("""COMPUTED_VALUE"""),"Adarniya Chhaya Maurya ji परिवार निर्माण के स्वर्णिम सूत्र : Rare Book : Allocated on 26-Mar-23 Contact Number  9170888308")</f>
        <v>Adarniya Chhaya Maurya ji परिवार निर्माण के स्वर्णिम सूत्र : Rare Book : Allocated on 26-Mar-23 Contact Number  9170888308</v>
      </c>
      <c r="CH1074" s="1"/>
      <c r="CI1074" s="1"/>
    </row>
    <row r="1075" spans="1:87" x14ac:dyDescent="0.25">
      <c r="A1075" s="5">
        <f ca="1">IFERROR(__xludf.DUMMYFUNCTION("""COMPUTED_VALUE"""),45010.5642182986)</f>
        <v>45010.564218298598</v>
      </c>
      <c r="B1075" s="1" t="str">
        <f ca="1">IFERROR(__xludf.DUMMYFUNCTION("""COMPUTED_VALUE"""),"vandana15rastogi@gmail.com")</f>
        <v>vandana15rastogi@gmail.com</v>
      </c>
      <c r="C1075" s="1" t="str">
        <f ca="1">IFERROR(__xludf.DUMMYFUNCTION("""COMPUTED_VALUE"""),"Vandana Rastogi")</f>
        <v>Vandana Rastogi</v>
      </c>
      <c r="D1075" s="1">
        <f ca="1">IFERROR(__xludf.DUMMYFUNCTION("""COMPUTED_VALUE"""),9359528684)</f>
        <v>9359528684</v>
      </c>
      <c r="E1075" s="1" t="str">
        <f ca="1">IFERROR(__xludf.DUMMYFUNCTION("""COMPUTED_VALUE"""),"Yes")</f>
        <v>Yes</v>
      </c>
      <c r="F1075" s="1" t="str">
        <f ca="1">IFERROR(__xludf.DUMMYFUNCTION("""COMPUTED_VALUE"""),"हिन्दी")</f>
        <v>हिन्दी</v>
      </c>
      <c r="G1075" s="1" t="str">
        <f ca="1">IFERROR(__xludf.DUMMYFUNCTION("""COMPUTED_VALUE"""),"समग्र स्वास्थ्य")</f>
        <v>समग्र स्वास्थ्य</v>
      </c>
      <c r="H1075" s="1"/>
      <c r="I1075" s="1"/>
      <c r="J1075" s="1"/>
      <c r="K1075" s="1"/>
      <c r="L1075" s="1"/>
      <c r="M1075" s="1"/>
      <c r="N1075" s="1"/>
      <c r="O1075" s="1"/>
      <c r="P1075" s="1"/>
      <c r="Q1075" s="1"/>
      <c r="R1075" s="1"/>
      <c r="S1075" s="1"/>
      <c r="T1075" s="1"/>
      <c r="U1075" s="1" t="str">
        <f ca="1">IFERROR(__xludf.DUMMYFUNCTION("""COMPUTED_VALUE"""),"आहार-विहार एवं उपवास")</f>
        <v>आहार-विहार एवं उपवास</v>
      </c>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f ca="1">IFERROR(__xludf.DUMMYFUNCTION("""COMPUTED_VALUE"""),33)</f>
        <v>33</v>
      </c>
      <c r="BX1075" s="1">
        <f ca="1">IFERROR(__xludf.DUMMYFUNCTION("""COMPUTED_VALUE"""),19)</f>
        <v>19</v>
      </c>
      <c r="BY1075" s="1">
        <f ca="1">IFERROR(__xludf.DUMMYFUNCTION("""COMPUTED_VALUE"""),17)</f>
        <v>17</v>
      </c>
      <c r="BZ1075" s="1">
        <f ca="1">IFERROR(__xludf.DUMMYFUNCTION("""COMPUTED_VALUE"""),14)</f>
        <v>14</v>
      </c>
      <c r="CA1075" s="1" t="str">
        <f ca="1">IFERROR(__xludf.DUMMYFUNCTION("""COMPUTED_VALUE"""),"Yes")</f>
        <v>Yes</v>
      </c>
      <c r="CB1075" s="5">
        <f ca="1">IFERROR(__xludf.DUMMYFUNCTION("""COMPUTED_VALUE"""),45020.5642182986)</f>
        <v>45020.564218298598</v>
      </c>
      <c r="CC1075" s="1" t="str">
        <f ca="1">IFERROR(__xludf.DUMMYFUNCTION("""COMPUTED_VALUE"""),"चिन्ता रुपी चिता में जलकर अपनी क्षमतायें नष्ट न करें : Rare Book")</f>
        <v>चिन्ता रुपी चिता में जलकर अपनी क्षमतायें नष्ट न करें : Rare Book</v>
      </c>
      <c r="CD1075" s="3" t="str">
        <f ca="1">IFERROR(__xludf.DUMMYFUNCTION("""COMPUTED_VALUE"""),"https://vicharkrantibooks.org/productdetail?book_name=HINP0194_CHINTA_RUPI_CHITA_MEIN_JALAKAR_APANI_KSHAMATAYEN_NASHT_NA_KAREN_xx1982&amp;product_id=759")</f>
        <v>https://vicharkrantibooks.org/productdetail?book_name=HINP0194_CHINTA_RUPI_CHITA_MEIN_JALAKAR_APANI_KSHAMATAYEN_NASHT_NA_KAREN_xx1982&amp;product_id=759</v>
      </c>
      <c r="CE1075" s="1" t="str">
        <f ca="1">IFERROR(__xludf.DUMMYFUNCTION("""COMPUTED_VALUE"""),"Audiobook : चिन्ता रुपी चिता में जलकर अपनी क्षमतायें नष्ट न करें : Rare Book : vandana15rastogi@gmail.com : Recorded")</f>
        <v>Audiobook : चिन्ता रुपी चिता में जलकर अपनी क्षमतायें नष्ट न करें : Rare Book : vandana15rastogi@gmail.com : Recorded</v>
      </c>
      <c r="CF1075" s="1" t="str">
        <f ca="1">IFERROR(__xludf.DUMMYFUNCTION("""COMPUTED_VALUE"""),"#N/A")</f>
        <v>#N/A</v>
      </c>
      <c r="CG1075" s="1" t="str">
        <f ca="1">IFERROR(__xludf.DUMMYFUNCTION("""COMPUTED_VALUE"""),"Adarniya Vandana Rastogi ji चिन्ता रुपी चिता में जलकर अपनी क्षमतायें नष्ट न करें : Rare Book : Allocated on 25-Mar-23 Contact Number  9359528684")</f>
        <v>Adarniya Vandana Rastogi ji चिन्ता रुपी चिता में जलकर अपनी क्षमतायें नष्ट न करें : Rare Book : Allocated on 25-Mar-23 Contact Number  9359528684</v>
      </c>
      <c r="CH1075" s="1"/>
      <c r="CI1075" s="1"/>
    </row>
    <row r="1076" spans="1:87" x14ac:dyDescent="0.25">
      <c r="A1076" s="5">
        <f ca="1">IFERROR(__xludf.DUMMYFUNCTION("""COMPUTED_VALUE"""),45009.6501637152)</f>
        <v>45009.650163715203</v>
      </c>
      <c r="B1076" s="1" t="str">
        <f ca="1">IFERROR(__xludf.DUMMYFUNCTION("""COMPUTED_VALUE"""),"priyanshu.dsvv@gmail.com")</f>
        <v>priyanshu.dsvv@gmail.com</v>
      </c>
      <c r="C1076" s="1" t="str">
        <f ca="1">IFERROR(__xludf.DUMMYFUNCTION("""COMPUTED_VALUE"""),"Indu saxena")</f>
        <v>Indu saxena</v>
      </c>
      <c r="D1076" s="1">
        <f ca="1">IFERROR(__xludf.DUMMYFUNCTION("""COMPUTED_VALUE"""),7692077781)</f>
        <v>7692077781</v>
      </c>
      <c r="E1076" s="1" t="str">
        <f ca="1">IFERROR(__xludf.DUMMYFUNCTION("""COMPUTED_VALUE"""),"Not Relevant")</f>
        <v>Not Relevant</v>
      </c>
      <c r="F1076" s="1" t="str">
        <f ca="1">IFERROR(__xludf.DUMMYFUNCTION("""COMPUTED_VALUE"""),"हिन्दी or English")</f>
        <v>हिन्दी or English</v>
      </c>
      <c r="G1076" s="1" t="str">
        <f ca="1">IFERROR(__xludf.DUMMYFUNCTION("""COMPUTED_VALUE"""),"जीवन प्रबंध")</f>
        <v>जीवन प्रबंध</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f ca="1">IFERROR(__xludf.DUMMYFUNCTION("""COMPUTED_VALUE"""),2)</f>
        <v>2</v>
      </c>
      <c r="BX1076" s="1">
        <f ca="1">IFERROR(__xludf.DUMMYFUNCTION("""COMPUTED_VALUE"""),0)</f>
        <v>0</v>
      </c>
      <c r="BY1076" s="1">
        <f ca="1">IFERROR(__xludf.DUMMYFUNCTION("""COMPUTED_VALUE"""),2)</f>
        <v>2</v>
      </c>
      <c r="BZ1076" s="1">
        <f ca="1">IFERROR(__xludf.DUMMYFUNCTION("""COMPUTED_VALUE"""),0)</f>
        <v>0</v>
      </c>
      <c r="CA1076" s="1" t="str">
        <f ca="1">IFERROR(__xludf.DUMMYFUNCTION("""COMPUTED_VALUE"""),"Yes")</f>
        <v>Yes</v>
      </c>
      <c r="CB1076" s="5">
        <f ca="1">IFERROR(__xludf.DUMMYFUNCTION("""COMPUTED_VALUE"""),45019.6501637152)</f>
        <v>45019.650163715203</v>
      </c>
      <c r="CC1076" s="1" t="str">
        <f ca="1">IFERROR(__xludf.DUMMYFUNCTION("""COMPUTED_VALUE"""),"जीवन साधना करें देवता बनें : H_JS_55")</f>
        <v>जीवन साधना करें देवता बनें : H_JS_55</v>
      </c>
      <c r="CD1076" s="3" t="str">
        <f ca="1">IFERROR(__xludf.DUMMYFUNCTION("""COMPUTED_VALUE"""),"https://vicharkrantibooks.org/productdetail?book_name=HINP0393_JIVAN_SADHANA_KAREN_DEVATA_BANEN_xx2011&amp;product_id=958")</f>
        <v>https://vicharkrantibooks.org/productdetail?book_name=HINP0393_JIVAN_SADHANA_KAREN_DEVATA_BANEN_xx2011&amp;product_id=958</v>
      </c>
      <c r="CE1076" s="1" t="str">
        <f ca="1">IFERROR(__xludf.DUMMYFUNCTION("""COMPUTED_VALUE"""),"Audiobook : जीवन साधना करें देवता बनें : H_JS_55 : priyanshu.dsvv@gmail.com : Recorded")</f>
        <v>Audiobook : जीवन साधना करें देवता बनें : H_JS_55 : priyanshu.dsvv@gmail.com : Recorded</v>
      </c>
      <c r="CF1076" s="1" t="str">
        <f ca="1">IFERROR(__xludf.DUMMYFUNCTION("""COMPUTED_VALUE"""),"#N/A")</f>
        <v>#N/A</v>
      </c>
      <c r="CG1076" s="1" t="str">
        <f ca="1">IFERROR(__xludf.DUMMYFUNCTION("""COMPUTED_VALUE"""),"Adarniya Indu saxena ji जीवन साधना करें देवता बनें : H_JS_55 : Allocated on 24-Mar-23 Contact Number  7692077781")</f>
        <v>Adarniya Indu saxena ji जीवन साधना करें देवता बनें : H_JS_55 : Allocated on 24-Mar-23 Contact Number  7692077781</v>
      </c>
      <c r="CH1076" s="1"/>
      <c r="CI1076" s="1"/>
    </row>
    <row r="1077" spans="1:87" x14ac:dyDescent="0.25">
      <c r="A1077" s="5">
        <f ca="1">IFERROR(__xludf.DUMMYFUNCTION("""COMPUTED_VALUE"""),45009.4176585995)</f>
        <v>45009.417658599501</v>
      </c>
      <c r="B1077" s="1" t="str">
        <f ca="1">IFERROR(__xludf.DUMMYFUNCTION("""COMPUTED_VALUE"""),"nksaxena.yoga@gmail.com")</f>
        <v>nksaxena.yoga@gmail.com</v>
      </c>
      <c r="C1077" s="1" t="str">
        <f ca="1">IFERROR(__xludf.DUMMYFUNCTION("""COMPUTED_VALUE"""),"Narendra Kumar Saxena")</f>
        <v>Narendra Kumar Saxena</v>
      </c>
      <c r="D1077" s="1">
        <f ca="1">IFERROR(__xludf.DUMMYFUNCTION("""COMPUTED_VALUE"""),8826499188)</f>
        <v>8826499188</v>
      </c>
      <c r="E1077" s="1" t="str">
        <f ca="1">IFERROR(__xludf.DUMMYFUNCTION("""COMPUTED_VALUE"""),"Yes")</f>
        <v>Yes</v>
      </c>
      <c r="F1077" s="1" t="str">
        <f ca="1">IFERROR(__xludf.DUMMYFUNCTION("""COMPUTED_VALUE"""),"हिन्दी")</f>
        <v>हिन्दी</v>
      </c>
      <c r="G1077" s="1" t="str">
        <f ca="1">IFERROR(__xludf.DUMMYFUNCTION("""COMPUTED_VALUE"""),"समग्र स्वास्थ्य")</f>
        <v>समग्र स्वास्थ्य</v>
      </c>
      <c r="H1077" s="1"/>
      <c r="I1077" s="1"/>
      <c r="J1077" s="1"/>
      <c r="K1077" s="1"/>
      <c r="L1077" s="1"/>
      <c r="M1077" s="1"/>
      <c r="N1077" s="1"/>
      <c r="O1077" s="1"/>
      <c r="P1077" s="1"/>
      <c r="Q1077" s="1"/>
      <c r="R1077" s="1"/>
      <c r="S1077" s="1"/>
      <c r="T1077" s="1"/>
      <c r="U1077" s="1" t="str">
        <f ca="1">IFERROR(__xludf.DUMMYFUNCTION("""COMPUTED_VALUE"""),"आहार-विहार एवं उपवास")</f>
        <v>आहार-विहार एवं उपवास</v>
      </c>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f ca="1">IFERROR(__xludf.DUMMYFUNCTION("""COMPUTED_VALUE"""),29)</f>
        <v>29</v>
      </c>
      <c r="BX1077" s="1">
        <f ca="1">IFERROR(__xludf.DUMMYFUNCTION("""COMPUTED_VALUE"""),30)</f>
        <v>30</v>
      </c>
      <c r="BY1077" s="1">
        <f ca="1">IFERROR(__xludf.DUMMYFUNCTION("""COMPUTED_VALUE"""),3)</f>
        <v>3</v>
      </c>
      <c r="BZ1077" s="1">
        <f ca="1">IFERROR(__xludf.DUMMYFUNCTION("""COMPUTED_VALUE"""),25)</f>
        <v>25</v>
      </c>
      <c r="CA1077" s="1" t="str">
        <f ca="1">IFERROR(__xludf.DUMMYFUNCTION("""COMPUTED_VALUE"""),"Yes")</f>
        <v>Yes</v>
      </c>
      <c r="CB1077" s="5">
        <f ca="1">IFERROR(__xludf.DUMMYFUNCTION("""COMPUTED_VALUE"""),45019.4176585995)</f>
        <v>45019.417658599501</v>
      </c>
      <c r="CC1077" s="1" t="str">
        <f ca="1">IFERROR(__xludf.DUMMYFUNCTION("""COMPUTED_VALUE"""),"गोमूत्र से रोग दूर करिए : Rare Book")</f>
        <v>गोमूत्र से रोग दूर करिए : Rare Book</v>
      </c>
      <c r="CD1077" s="3" t="str">
        <f ca="1">IFERROR(__xludf.DUMMYFUNCTION("""COMPUTED_VALUE"""),"https://vicharkrantibooks.org/productdetail?book_name=HINP0309_GOMUTR_SE_ROG_DUR_KARIE_xxyyyy&amp;product_id=874")</f>
        <v>https://vicharkrantibooks.org/productdetail?book_name=HINP0309_GOMUTR_SE_ROG_DUR_KARIE_xxyyyy&amp;product_id=874</v>
      </c>
      <c r="CE1077" s="1" t="str">
        <f ca="1">IFERROR(__xludf.DUMMYFUNCTION("""COMPUTED_VALUE"""),"Audiobook : गोमूत्र से रोग दूर करिए : Rare Book : nksaxena.yoga@gmail.com : Recorded")</f>
        <v>Audiobook : गोमूत्र से रोग दूर करिए : Rare Book : nksaxena.yoga@gmail.com : Recorded</v>
      </c>
      <c r="CF1077" s="1" t="str">
        <f ca="1">IFERROR(__xludf.DUMMYFUNCTION("""COMPUTED_VALUE"""),"Audiobook : गोमूत्र से रोग दूर करिए : Rare Book : nksaxena.yoga@gmail.com : Recorded")</f>
        <v>Audiobook : गोमूत्र से रोग दूर करिए : Rare Book : nksaxena.yoga@gmail.com : Recorded</v>
      </c>
      <c r="CG1077" s="1" t="str">
        <f ca="1">IFERROR(__xludf.DUMMYFUNCTION("""COMPUTED_VALUE"""),"Adarniya Narendra Kumar Saxena ji गोमूत्र से रोग दूर करिए : Rare Book : Allocated on 24-Mar-23 Contact Number  8826499188")</f>
        <v>Adarniya Narendra Kumar Saxena ji गोमूत्र से रोग दूर करिए : Rare Book : Allocated on 24-Mar-23 Contact Number  8826499188</v>
      </c>
      <c r="CH1077" s="1"/>
      <c r="CI1077" s="1"/>
    </row>
    <row r="1078" spans="1:87" x14ac:dyDescent="0.25">
      <c r="A1078" s="5">
        <f ca="1">IFERROR(__xludf.DUMMYFUNCTION("""COMPUTED_VALUE"""),45008.9611043981)</f>
        <v>45008.961104398099</v>
      </c>
      <c r="B1078" s="1" t="str">
        <f ca="1">IFERROR(__xludf.DUMMYFUNCTION("""COMPUTED_VALUE"""),"csprasad108@gmail.com")</f>
        <v>csprasad108@gmail.com</v>
      </c>
      <c r="C1078" s="1" t="str">
        <f ca="1">IFERROR(__xludf.DUMMYFUNCTION("""COMPUTED_VALUE"""),"Kumkum prasad")</f>
        <v>Kumkum prasad</v>
      </c>
      <c r="D1078" s="1">
        <f ca="1">IFERROR(__xludf.DUMMYFUNCTION("""COMPUTED_VALUE"""),7978055621)</f>
        <v>7978055621</v>
      </c>
      <c r="E1078" s="1" t="str">
        <f ca="1">IFERROR(__xludf.DUMMYFUNCTION("""COMPUTED_VALUE"""),"Yes")</f>
        <v>Yes</v>
      </c>
      <c r="F1078" s="1" t="str">
        <f ca="1">IFERROR(__xludf.DUMMYFUNCTION("""COMPUTED_VALUE"""),"हिन्दी")</f>
        <v>हिन्दी</v>
      </c>
      <c r="G1078" s="1" t="str">
        <f ca="1">IFERROR(__xludf.DUMMYFUNCTION("""COMPUTED_VALUE"""),"संस्कार, कर्मकाण्ड, पाठ, पूजा, गीत-संगीत")</f>
        <v>संस्कार, कर्मकाण्ड, पाठ, पूजा, गीत-संगीत</v>
      </c>
      <c r="H1078" s="1"/>
      <c r="I1078" s="1"/>
      <c r="J1078" s="1"/>
      <c r="K1078" s="1"/>
      <c r="L1078" s="1"/>
      <c r="M1078" s="1"/>
      <c r="N1078" s="1"/>
      <c r="O1078" s="1"/>
      <c r="P1078" s="1"/>
      <c r="Q1078" s="1"/>
      <c r="R1078" s="1"/>
      <c r="S1078" s="1"/>
      <c r="T1078" s="1"/>
      <c r="U1078" s="1"/>
      <c r="V1078" s="1"/>
      <c r="W1078" s="1" t="str">
        <f ca="1">IFERROR(__xludf.DUMMYFUNCTION("""COMPUTED_VALUE"""),"पर्व-त्यौहार, कर्मकाण्ड")</f>
        <v>पर्व-त्यौहार, कर्मकाण्ड</v>
      </c>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t="str">
        <f ca="1">IFERROR(__xludf.DUMMYFUNCTION("""COMPUTED_VALUE"""),"कर्मकांड की प्रेरणाओं में छिपा अध्यात्म")</f>
        <v>कर्मकांड की प्रेरणाओं में छिपा अध्यात्म</v>
      </c>
      <c r="BH1078" s="1"/>
      <c r="BI1078" s="1"/>
      <c r="BJ1078" s="1"/>
      <c r="BK1078" s="1"/>
      <c r="BL1078" s="1"/>
      <c r="BM1078" s="1"/>
      <c r="BN1078" s="1"/>
      <c r="BO1078" s="1"/>
      <c r="BP1078" s="1"/>
      <c r="BQ1078" s="1"/>
      <c r="BR1078" s="1"/>
      <c r="BS1078" s="1"/>
      <c r="BT1078" s="1"/>
      <c r="BU1078" s="1"/>
      <c r="BV1078" s="1"/>
      <c r="BW1078" s="1">
        <f ca="1">IFERROR(__xludf.DUMMYFUNCTION("""COMPUTED_VALUE"""),52)</f>
        <v>52</v>
      </c>
      <c r="BX1078" s="1">
        <f ca="1">IFERROR(__xludf.DUMMYFUNCTION("""COMPUTED_VALUE"""),54)</f>
        <v>54</v>
      </c>
      <c r="BY1078" s="1">
        <f ca="1">IFERROR(__xludf.DUMMYFUNCTION("""COMPUTED_VALUE"""),3)</f>
        <v>3</v>
      </c>
      <c r="BZ1078" s="1">
        <f ca="1">IFERROR(__xludf.DUMMYFUNCTION("""COMPUTED_VALUE"""),24)</f>
        <v>24</v>
      </c>
      <c r="CA1078" s="1" t="str">
        <f ca="1">IFERROR(__xludf.DUMMYFUNCTION("""COMPUTED_VALUE"""),"Yes")</f>
        <v>Yes</v>
      </c>
      <c r="CB1078" s="5">
        <f ca="1">IFERROR(__xludf.DUMMYFUNCTION("""COMPUTED_VALUE"""),45018.9611043981)</f>
        <v>45018.961104398099</v>
      </c>
      <c r="CC1078" s="1" t="str">
        <f ca="1">IFERROR(__xludf.DUMMYFUNCTION("""COMPUTED_VALUE"""),"ईश्वरीय अनुदान और उसका सदुपयोग : Rare Book")</f>
        <v>ईश्वरीय अनुदान और उसका सदुपयोग : Rare Book</v>
      </c>
      <c r="CD1078" s="3" t="str">
        <f ca="1">IFERROR(__xludf.DUMMYFUNCTION("""COMPUTED_VALUE"""),"https://vicharkrantibooks.org/productdetail?book_name=HINP0366_ISHWARIY_ANUDAN_AUR_USAKA_SADUPAYOG_xx1981&amp;product_id=931")</f>
        <v>https://vicharkrantibooks.org/productdetail?book_name=HINP0366_ISHWARIY_ANUDAN_AUR_USAKA_SADUPAYOG_xx1981&amp;product_id=931</v>
      </c>
      <c r="CE1078" s="1" t="str">
        <f ca="1">IFERROR(__xludf.DUMMYFUNCTION("""COMPUTED_VALUE"""),"Audiobook : ईश्वरीय अनुदान और उसका सदुपयोग : Rare Book : csprasad108@gmail.com : Recorded")</f>
        <v>Audiobook : ईश्वरीय अनुदान और उसका सदुपयोग : Rare Book : csprasad108@gmail.com : Recorded</v>
      </c>
      <c r="CF1078" s="1" t="str">
        <f ca="1">IFERROR(__xludf.DUMMYFUNCTION("""COMPUTED_VALUE"""),"Audiobook : ईश्वरीय अनुदान और उसका सदुपयोग : Rare Book : csprasad108@gmail.com : Recorded")</f>
        <v>Audiobook : ईश्वरीय अनुदान और उसका सदुपयोग : Rare Book : csprasad108@gmail.com : Recorded</v>
      </c>
      <c r="CG1078" s="1" t="str">
        <f ca="1">IFERROR(__xludf.DUMMYFUNCTION("""COMPUTED_VALUE"""),"Adarniya Kumkum prasad ji ईश्वरीय अनुदान और उसका सदुपयोग : Rare Book : Allocated on 23-Mar-23 Contact Number  7978055621")</f>
        <v>Adarniya Kumkum prasad ji ईश्वरीय अनुदान और उसका सदुपयोग : Rare Book : Allocated on 23-Mar-23 Contact Number  7978055621</v>
      </c>
      <c r="CH1078" s="1"/>
      <c r="CI1078" s="1"/>
    </row>
    <row r="1079" spans="1:87" x14ac:dyDescent="0.25">
      <c r="A1079" s="5">
        <f ca="1">IFERROR(__xludf.DUMMYFUNCTION("""COMPUTED_VALUE"""),45008.8805841435)</f>
        <v>45008.880584143502</v>
      </c>
      <c r="B1079" s="1" t="str">
        <f ca="1">IFERROR(__xludf.DUMMYFUNCTION("""COMPUTED_VALUE"""),"rbbansalriya@gmail.com")</f>
        <v>rbbansalriya@gmail.com</v>
      </c>
      <c r="C1079" s="1" t="str">
        <f ca="1">IFERROR(__xludf.DUMMYFUNCTION("""COMPUTED_VALUE"""),"Riya bansal ")</f>
        <v xml:space="preserve">Riya bansal </v>
      </c>
      <c r="D1079" s="1">
        <f ca="1">IFERROR(__xludf.DUMMYFUNCTION("""COMPUTED_VALUE"""),9176361023)</f>
        <v>9176361023</v>
      </c>
      <c r="E1079" s="1" t="str">
        <f ca="1">IFERROR(__xludf.DUMMYFUNCTION("""COMPUTED_VALUE"""),"Yes")</f>
        <v>Yes</v>
      </c>
      <c r="F1079" s="1" t="str">
        <f ca="1">IFERROR(__xludf.DUMMYFUNCTION("""COMPUTED_VALUE"""),"हिन्दी")</f>
        <v>हिन्दी</v>
      </c>
      <c r="G1079" s="1" t="str">
        <f ca="1">IFERROR(__xludf.DUMMYFUNCTION("""COMPUTED_VALUE"""),"अध्यात्म, धर्म एवं दर्शन")</f>
        <v>अध्यात्म, धर्म एवं दर्शन</v>
      </c>
      <c r="H1079" s="1" t="str">
        <f ca="1">IFERROR(__xludf.DUMMYFUNCTION("""COMPUTED_VALUE"""),"अध्यात्म, धर्म एवं आस्तिकता")</f>
        <v>अध्यात्म, धर्म एवं आस्तिकता</v>
      </c>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f ca="1">IFERROR(__xludf.DUMMYFUNCTION("""COMPUTED_VALUE"""),54)</f>
        <v>54</v>
      </c>
      <c r="BX1079" s="1">
        <f ca="1">IFERROR(__xludf.DUMMYFUNCTION("""COMPUTED_VALUE"""),55)</f>
        <v>55</v>
      </c>
      <c r="BY1079" s="1">
        <f ca="1">IFERROR(__xludf.DUMMYFUNCTION("""COMPUTED_VALUE"""),9)</f>
        <v>9</v>
      </c>
      <c r="BZ1079" s="1">
        <f ca="1">IFERROR(__xludf.DUMMYFUNCTION("""COMPUTED_VALUE"""),43)</f>
        <v>43</v>
      </c>
      <c r="CA1079" s="1" t="str">
        <f ca="1">IFERROR(__xludf.DUMMYFUNCTION("""COMPUTED_VALUE"""),"Yes")</f>
        <v>Yes</v>
      </c>
      <c r="CB1079" s="5">
        <f ca="1">IFERROR(__xludf.DUMMYFUNCTION("""COMPUTED_VALUE"""),45018.8805841435)</f>
        <v>45018.880584143502</v>
      </c>
      <c r="CC1079" s="1" t="str">
        <f ca="1">IFERROR(__xludf.DUMMYFUNCTION("""COMPUTED_VALUE"""),"ईश्वर प्रेम अर्थात़् सद़्भावनायुक्त संवेदना : Rare Book")</f>
        <v>ईश्वर प्रेम अर्थात़् सद़्भावनायुक्त संवेदना : Rare Book</v>
      </c>
      <c r="CD1079" s="3" t="str">
        <f ca="1">IFERROR(__xludf.DUMMYFUNCTION("""COMPUTED_VALUE"""),"https://vicharkrantibooks.org/productdetail?book_name=HINP0365_ISHWAR_PREM_ARTHAT_SADABHAVNAYUKT_SAMVEDANA_xx1981&amp;product_id=930")</f>
        <v>https://vicharkrantibooks.org/productdetail?book_name=HINP0365_ISHWAR_PREM_ARTHAT_SADABHAVNAYUKT_SAMVEDANA_xx1981&amp;product_id=930</v>
      </c>
      <c r="CE1079" s="1" t="str">
        <f ca="1">IFERROR(__xludf.DUMMYFUNCTION("""COMPUTED_VALUE"""),"Audiobook : ईश्वर प्रेम अर्थात़् सद़्भावनायुक्त संवेदना : Rare Book : rbbansalriya@gmail.com : Recorded")</f>
        <v>Audiobook : ईश्वर प्रेम अर्थात़् सद़्भावनायुक्त संवेदना : Rare Book : rbbansalriya@gmail.com : Recorded</v>
      </c>
      <c r="CF1079" s="1" t="str">
        <f ca="1">IFERROR(__xludf.DUMMYFUNCTION("""COMPUTED_VALUE"""),"Audiobook : ईश्वर प्रेम अर्थात़् सद़्भावनायुक्त संवेदना : Rare Book : rbbansalriya@gmail.com : Recorded")</f>
        <v>Audiobook : ईश्वर प्रेम अर्थात़् सद़्भावनायुक्त संवेदना : Rare Book : rbbansalriya@gmail.com : Recorded</v>
      </c>
      <c r="CG1079" s="1" t="str">
        <f ca="1">IFERROR(__xludf.DUMMYFUNCTION("""COMPUTED_VALUE"""),"Adarniya Riya bansal  ji ईश्वर प्रेम अर्थात़् सद़्भावनायुक्त संवेदना : Rare Book : Allocated on 23-Mar-23 Contact Number  9176361023")</f>
        <v>Adarniya Riya bansal  ji ईश्वर प्रेम अर्थात़् सद़्भावनायुक्त संवेदना : Rare Book : Allocated on 23-Mar-23 Contact Number  9176361023</v>
      </c>
      <c r="CH1079" s="1"/>
      <c r="CI1079" s="1"/>
    </row>
    <row r="1080" spans="1:87" x14ac:dyDescent="0.25">
      <c r="A1080" s="5">
        <f ca="1">IFERROR(__xludf.DUMMYFUNCTION("""COMPUTED_VALUE"""),45008.6651678819)</f>
        <v>45008.665167881903</v>
      </c>
      <c r="B1080" s="1" t="str">
        <f ca="1">IFERROR(__xludf.DUMMYFUNCTION("""COMPUTED_VALUE"""),"neha.mishra.chd@gmail.com")</f>
        <v>neha.mishra.chd@gmail.com</v>
      </c>
      <c r="C1080" s="1" t="str">
        <f ca="1">IFERROR(__xludf.DUMMYFUNCTION("""COMPUTED_VALUE"""),"Neha Mishra")</f>
        <v>Neha Mishra</v>
      </c>
      <c r="D1080" s="1">
        <f ca="1">IFERROR(__xludf.DUMMYFUNCTION("""COMPUTED_VALUE"""),9877211652)</f>
        <v>9877211652</v>
      </c>
      <c r="E1080" s="1" t="str">
        <f ca="1">IFERROR(__xludf.DUMMYFUNCTION("""COMPUTED_VALUE"""),"Not Relevant")</f>
        <v>Not Relevant</v>
      </c>
      <c r="F1080" s="1" t="str">
        <f ca="1">IFERROR(__xludf.DUMMYFUNCTION("""COMPUTED_VALUE"""),"हिन्दी")</f>
        <v>हिन्दी</v>
      </c>
      <c r="G1080" s="1" t="str">
        <f ca="1">IFERROR(__xludf.DUMMYFUNCTION("""COMPUTED_VALUE"""),"वैज्ञानिक अध्यात्मवाद का प्रतिपादन")</f>
        <v>वैज्ञानिक अध्यात्मवाद का प्रतिपादन</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f ca="1">IFERROR(__xludf.DUMMYFUNCTION("""COMPUTED_VALUE"""),1)</f>
        <v>1</v>
      </c>
      <c r="BX1080" s="1">
        <f ca="1">IFERROR(__xludf.DUMMYFUNCTION("""COMPUTED_VALUE"""),0)</f>
        <v>0</v>
      </c>
      <c r="BY1080" s="1">
        <f ca="1">IFERROR(__xludf.DUMMYFUNCTION("""COMPUTED_VALUE"""),1)</f>
        <v>1</v>
      </c>
      <c r="BZ1080" s="1">
        <f ca="1">IFERROR(__xludf.DUMMYFUNCTION("""COMPUTED_VALUE"""),0)</f>
        <v>0</v>
      </c>
      <c r="CA1080" s="1" t="str">
        <f ca="1">IFERROR(__xludf.DUMMYFUNCTION("""COMPUTED_VALUE"""),"Yes")</f>
        <v>Yes</v>
      </c>
      <c r="CB1080" s="5">
        <f ca="1">IFERROR(__xludf.DUMMYFUNCTION("""COMPUTED_VALUE"""),45018.6651678819)</f>
        <v>45018.665167881903</v>
      </c>
      <c r="CC1080" s="1" t="str">
        <f ca="1">IFERROR(__xludf.DUMMYFUNCTION("""COMPUTED_VALUE"""),"विज्ञान और अध्यात्म परस्पर पूरक बनें : Rare Book")</f>
        <v>विज्ञान और अध्यात्म परस्पर पूरक बनें : Rare Book</v>
      </c>
      <c r="CD1080" s="3" t="str">
        <f ca="1">IFERROR(__xludf.DUMMYFUNCTION("""COMPUTED_VALUE"""),"https://vicharkrantibooks.org/productdetail?book_name=HINP0970_VIGYAN_AUR_ADHYATM_PARASPAR_PURAK_BANE_xx1982&amp;product_id=1535")</f>
        <v>https://vicharkrantibooks.org/productdetail?book_name=HINP0970_VIGYAN_AUR_ADHYATM_PARASPAR_PURAK_BANE_xx1982&amp;product_id=1535</v>
      </c>
      <c r="CE1080" s="1" t="str">
        <f ca="1">IFERROR(__xludf.DUMMYFUNCTION("""COMPUTED_VALUE"""),"Audiobook : विज्ञान और अध्यात्म परस्पर पूरक बनें : Rare Book : neha.mishra.chd@gmail.com : Recorded")</f>
        <v>Audiobook : विज्ञान और अध्यात्म परस्पर पूरक बनें : Rare Book : neha.mishra.chd@gmail.com : Recorded</v>
      </c>
      <c r="CF1080" s="1" t="str">
        <f ca="1">IFERROR(__xludf.DUMMYFUNCTION("""COMPUTED_VALUE"""),"#N/A")</f>
        <v>#N/A</v>
      </c>
      <c r="CG1080" s="1" t="str">
        <f ca="1">IFERROR(__xludf.DUMMYFUNCTION("""COMPUTED_VALUE"""),"Adarniya Neha Mishra ji विज्ञान और अध्यात्म परस्पर पूरक बनें : Rare Book : Allocated on 23-Mar-23 Contact Number  9877211652")</f>
        <v>Adarniya Neha Mishra ji विज्ञान और अध्यात्म परस्पर पूरक बनें : Rare Book : Allocated on 23-Mar-23 Contact Number  9877211652</v>
      </c>
      <c r="CH1080" s="1"/>
      <c r="CI1080" s="1"/>
    </row>
    <row r="1081" spans="1:87" x14ac:dyDescent="0.25">
      <c r="A1081" s="5">
        <f ca="1">IFERROR(__xludf.DUMMYFUNCTION("""COMPUTED_VALUE"""),45008.4520656018)</f>
        <v>45008.452065601799</v>
      </c>
      <c r="B1081" s="1" t="str">
        <f ca="1">IFERROR(__xludf.DUMMYFUNCTION("""COMPUTED_VALUE"""),"Naina.MIstry@awgpuk.org")</f>
        <v>Naina.MIstry@awgpuk.org</v>
      </c>
      <c r="C1081" s="1" t="str">
        <f ca="1">IFERROR(__xludf.DUMMYFUNCTION("""COMPUTED_VALUE"""),"Naina Mistry ")</f>
        <v xml:space="preserve">Naina Mistry </v>
      </c>
      <c r="D1081" s="1" t="str">
        <f ca="1">IFERROR(__xludf.DUMMYFUNCTION("""COMPUTED_VALUE"""),"07786996129")</f>
        <v>07786996129</v>
      </c>
      <c r="E1081" s="1" t="str">
        <f ca="1">IFERROR(__xludf.DUMMYFUNCTION("""COMPUTED_VALUE"""),"Yes")</f>
        <v>Yes</v>
      </c>
      <c r="F1081" s="1" t="str">
        <f ca="1">IFERROR(__xludf.DUMMYFUNCTION("""COMPUTED_VALUE"""),"English")</f>
        <v>English</v>
      </c>
      <c r="G1081" s="1" t="str">
        <f ca="1">IFERROR(__xludf.DUMMYFUNCTION("""COMPUTED_VALUE"""),"English")</f>
        <v>English</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f ca="1">IFERROR(__xludf.DUMMYFUNCTION("""COMPUTED_VALUE"""),6)</f>
        <v>6</v>
      </c>
      <c r="BX1081" s="1">
        <f ca="1">IFERROR(__xludf.DUMMYFUNCTION("""COMPUTED_VALUE"""),6)</f>
        <v>6</v>
      </c>
      <c r="BY1081" s="1">
        <f ca="1">IFERROR(__xludf.DUMMYFUNCTION("""COMPUTED_VALUE"""),2)</f>
        <v>2</v>
      </c>
      <c r="BZ1081" s="1">
        <f ca="1">IFERROR(__xludf.DUMMYFUNCTION("""COMPUTED_VALUE"""),3)</f>
        <v>3</v>
      </c>
      <c r="CA1081" s="1" t="str">
        <f ca="1">IFERROR(__xludf.DUMMYFUNCTION("""COMPUTED_VALUE"""),"Yes")</f>
        <v>Yes</v>
      </c>
      <c r="CB1081" s="5">
        <f ca="1">IFERROR(__xludf.DUMMYFUNCTION("""COMPUTED_VALUE"""),45018.4520656018)</f>
        <v>45018.452065601799</v>
      </c>
      <c r="CC1081" s="1" t="str">
        <f ca="1">IFERROR(__xludf.DUMMYFUNCTION("""COMPUTED_VALUE"""),"Satsang Will Strengthen Women Units : EP_120")</f>
        <v>Satsang Will Strengthen Women Units : EP_120</v>
      </c>
      <c r="CD1081" s="3" t="str">
        <f ca="1">IFERROR(__xludf.DUMMYFUNCTION("""COMPUTED_VALUE"""),"https://vicharkrantibooks.org/productdetail?book_name=ENGP0577_SATSANG_WILL_STRENGTHEN_WOMEN_UNITS_xxyyyy&amp;product_id=3505")</f>
        <v>https://vicharkrantibooks.org/productdetail?book_name=ENGP0577_SATSANG_WILL_STRENGTHEN_WOMEN_UNITS_xxyyyy&amp;product_id=3505</v>
      </c>
      <c r="CE1081" s="1" t="str">
        <f ca="1">IFERROR(__xludf.DUMMYFUNCTION("""COMPUTED_VALUE"""),"Audiobook : Satsang Will Strengthen Women Units : EP_120 : Naina.MIstry@awgpuk.org : Recorded")</f>
        <v>Audiobook : Satsang Will Strengthen Women Units : EP_120 : Naina.MIstry@awgpuk.org : Recorded</v>
      </c>
      <c r="CF1081" s="1" t="str">
        <f ca="1">IFERROR(__xludf.DUMMYFUNCTION("""COMPUTED_VALUE"""),"Audiobook : Satsang Will Strengthen Women Units : EP_120 : Naina.MIstry@awgpuk.org : Recorded")</f>
        <v>Audiobook : Satsang Will Strengthen Women Units : EP_120 : Naina.MIstry@awgpuk.org : Recorded</v>
      </c>
      <c r="CG1081" s="1" t="str">
        <f ca="1">IFERROR(__xludf.DUMMYFUNCTION("""COMPUTED_VALUE"""),"Adarniya Naina Mistry  ji Satsang Will Strengthen Women Units : EP_120 : Allocated on 23-Mar-23 Contact Number  07786996129")</f>
        <v>Adarniya Naina Mistry  ji Satsang Will Strengthen Women Units : EP_120 : Allocated on 23-Mar-23 Contact Number  07786996129</v>
      </c>
      <c r="CH1081" s="1"/>
      <c r="CI1081" s="1"/>
    </row>
    <row r="1082" spans="1:87" x14ac:dyDescent="0.25">
      <c r="A1082" s="5">
        <f ca="1">IFERROR(__xludf.DUMMYFUNCTION("""COMPUTED_VALUE"""),45006.4992930208)</f>
        <v>45006.499293020803</v>
      </c>
      <c r="B1082" s="1" t="str">
        <f ca="1">IFERROR(__xludf.DUMMYFUNCTION("""COMPUTED_VALUE"""),"jamunashukla17@gmail.com")</f>
        <v>jamunashukla17@gmail.com</v>
      </c>
      <c r="C1082" s="1" t="str">
        <f ca="1">IFERROR(__xludf.DUMMYFUNCTION("""COMPUTED_VALUE"""),"Smt Jamuna S Shukla ")</f>
        <v xml:space="preserve">Smt Jamuna S Shukla </v>
      </c>
      <c r="D1082" s="1">
        <f ca="1">IFERROR(__xludf.DUMMYFUNCTION("""COMPUTED_VALUE"""),8390353167)</f>
        <v>8390353167</v>
      </c>
      <c r="E1082" s="1" t="str">
        <f ca="1">IFERROR(__xludf.DUMMYFUNCTION("""COMPUTED_VALUE"""),"Yes")</f>
        <v>Yes</v>
      </c>
      <c r="F1082" s="1" t="str">
        <f ca="1">IFERROR(__xludf.DUMMYFUNCTION("""COMPUTED_VALUE"""),"हिन्दी")</f>
        <v>हिन्दी</v>
      </c>
      <c r="G1082" s="1" t="str">
        <f ca="1">IFERROR(__xludf.DUMMYFUNCTION("""COMPUTED_VALUE"""),"अध्यात्म, धर्म एवं दर्शन")</f>
        <v>अध्यात्म, धर्म एवं दर्शन</v>
      </c>
      <c r="H1082" s="1" t="str">
        <f ca="1">IFERROR(__xludf.DUMMYFUNCTION("""COMPUTED_VALUE"""),"उपासना")</f>
        <v>उपासना</v>
      </c>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f ca="1">IFERROR(__xludf.DUMMYFUNCTION("""COMPUTED_VALUE"""),53)</f>
        <v>53</v>
      </c>
      <c r="BX1082" s="1">
        <f ca="1">IFERROR(__xludf.DUMMYFUNCTION("""COMPUTED_VALUE"""),53)</f>
        <v>53</v>
      </c>
      <c r="BY1082" s="1">
        <f ca="1">IFERROR(__xludf.DUMMYFUNCTION("""COMPUTED_VALUE"""),9)</f>
        <v>9</v>
      </c>
      <c r="BZ1082" s="1">
        <f ca="1">IFERROR(__xludf.DUMMYFUNCTION("""COMPUTED_VALUE"""),25)</f>
        <v>25</v>
      </c>
      <c r="CA1082" s="1" t="str">
        <f ca="1">IFERROR(__xludf.DUMMYFUNCTION("""COMPUTED_VALUE"""),"Yes")</f>
        <v>Yes</v>
      </c>
      <c r="CB1082" s="5">
        <f ca="1">IFERROR(__xludf.DUMMYFUNCTION("""COMPUTED_VALUE"""),45016.4992930208)</f>
        <v>45016.499293020803</v>
      </c>
      <c r="CC1082" s="1" t="str">
        <f ca="1">IFERROR(__xludf.DUMMYFUNCTION("""COMPUTED_VALUE"""),"धरती पर स्वर्ग एक कल्पना नहीं सत्य : Rare Book")</f>
        <v>धरती पर स्वर्ग एक कल्पना नहीं सत्य : Rare Book</v>
      </c>
      <c r="CD1082" s="3" t="str">
        <f ca="1">IFERROR(__xludf.DUMMYFUNCTION("""COMPUTED_VALUE"""),"https://vicharkrantibooks.org/productdetail?book_name=HINP0227_DHARATI_PAR_SWARG_EK_KALPANA_NAHI_SATY_xx1982&amp;product_id=792")</f>
        <v>https://vicharkrantibooks.org/productdetail?book_name=HINP0227_DHARATI_PAR_SWARG_EK_KALPANA_NAHI_SATY_xx1982&amp;product_id=792</v>
      </c>
      <c r="CE1082" s="1" t="str">
        <f ca="1">IFERROR(__xludf.DUMMYFUNCTION("""COMPUTED_VALUE"""),"Audiobook : धरती पर स्वर्ग एक कल्पना नहीं सत्य : Rare Book : jamunashukla17@gmail.com : Recorded")</f>
        <v>Audiobook : धरती पर स्वर्ग एक कल्पना नहीं सत्य : Rare Book : jamunashukla17@gmail.com : Recorded</v>
      </c>
      <c r="CF1082" s="1" t="str">
        <f ca="1">IFERROR(__xludf.DUMMYFUNCTION("""COMPUTED_VALUE"""),"Audiobook : धरती पर स्वर्ग एक कल्पना नहीं सत्य : Rare Book : jamunashukla17@gmail.com : Recorded")</f>
        <v>Audiobook : धरती पर स्वर्ग एक कल्पना नहीं सत्य : Rare Book : jamunashukla17@gmail.com : Recorded</v>
      </c>
      <c r="CG1082" s="1" t="str">
        <f ca="1">IFERROR(__xludf.DUMMYFUNCTION("""COMPUTED_VALUE"""),"Adarniya Smt Jamuna S Shukla  ji धरती पर स्वर्ग एक कल्पना नहीं सत्य : Rare Book : Allocated on 21-Mar-23 Contact Number  8390353167")</f>
        <v>Adarniya Smt Jamuna S Shukla  ji धरती पर स्वर्ग एक कल्पना नहीं सत्य : Rare Book : Allocated on 21-Mar-23 Contact Number  8390353167</v>
      </c>
      <c r="CH1082" s="1"/>
      <c r="CI1082" s="1"/>
    </row>
    <row r="1083" spans="1:87" x14ac:dyDescent="0.25">
      <c r="A1083" s="5">
        <f ca="1">IFERROR(__xludf.DUMMYFUNCTION("""COMPUTED_VALUE"""),45006.3816312962)</f>
        <v>45006.381631296201</v>
      </c>
      <c r="B1083" s="1" t="str">
        <f ca="1">IFERROR(__xludf.DUMMYFUNCTION("""COMPUTED_VALUE"""),"daleshwary67@gmail.com")</f>
        <v>daleshwary67@gmail.com</v>
      </c>
      <c r="C1083" s="1" t="str">
        <f ca="1">IFERROR(__xludf.DUMMYFUNCTION("""COMPUTED_VALUE"""),"daleshwary sharma")</f>
        <v>daleshwary sharma</v>
      </c>
      <c r="D1083" s="1">
        <f ca="1">IFERROR(__xludf.DUMMYFUNCTION("""COMPUTED_VALUE"""),8587900034)</f>
        <v>8587900034</v>
      </c>
      <c r="E1083" s="1" t="str">
        <f ca="1">IFERROR(__xludf.DUMMYFUNCTION("""COMPUTED_VALUE"""),"No")</f>
        <v>No</v>
      </c>
      <c r="F1083" s="1" t="str">
        <f ca="1">IFERROR(__xludf.DUMMYFUNCTION("""COMPUTED_VALUE"""),"हिन्दी")</f>
        <v>हिन्दी</v>
      </c>
      <c r="G1083" s="1" t="str">
        <f ca="1">IFERROR(__xludf.DUMMYFUNCTION("""COMPUTED_VALUE"""),"युग परिवर्तन-विचार क्रांति")</f>
        <v>युग परिवर्तन-विचार क्रांति</v>
      </c>
      <c r="H1083" s="1"/>
      <c r="I1083" s="1"/>
      <c r="J1083" s="1"/>
      <c r="K1083" s="1"/>
      <c r="L1083" s="1"/>
      <c r="M1083" s="1"/>
      <c r="N1083" s="1"/>
      <c r="O1083" s="1"/>
      <c r="P1083" s="1"/>
      <c r="Q1083" s="1" t="str">
        <f ca="1">IFERROR(__xludf.DUMMYFUNCTION("""COMPUTED_VALUE"""),"ज्ञानयज्ञ")</f>
        <v>ज्ञानयज्ञ</v>
      </c>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f ca="1">IFERROR(__xludf.DUMMYFUNCTION("""COMPUTED_VALUE"""),15)</f>
        <v>15</v>
      </c>
      <c r="BX1083" s="1">
        <f ca="1">IFERROR(__xludf.DUMMYFUNCTION("""COMPUTED_VALUE"""),9)</f>
        <v>9</v>
      </c>
      <c r="BY1083" s="1">
        <f ca="1">IFERROR(__xludf.DUMMYFUNCTION("""COMPUTED_VALUE"""),5)</f>
        <v>5</v>
      </c>
      <c r="BZ1083" s="1">
        <f ca="1">IFERROR(__xludf.DUMMYFUNCTION("""COMPUTED_VALUE"""),5)</f>
        <v>5</v>
      </c>
      <c r="CA1083" s="1" t="str">
        <f ca="1">IFERROR(__xludf.DUMMYFUNCTION("""COMPUTED_VALUE"""),"Yes")</f>
        <v>Yes</v>
      </c>
      <c r="CB1083" s="5">
        <f ca="1">IFERROR(__xludf.DUMMYFUNCTION("""COMPUTED_VALUE"""),45016.3816312962)</f>
        <v>45016.381631296201</v>
      </c>
      <c r="CC1083" s="1" t="str">
        <f ca="1">IFERROR(__xludf.DUMMYFUNCTION("""COMPUTED_VALUE"""),"जो सोचें रचनात्मक सोचें : Rare Book")</f>
        <v>जो सोचें रचनात्मक सोचें : Rare Book</v>
      </c>
      <c r="CD1083" s="3" t="str">
        <f ca="1">IFERROR(__xludf.DUMMYFUNCTION("""COMPUTED_VALUE"""),"https://vicharkrantibooks.org/productdetail?book_name=HINP0404_JO_SOCHEN_RACHANATMAK_SOCHEN_xx1981&amp;product_id=969")</f>
        <v>https://vicharkrantibooks.org/productdetail?book_name=HINP0404_JO_SOCHEN_RACHANATMAK_SOCHEN_xx1981&amp;product_id=969</v>
      </c>
      <c r="CE1083" s="1" t="str">
        <f ca="1">IFERROR(__xludf.DUMMYFUNCTION("""COMPUTED_VALUE"""),"Audiobook : जो सोचें रचनात्मक सोचें : Rare Book : daleshwary67@gmail.com : Recorded")</f>
        <v>Audiobook : जो सोचें रचनात्मक सोचें : Rare Book : daleshwary67@gmail.com : Recorded</v>
      </c>
      <c r="CF1083" s="1" t="str">
        <f ca="1">IFERROR(__xludf.DUMMYFUNCTION("""COMPUTED_VALUE"""),"Audiobook : जो सोचें रचनात्मक सोचें : Rare Book : daleshwary67@gmail.com : Recorded")</f>
        <v>Audiobook : जो सोचें रचनात्मक सोचें : Rare Book : daleshwary67@gmail.com : Recorded</v>
      </c>
      <c r="CG1083" s="1" t="str">
        <f ca="1">IFERROR(__xludf.DUMMYFUNCTION("""COMPUTED_VALUE"""),"Adarniya daleshwary sharma ji जो सोचें रचनात्मक सोचें : Rare Book : Allocated on 21-Mar-23 Contact Number  8587900034")</f>
        <v>Adarniya daleshwary sharma ji जो सोचें रचनात्मक सोचें : Rare Book : Allocated on 21-Mar-23 Contact Number  8587900034</v>
      </c>
      <c r="CH1083" s="1"/>
      <c r="CI1083" s="1"/>
    </row>
    <row r="1084" spans="1:87" x14ac:dyDescent="0.25">
      <c r="A1084" s="5">
        <f ca="1">IFERROR(__xludf.DUMMYFUNCTION("""COMPUTED_VALUE"""),45006.1683522222)</f>
        <v>45006.168352222201</v>
      </c>
      <c r="B1084" s="1" t="str">
        <f ca="1">IFERROR(__xludf.DUMMYFUNCTION("""COMPUTED_VALUE"""),"sanjayneha1@yahoo.com")</f>
        <v>sanjayneha1@yahoo.com</v>
      </c>
      <c r="C1084" s="1" t="str">
        <f ca="1">IFERROR(__xludf.DUMMYFUNCTION("""COMPUTED_VALUE"""),"Neha Manocha")</f>
        <v>Neha Manocha</v>
      </c>
      <c r="D1084" s="1">
        <f ca="1">IFERROR(__xludf.DUMMYFUNCTION("""COMPUTED_VALUE"""),16174130446)</f>
        <v>16174130446</v>
      </c>
      <c r="E1084" s="1" t="str">
        <f ca="1">IFERROR(__xludf.DUMMYFUNCTION("""COMPUTED_VALUE"""),"Yes")</f>
        <v>Yes</v>
      </c>
      <c r="F1084" s="1" t="str">
        <f ca="1">IFERROR(__xludf.DUMMYFUNCTION("""COMPUTED_VALUE"""),"हिन्दी or English")</f>
        <v>हिन्दी or English</v>
      </c>
      <c r="G1084" s="1" t="str">
        <f ca="1">IFERROR(__xludf.DUMMYFUNCTION("""COMPUTED_VALUE"""),"युग द्रष्टा पं. श्रीराम शर्मा आचार्यजी")</f>
        <v>युग द्रष्टा पं. श्रीराम शर्मा आचार्यजी</v>
      </c>
      <c r="H1084" s="1"/>
      <c r="I1084" s="1"/>
      <c r="J1084" s="1"/>
      <c r="K1084" s="1"/>
      <c r="L1084" s="1"/>
      <c r="M1084" s="1"/>
      <c r="N1084" s="1"/>
      <c r="O1084" s="1"/>
      <c r="P1084" s="1" t="str">
        <f ca="1">IFERROR(__xludf.DUMMYFUNCTION("""COMPUTED_VALUE"""),"युगॠषी का जीवनदर्शन")</f>
        <v>युगॠषी का जीवनदर्शन</v>
      </c>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f ca="1">IFERROR(__xludf.DUMMYFUNCTION("""COMPUTED_VALUE"""),33)</f>
        <v>33</v>
      </c>
      <c r="BX1084" s="1">
        <f ca="1">IFERROR(__xludf.DUMMYFUNCTION("""COMPUTED_VALUE"""),40)</f>
        <v>40</v>
      </c>
      <c r="BY1084" s="1">
        <f ca="1">IFERROR(__xludf.DUMMYFUNCTION("""COMPUTED_VALUE"""),3)</f>
        <v>3</v>
      </c>
      <c r="BZ1084" s="1">
        <f ca="1">IFERROR(__xludf.DUMMYFUNCTION("""COMPUTED_VALUE"""),22)</f>
        <v>22</v>
      </c>
      <c r="CA1084" s="1" t="str">
        <f ca="1">IFERROR(__xludf.DUMMYFUNCTION("""COMPUTED_VALUE"""),"Yes")</f>
        <v>Yes</v>
      </c>
      <c r="CB1084" s="5">
        <f ca="1">IFERROR(__xludf.DUMMYFUNCTION("""COMPUTED_VALUE"""),45016.1683522222)</f>
        <v>45016.168352222201</v>
      </c>
      <c r="CC1084" s="1" t="str">
        <f ca="1">IFERROR(__xludf.DUMMYFUNCTION("""COMPUTED_VALUE"""),"Be Saved From Mental Tension : EP_60")</f>
        <v>Be Saved From Mental Tension : EP_60</v>
      </c>
      <c r="CD1084" s="3" t="str">
        <f ca="1">IFERROR(__xludf.DUMMYFUNCTION("""COMPUTED_VALUE"""),"https://vicharkrantibooks.org/productdetail?book_name=ENGP0498_BE_SAVED_FROM_MENTAL_TENSION_xxyyyy&amp;product_id=3452")</f>
        <v>https://vicharkrantibooks.org/productdetail?book_name=ENGP0498_BE_SAVED_FROM_MENTAL_TENSION_xxyyyy&amp;product_id=3452</v>
      </c>
      <c r="CE1084" s="1" t="str">
        <f ca="1">IFERROR(__xludf.DUMMYFUNCTION("""COMPUTED_VALUE"""),"Audiobook : Be Saved From Mental Tension : EP_60 : sanjayneha1@yahoo.com : Recorded")</f>
        <v>Audiobook : Be Saved From Mental Tension : EP_60 : sanjayneha1@yahoo.com : Recorded</v>
      </c>
      <c r="CF1084" s="1" t="str">
        <f ca="1">IFERROR(__xludf.DUMMYFUNCTION("""COMPUTED_VALUE"""),"Audiobook : Be Saved From Mental Tension : EP_60 : sanjayneha1@yahoo.com : Recorded")</f>
        <v>Audiobook : Be Saved From Mental Tension : EP_60 : sanjayneha1@yahoo.com : Recorded</v>
      </c>
      <c r="CG1084" s="1" t="str">
        <f ca="1">IFERROR(__xludf.DUMMYFUNCTION("""COMPUTED_VALUE"""),"Adarniya Neha Manocha ji Be Saved From Mental Tension : EP_60 : Allocated on 21-Mar-23 Contact Number  16174130446")</f>
        <v>Adarniya Neha Manocha ji Be Saved From Mental Tension : EP_60 : Allocated on 21-Mar-23 Contact Number  16174130446</v>
      </c>
      <c r="CH1084" s="1"/>
      <c r="CI1084" s="1"/>
    </row>
    <row r="1085" spans="1:87" x14ac:dyDescent="0.25">
      <c r="A1085" s="5">
        <f ca="1">IFERROR(__xludf.DUMMYFUNCTION("""COMPUTED_VALUE"""),45005.6450017361)</f>
        <v>45005.645001736098</v>
      </c>
      <c r="B1085" s="1" t="str">
        <f ca="1">IFERROR(__xludf.DUMMYFUNCTION("""COMPUTED_VALUE"""),"kantigulbase88@gmail.com")</f>
        <v>kantigulbase88@gmail.com</v>
      </c>
      <c r="C1085" s="1" t="str">
        <f ca="1">IFERROR(__xludf.DUMMYFUNCTION("""COMPUTED_VALUE"""),"Kanti gulbase")</f>
        <v>Kanti gulbase</v>
      </c>
      <c r="D1085" s="1">
        <f ca="1">IFERROR(__xludf.DUMMYFUNCTION("""COMPUTED_VALUE"""),9977958792)</f>
        <v>9977958792</v>
      </c>
      <c r="E1085" s="1" t="str">
        <f ca="1">IFERROR(__xludf.DUMMYFUNCTION("""COMPUTED_VALUE"""),"Yes")</f>
        <v>Yes</v>
      </c>
      <c r="F1085" s="1" t="str">
        <f ca="1">IFERROR(__xludf.DUMMYFUNCTION("""COMPUTED_VALUE"""),"हिन्दी")</f>
        <v>हिन्दी</v>
      </c>
      <c r="G1085" s="1" t="str">
        <f ca="1">IFERROR(__xludf.DUMMYFUNCTION("""COMPUTED_VALUE"""),"व्यक्ति निर्माण, युवा/विद्यार्थी एवं शिक्षक")</f>
        <v>व्यक्ति निर्माण, युवा/विद्यार्थी एवं शिक्षक</v>
      </c>
      <c r="H1085" s="1"/>
      <c r="I1085" s="1"/>
      <c r="J1085" s="1"/>
      <c r="K1085" s="1"/>
      <c r="L1085" s="1"/>
      <c r="M1085" s="1"/>
      <c r="N1085" s="1"/>
      <c r="O1085" s="1"/>
      <c r="P1085" s="1"/>
      <c r="Q1085" s="1"/>
      <c r="R1085" s="1"/>
      <c r="S1085" s="1"/>
      <c r="T1085" s="1" t="str">
        <f ca="1">IFERROR(__xludf.DUMMYFUNCTION("""COMPUTED_VALUE"""),"व्यक्तित्व परिष्कार")</f>
        <v>व्यक्तित्व परिष्कार</v>
      </c>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f ca="1">IFERROR(__xludf.DUMMYFUNCTION("""COMPUTED_VALUE"""),1)</f>
        <v>1</v>
      </c>
      <c r="BX1085" s="1">
        <f ca="1">IFERROR(__xludf.DUMMYFUNCTION("""COMPUTED_VALUE"""),0)</f>
        <v>0</v>
      </c>
      <c r="BY1085" s="1">
        <f ca="1">IFERROR(__xludf.DUMMYFUNCTION("""COMPUTED_VALUE"""),1)</f>
        <v>1</v>
      </c>
      <c r="BZ1085" s="1">
        <f ca="1">IFERROR(__xludf.DUMMYFUNCTION("""COMPUTED_VALUE"""),0)</f>
        <v>0</v>
      </c>
      <c r="CA1085" s="1" t="str">
        <f ca="1">IFERROR(__xludf.DUMMYFUNCTION("""COMPUTED_VALUE"""),"Yes")</f>
        <v>Yes</v>
      </c>
      <c r="CB1085" s="5">
        <f ca="1">IFERROR(__xludf.DUMMYFUNCTION("""COMPUTED_VALUE"""),45015.6450017361)</f>
        <v>45015.645001736098</v>
      </c>
      <c r="CC1085" s="1" t="str">
        <f ca="1">IFERROR(__xludf.DUMMYFUNCTION("""COMPUTED_VALUE"""),"अश्लील चिन्तन का पतन गर्त : Rare Book")</f>
        <v>अश्लील चिन्तन का पतन गर्त : Rare Book</v>
      </c>
      <c r="CD1085" s="3" t="str">
        <f ca="1">IFERROR(__xludf.DUMMYFUNCTION("""COMPUTED_VALUE"""),"https://vicharkrantibooks.org/productdetail?book_name=HINP0074_ASHLIL_CHINTAN_KA_PATAN_GART_xx1978&amp;product_id=639")</f>
        <v>https://vicharkrantibooks.org/productdetail?book_name=HINP0074_ASHLIL_CHINTAN_KA_PATAN_GART_xx1978&amp;product_id=639</v>
      </c>
      <c r="CE1085" s="1" t="str">
        <f ca="1">IFERROR(__xludf.DUMMYFUNCTION("""COMPUTED_VALUE"""),"Audiobook : अश्लील चिन्तन का पतन गर्त : Rare Book : kantigulbase88@gmail.com : Recorded")</f>
        <v>Audiobook : अश्लील चिन्तन का पतन गर्त : Rare Book : kantigulbase88@gmail.com : Recorded</v>
      </c>
      <c r="CF1085" s="1" t="str">
        <f ca="1">IFERROR(__xludf.DUMMYFUNCTION("""COMPUTED_VALUE"""),"#N/A")</f>
        <v>#N/A</v>
      </c>
      <c r="CG1085" s="1" t="str">
        <f ca="1">IFERROR(__xludf.DUMMYFUNCTION("""COMPUTED_VALUE"""),"Adarniya Kanti gulbase ji अश्लील चिन्तन का पतन गर्त : Rare Book : Allocated on 20-Mar-23 Contact Number  9977958792")</f>
        <v>Adarniya Kanti gulbase ji अश्लील चिन्तन का पतन गर्त : Rare Book : Allocated on 20-Mar-23 Contact Number  9977958792</v>
      </c>
      <c r="CH1085" s="1"/>
      <c r="CI1085" s="1"/>
    </row>
    <row r="1086" spans="1:87" x14ac:dyDescent="0.25">
      <c r="A1086" s="5">
        <f ca="1">IFERROR(__xludf.DUMMYFUNCTION("""COMPUTED_VALUE"""),45005.3460945486)</f>
        <v>45005.3460945486</v>
      </c>
      <c r="B1086" s="1" t="str">
        <f ca="1">IFERROR(__xludf.DUMMYFUNCTION("""COMPUTED_VALUE"""),"druma4107@gmail.com")</f>
        <v>druma4107@gmail.com</v>
      </c>
      <c r="C1086" s="1" t="str">
        <f ca="1">IFERROR(__xludf.DUMMYFUNCTION("""COMPUTED_VALUE"""),"Dr Uma Agrawal")</f>
        <v>Dr Uma Agrawal</v>
      </c>
      <c r="D1086" s="1">
        <f ca="1">IFERROR(__xludf.DUMMYFUNCTION("""COMPUTED_VALUE"""),9410861182)</f>
        <v>9410861182</v>
      </c>
      <c r="E1086" s="1" t="str">
        <f ca="1">IFERROR(__xludf.DUMMYFUNCTION("""COMPUTED_VALUE"""),"Yes")</f>
        <v>Yes</v>
      </c>
      <c r="F1086" s="1" t="str">
        <f ca="1">IFERROR(__xludf.DUMMYFUNCTION("""COMPUTED_VALUE"""),"हिन्दी")</f>
        <v>हिन्दी</v>
      </c>
      <c r="G1086" s="1" t="str">
        <f ca="1">IFERROR(__xludf.DUMMYFUNCTION("""COMPUTED_VALUE"""),"समग्र स्वास्थ्य")</f>
        <v>समग्र स्वास्थ्य</v>
      </c>
      <c r="H1086" s="1"/>
      <c r="I1086" s="1"/>
      <c r="J1086" s="1"/>
      <c r="K1086" s="1"/>
      <c r="L1086" s="1"/>
      <c r="M1086" s="1"/>
      <c r="N1086" s="1"/>
      <c r="O1086" s="1"/>
      <c r="P1086" s="1"/>
      <c r="Q1086" s="1"/>
      <c r="R1086" s="1"/>
      <c r="S1086" s="1"/>
      <c r="T1086" s="1"/>
      <c r="U1086" s="1" t="str">
        <f ca="1">IFERROR(__xludf.DUMMYFUNCTION("""COMPUTED_VALUE"""),"स्वास्थ्य संवर्धन")</f>
        <v>स्वास्थ्य संवर्धन</v>
      </c>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f ca="1">IFERROR(__xludf.DUMMYFUNCTION("""COMPUTED_VALUE"""),104)</f>
        <v>104</v>
      </c>
      <c r="BX1086" s="1">
        <f ca="1">IFERROR(__xludf.DUMMYFUNCTION("""COMPUTED_VALUE"""),106)</f>
        <v>106</v>
      </c>
      <c r="BY1086" s="1">
        <f ca="1">IFERROR(__xludf.DUMMYFUNCTION("""COMPUTED_VALUE"""),9)</f>
        <v>9</v>
      </c>
      <c r="BZ1086" s="1">
        <f ca="1">IFERROR(__xludf.DUMMYFUNCTION("""COMPUTED_VALUE"""),43)</f>
        <v>43</v>
      </c>
      <c r="CA1086" s="1" t="str">
        <f ca="1">IFERROR(__xludf.DUMMYFUNCTION("""COMPUTED_VALUE"""),"Yes")</f>
        <v>Yes</v>
      </c>
      <c r="CB1086" s="5">
        <f ca="1">IFERROR(__xludf.DUMMYFUNCTION("""COMPUTED_VALUE"""),45015.3460945486)</f>
        <v>45015.3460945486</v>
      </c>
      <c r="CC1086" s="1" t="str">
        <f ca="1">IFERROR(__xludf.DUMMYFUNCTION("""COMPUTED_VALUE"""),"खिन्नता छोडें प्रसन्नता अपनायें : Rare Book")</f>
        <v>खिन्नता छोडें प्रसन्नता अपनायें : Rare Book</v>
      </c>
      <c r="CD1086" s="3" t="str">
        <f ca="1">IFERROR(__xludf.DUMMYFUNCTION("""COMPUTED_VALUE"""),"https://vicharkrantibooks.org/productdetail?book_name=HINP0439_KHINNATA_CHHODEN_PRASANNATA_APANAYEN_xx1982&amp;product_id=1004")</f>
        <v>https://vicharkrantibooks.org/productdetail?book_name=HINP0439_KHINNATA_CHHODEN_PRASANNATA_APANAYEN_xx1982&amp;product_id=1004</v>
      </c>
      <c r="CE1086" s="1" t="str">
        <f ca="1">IFERROR(__xludf.DUMMYFUNCTION("""COMPUTED_VALUE"""),"Audiobook : खिन्नता छोडें प्रसन्नता अपनायें : Rare Book : druma4107@gmail.com : Recorded")</f>
        <v>Audiobook : खिन्नता छोडें प्रसन्नता अपनायें : Rare Book : druma4107@gmail.com : Recorded</v>
      </c>
      <c r="CF1086" s="1" t="str">
        <f ca="1">IFERROR(__xludf.DUMMYFUNCTION("""COMPUTED_VALUE"""),"Audiobook : खिन्नता छोडें प्रसन्नता अपनायें : Rare Book : druma4107@gmail.com : Recorded")</f>
        <v>Audiobook : खिन्नता छोडें प्रसन्नता अपनायें : Rare Book : druma4107@gmail.com : Recorded</v>
      </c>
      <c r="CG1086" s="1" t="str">
        <f ca="1">IFERROR(__xludf.DUMMYFUNCTION("""COMPUTED_VALUE"""),"Adarniya Dr Uma Agrawal ji खिन्नता छोडें प्रसन्नता अपनायें : Rare Book : Allocated on 20-Mar-23 Contact Number  9410861182")</f>
        <v>Adarniya Dr Uma Agrawal ji खिन्नता छोडें प्रसन्नता अपनायें : Rare Book : Allocated on 20-Mar-23 Contact Number  9410861182</v>
      </c>
      <c r="CH1086" s="1"/>
      <c r="CI1086" s="1"/>
    </row>
    <row r="1087" spans="1:87" x14ac:dyDescent="0.25">
      <c r="A1087" s="5">
        <f ca="1">IFERROR(__xludf.DUMMYFUNCTION("""COMPUTED_VALUE"""),45004.6252652893)</f>
        <v>45004.625265289302</v>
      </c>
      <c r="B1087" s="1" t="str">
        <f ca="1">IFERROR(__xludf.DUMMYFUNCTION("""COMPUTED_VALUE"""),"rbbansalriya@gmail.com")</f>
        <v>rbbansalriya@gmail.com</v>
      </c>
      <c r="C1087" s="1" t="str">
        <f ca="1">IFERROR(__xludf.DUMMYFUNCTION("""COMPUTED_VALUE"""),"Riya bansal ")</f>
        <v xml:space="preserve">Riya bansal </v>
      </c>
      <c r="D1087" s="1">
        <f ca="1">IFERROR(__xludf.DUMMYFUNCTION("""COMPUTED_VALUE"""),9176361023)</f>
        <v>9176361023</v>
      </c>
      <c r="E1087" s="1" t="str">
        <f ca="1">IFERROR(__xludf.DUMMYFUNCTION("""COMPUTED_VALUE"""),"Yes")</f>
        <v>Yes</v>
      </c>
      <c r="F1087" s="1" t="str">
        <f ca="1">IFERROR(__xludf.DUMMYFUNCTION("""COMPUTED_VALUE"""),"हिन्दी")</f>
        <v>हिन्दी</v>
      </c>
      <c r="G1087" s="1" t="str">
        <f ca="1">IFERROR(__xludf.DUMMYFUNCTION("""COMPUTED_VALUE"""),"वैज्ञानिक अध्यात्मवाद का प्रतिपादन")</f>
        <v>वैज्ञानिक अध्यात्मवाद का प्रतिपादन</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f ca="1">IFERROR(__xludf.DUMMYFUNCTION("""COMPUTED_VALUE"""),54)</f>
        <v>54</v>
      </c>
      <c r="BX1087" s="1">
        <f ca="1">IFERROR(__xludf.DUMMYFUNCTION("""COMPUTED_VALUE"""),55)</f>
        <v>55</v>
      </c>
      <c r="BY1087" s="1">
        <f ca="1">IFERROR(__xludf.DUMMYFUNCTION("""COMPUTED_VALUE"""),9)</f>
        <v>9</v>
      </c>
      <c r="BZ1087" s="1">
        <f ca="1">IFERROR(__xludf.DUMMYFUNCTION("""COMPUTED_VALUE"""),43)</f>
        <v>43</v>
      </c>
      <c r="CA1087" s="1" t="str">
        <f ca="1">IFERROR(__xludf.DUMMYFUNCTION("""COMPUTED_VALUE"""),"Yes")</f>
        <v>Yes</v>
      </c>
      <c r="CB1087" s="5">
        <f ca="1">IFERROR(__xludf.DUMMYFUNCTION("""COMPUTED_VALUE"""),45014.6252652893)</f>
        <v>45014.625265289302</v>
      </c>
      <c r="CC1087" s="1" t="str">
        <f ca="1">IFERROR(__xludf.DUMMYFUNCTION("""COMPUTED_VALUE"""),"विज्ञान अध्यात्म विरोधी नहीं पूरक : Rare Book")</f>
        <v>विज्ञान अध्यात्म विरोधी नहीं पूरक : Rare Book</v>
      </c>
      <c r="CD1087" s="3" t="str">
        <f ca="1">IFERROR(__xludf.DUMMYFUNCTION("""COMPUTED_VALUE"""),"https://vicharkrantibooks.org/productdetail?book_name=HINP0969_VIGYAN_ADHYATM_VIRODHI_NAHIN_PURAK_xxyyyy&amp;product_id=1534")</f>
        <v>https://vicharkrantibooks.org/productdetail?book_name=HINP0969_VIGYAN_ADHYATM_VIRODHI_NAHIN_PURAK_xxyyyy&amp;product_id=1534</v>
      </c>
      <c r="CE1087" s="1" t="str">
        <f ca="1">IFERROR(__xludf.DUMMYFUNCTION("""COMPUTED_VALUE"""),"Audiobook : विज्ञान अध्यात्म विरोधी नहीं पूरक : Rare Book : rbbansalriya@gmail.com : Recorded")</f>
        <v>Audiobook : विज्ञान अध्यात्म विरोधी नहीं पूरक : Rare Book : rbbansalriya@gmail.com : Recorded</v>
      </c>
      <c r="CF1087" s="1" t="str">
        <f ca="1">IFERROR(__xludf.DUMMYFUNCTION("""COMPUTED_VALUE"""),"Audiobook : विज्ञान अध्यात्म विरोधी नहीं पूरक : Rare Book : rbbansalriya@gmail.com : Recorded")</f>
        <v>Audiobook : विज्ञान अध्यात्म विरोधी नहीं पूरक : Rare Book : rbbansalriya@gmail.com : Recorded</v>
      </c>
      <c r="CG1087" s="1" t="str">
        <f ca="1">IFERROR(__xludf.DUMMYFUNCTION("""COMPUTED_VALUE"""),"Adarniya Riya bansal  ji विज्ञान अध्यात्म विरोधी नहीं पूरक : Rare Book : Allocated on 19-Mar-23 Contact Number  9176361023")</f>
        <v>Adarniya Riya bansal  ji विज्ञान अध्यात्म विरोधी नहीं पूरक : Rare Book : Allocated on 19-Mar-23 Contact Number  9176361023</v>
      </c>
      <c r="CH1087" s="1"/>
      <c r="CI1087" s="1"/>
    </row>
    <row r="1088" spans="1:87" x14ac:dyDescent="0.25">
      <c r="A1088" s="5">
        <f ca="1">IFERROR(__xludf.DUMMYFUNCTION("""COMPUTED_VALUE"""),45004.5520963773)</f>
        <v>45004.552096377301</v>
      </c>
      <c r="B1088" s="1" t="str">
        <f ca="1">IFERROR(__xludf.DUMMYFUNCTION("""COMPUTED_VALUE"""),"rajnithakur9934@gmail.com")</f>
        <v>rajnithakur9934@gmail.com</v>
      </c>
      <c r="C1088" s="1" t="str">
        <f ca="1">IFERROR(__xludf.DUMMYFUNCTION("""COMPUTED_VALUE"""),"Rajni thakur ")</f>
        <v xml:space="preserve">Rajni thakur </v>
      </c>
      <c r="D1088" s="1">
        <f ca="1">IFERROR(__xludf.DUMMYFUNCTION("""COMPUTED_VALUE"""),6202048434)</f>
        <v>6202048434</v>
      </c>
      <c r="E1088" s="1" t="str">
        <f ca="1">IFERROR(__xludf.DUMMYFUNCTION("""COMPUTED_VALUE"""),"Yes")</f>
        <v>Yes</v>
      </c>
      <c r="F1088" s="1" t="str">
        <f ca="1">IFERROR(__xludf.DUMMYFUNCTION("""COMPUTED_VALUE"""),"हिन्दी")</f>
        <v>हिन्दी</v>
      </c>
      <c r="G1088" s="1" t="str">
        <f ca="1">IFERROR(__xludf.DUMMYFUNCTION("""COMPUTED_VALUE"""),"व्यक्ति निर्माण, युवा/विद्यार्थी एवं शिक्षक")</f>
        <v>व्यक्ति निर्माण, युवा/विद्यार्थी एवं शिक्षक</v>
      </c>
      <c r="H1088" s="1"/>
      <c r="I1088" s="1"/>
      <c r="J1088" s="1"/>
      <c r="K1088" s="1"/>
      <c r="L1088" s="1"/>
      <c r="M1088" s="1"/>
      <c r="N1088" s="1"/>
      <c r="O1088" s="1"/>
      <c r="P1088" s="1"/>
      <c r="Q1088" s="1"/>
      <c r="R1088" s="1"/>
      <c r="S1088" s="1"/>
      <c r="T1088" s="1" t="str">
        <f ca="1">IFERROR(__xludf.DUMMYFUNCTION("""COMPUTED_VALUE"""),"विद्यार्थी एवं शिक्षक")</f>
        <v>विद्यार्थी एवं शिक्षक</v>
      </c>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f ca="1">IFERROR(__xludf.DUMMYFUNCTION("""COMPUTED_VALUE"""),4)</f>
        <v>4</v>
      </c>
      <c r="BX1088" s="1">
        <f ca="1">IFERROR(__xludf.DUMMYFUNCTION("""COMPUTED_VALUE"""),1)</f>
        <v>1</v>
      </c>
      <c r="BY1088" s="1">
        <f ca="1">IFERROR(__xludf.DUMMYFUNCTION("""COMPUTED_VALUE"""),3)</f>
        <v>3</v>
      </c>
      <c r="BZ1088" s="1">
        <f ca="1">IFERROR(__xludf.DUMMYFUNCTION("""COMPUTED_VALUE"""),0)</f>
        <v>0</v>
      </c>
      <c r="CA1088" s="1" t="str">
        <f ca="1">IFERROR(__xludf.DUMMYFUNCTION("""COMPUTED_VALUE"""),"Yes")</f>
        <v>Yes</v>
      </c>
      <c r="CB1088" s="5">
        <f ca="1">IFERROR(__xludf.DUMMYFUNCTION("""COMPUTED_VALUE"""),45014.5520963773)</f>
        <v>45014.552096377301</v>
      </c>
      <c r="CC1088" s="1" t="str">
        <f ca="1">IFERROR(__xludf.DUMMYFUNCTION("""COMPUTED_VALUE"""),"अवरोधों के दो अनुदान साहस और पराक्रम : Rare Book")</f>
        <v>अवरोधों के दो अनुदान साहस और पराक्रम : Rare Book</v>
      </c>
      <c r="CD1088" s="3" t="str">
        <f ca="1">IFERROR(__xludf.DUMMYFUNCTION("""COMPUTED_VALUE"""),"https://vicharkrantibooks.org/productdetail?book_name=HINP0115_AVARODHON_KE_DO_ANUDAN_SAHAS_AUR_PARAKRAM_xx1981&amp;product_id=680")</f>
        <v>https://vicharkrantibooks.org/productdetail?book_name=HINP0115_AVARODHON_KE_DO_ANUDAN_SAHAS_AUR_PARAKRAM_xx1981&amp;product_id=680</v>
      </c>
      <c r="CE1088" s="1" t="str">
        <f ca="1">IFERROR(__xludf.DUMMYFUNCTION("""COMPUTED_VALUE"""),"Audiobook : अवरोधों के दो अनुदान साहस और पराक्रम : Rare Book : rajnithakur9934@gmail.com : Recorded")</f>
        <v>Audiobook : अवरोधों के दो अनुदान साहस और पराक्रम : Rare Book : rajnithakur9934@gmail.com : Recorded</v>
      </c>
      <c r="CF1088" s="1" t="str">
        <f ca="1">IFERROR(__xludf.DUMMYFUNCTION("""COMPUTED_VALUE"""),"#N/A")</f>
        <v>#N/A</v>
      </c>
      <c r="CG1088" s="1" t="str">
        <f ca="1">IFERROR(__xludf.DUMMYFUNCTION("""COMPUTED_VALUE"""),"Adarniya Rajni thakur  ji अवरोधों के दो अनुदान साहस और पराक्रम : Rare Book : Allocated on 19-Mar-23 Contact Number  6202048434")</f>
        <v>Adarniya Rajni thakur  ji अवरोधों के दो अनुदान साहस और पराक्रम : Rare Book : Allocated on 19-Mar-23 Contact Number  6202048434</v>
      </c>
      <c r="CH1088" s="1"/>
      <c r="CI1088" s="1"/>
    </row>
    <row r="1089" spans="1:87" x14ac:dyDescent="0.25">
      <c r="A1089" s="5">
        <f ca="1">IFERROR(__xludf.DUMMYFUNCTION("""COMPUTED_VALUE"""),45004.4932297106)</f>
        <v>45004.493229710599</v>
      </c>
      <c r="B1089" s="1" t="str">
        <f ca="1">IFERROR(__xludf.DUMMYFUNCTION("""COMPUTED_VALUE"""),"pragyapaliwal78@gmail.com")</f>
        <v>pragyapaliwal78@gmail.com</v>
      </c>
      <c r="C1089" s="1" t="str">
        <f ca="1">IFERROR(__xludf.DUMMYFUNCTION("""COMPUTED_VALUE"""),"Pragya paliwa ")</f>
        <v xml:space="preserve">Pragya paliwa </v>
      </c>
      <c r="D1089" s="1">
        <f ca="1">IFERROR(__xludf.DUMMYFUNCTION("""COMPUTED_VALUE"""),8696296388)</f>
        <v>8696296388</v>
      </c>
      <c r="E1089" s="1" t="str">
        <f ca="1">IFERROR(__xludf.DUMMYFUNCTION("""COMPUTED_VALUE"""),"No")</f>
        <v>No</v>
      </c>
      <c r="F1089" s="1" t="str">
        <f ca="1">IFERROR(__xludf.DUMMYFUNCTION("""COMPUTED_VALUE"""),"हिन्दी")</f>
        <v>हिन्दी</v>
      </c>
      <c r="G1089" s="1" t="str">
        <f ca="1">IFERROR(__xludf.DUMMYFUNCTION("""COMPUTED_VALUE"""),"वैज्ञानिक अध्यात्मवाद का प्रतिपादन")</f>
        <v>वैज्ञानिक अध्यात्मवाद का प्रतिपादन</v>
      </c>
      <c r="H1089" s="1"/>
      <c r="I1089" s="1"/>
      <c r="J1089" s="1"/>
      <c r="K1089" s="1"/>
      <c r="L1089" s="1"/>
      <c r="M1089" s="1"/>
      <c r="N1089" s="1"/>
      <c r="O1089" s="1"/>
      <c r="P1089" s="1"/>
      <c r="Q1089" s="1"/>
      <c r="R1089" s="1"/>
      <c r="S1089" s="1" t="str">
        <f ca="1">IFERROR(__xludf.DUMMYFUNCTION("""COMPUTED_VALUE"""),"वैज्ञानिक अध्यात्मवाद का प्रतिपादन")</f>
        <v>वैज्ञानिक अध्यात्मवाद का प्रतिपादन</v>
      </c>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f ca="1">IFERROR(__xludf.DUMMYFUNCTION("""COMPUTED_VALUE"""),11)</f>
        <v>11</v>
      </c>
      <c r="BX1089" s="1">
        <f ca="1">IFERROR(__xludf.DUMMYFUNCTION("""COMPUTED_VALUE"""),3)</f>
        <v>3</v>
      </c>
      <c r="BY1089" s="1">
        <f ca="1">IFERROR(__xludf.DUMMYFUNCTION("""COMPUTED_VALUE"""),8)</f>
        <v>8</v>
      </c>
      <c r="BZ1089" s="1">
        <f ca="1">IFERROR(__xludf.DUMMYFUNCTION("""COMPUTED_VALUE"""),0)</f>
        <v>0</v>
      </c>
      <c r="CA1089" s="1" t="str">
        <f ca="1">IFERROR(__xludf.DUMMYFUNCTION("""COMPUTED_VALUE"""),"Yes")</f>
        <v>Yes</v>
      </c>
      <c r="CB1089" s="5">
        <f ca="1">IFERROR(__xludf.DUMMYFUNCTION("""COMPUTED_VALUE"""),45014.4932297106)</f>
        <v>45014.493229710599</v>
      </c>
      <c r="CC1089" s="1" t="str">
        <f ca="1">IFERROR(__xludf.DUMMYFUNCTION("""COMPUTED_VALUE"""),"रंगो की शक्ति : Rare Book")</f>
        <v>रंगो की शक्ति : Rare Book</v>
      </c>
      <c r="CD1089" s="3" t="str">
        <f ca="1">IFERROR(__xludf.DUMMYFUNCTION("""COMPUTED_VALUE"""),"https://vicharkrantibooks.org/productdetail?book_name=HINP0700_RANGO_KI_SHAKTI_xxyyyy&amp;product_id=1265")</f>
        <v>https://vicharkrantibooks.org/productdetail?book_name=HINP0700_RANGO_KI_SHAKTI_xxyyyy&amp;product_id=1265</v>
      </c>
      <c r="CE1089" s="1" t="str">
        <f ca="1">IFERROR(__xludf.DUMMYFUNCTION("""COMPUTED_VALUE"""),"Audiobook : रंगो की शक्ति : Rare Book : pragyapaliwal78@gmail.com : Recorded")</f>
        <v>Audiobook : रंगो की शक्ति : Rare Book : pragyapaliwal78@gmail.com : Recorded</v>
      </c>
      <c r="CF1089" s="1" t="str">
        <f ca="1">IFERROR(__xludf.DUMMYFUNCTION("""COMPUTED_VALUE"""),"Audiobook : रंगो की शक्ति : Rare Book : pragyapaliwal78@gmail.com : Recorded")</f>
        <v>Audiobook : रंगो की शक्ति : Rare Book : pragyapaliwal78@gmail.com : Recorded</v>
      </c>
      <c r="CG1089" s="1" t="str">
        <f ca="1">IFERROR(__xludf.DUMMYFUNCTION("""COMPUTED_VALUE"""),"Adarniya Pragya paliwa  ji रंगो की शक्ति : Rare Book : Allocated on 19-Mar-23 Contact Number  8696296388")</f>
        <v>Adarniya Pragya paliwa  ji रंगो की शक्ति : Rare Book : Allocated on 19-Mar-23 Contact Number  8696296388</v>
      </c>
      <c r="CH1089" s="1"/>
      <c r="CI1089" s="1"/>
    </row>
    <row r="1090" spans="1:87" x14ac:dyDescent="0.25">
      <c r="A1090" s="5">
        <f ca="1">IFERROR(__xludf.DUMMYFUNCTION("""COMPUTED_VALUE"""),45003.7282930439)</f>
        <v>45003.728293043903</v>
      </c>
      <c r="B1090" s="1" t="str">
        <f ca="1">IFERROR(__xludf.DUMMYFUNCTION("""COMPUTED_VALUE"""),"rbbansalriya@gmail.com")</f>
        <v>rbbansalriya@gmail.com</v>
      </c>
      <c r="C1090" s="1" t="str">
        <f ca="1">IFERROR(__xludf.DUMMYFUNCTION("""COMPUTED_VALUE"""),"Riya bansal ")</f>
        <v xml:space="preserve">Riya bansal </v>
      </c>
      <c r="D1090" s="1">
        <f ca="1">IFERROR(__xludf.DUMMYFUNCTION("""COMPUTED_VALUE"""),9176361023)</f>
        <v>9176361023</v>
      </c>
      <c r="E1090" s="1" t="str">
        <f ca="1">IFERROR(__xludf.DUMMYFUNCTION("""COMPUTED_VALUE"""),"Yes")</f>
        <v>Yes</v>
      </c>
      <c r="F1090" s="1" t="str">
        <f ca="1">IFERROR(__xludf.DUMMYFUNCTION("""COMPUTED_VALUE"""),"हिन्दी")</f>
        <v>हिन्दी</v>
      </c>
      <c r="G1090" s="1" t="str">
        <f ca="1">IFERROR(__xludf.DUMMYFUNCTION("""COMPUTED_VALUE"""),"वैज्ञानिक अध्यात्मवाद का प्रतिपादन")</f>
        <v>वैज्ञानिक अध्यात्मवाद का प्रतिपादन</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f ca="1">IFERROR(__xludf.DUMMYFUNCTION("""COMPUTED_VALUE"""),54)</f>
        <v>54</v>
      </c>
      <c r="BX1090" s="1">
        <f ca="1">IFERROR(__xludf.DUMMYFUNCTION("""COMPUTED_VALUE"""),55)</f>
        <v>55</v>
      </c>
      <c r="BY1090" s="1">
        <f ca="1">IFERROR(__xludf.DUMMYFUNCTION("""COMPUTED_VALUE"""),9)</f>
        <v>9</v>
      </c>
      <c r="BZ1090" s="1">
        <f ca="1">IFERROR(__xludf.DUMMYFUNCTION("""COMPUTED_VALUE"""),43)</f>
        <v>43</v>
      </c>
      <c r="CA1090" s="1" t="str">
        <f ca="1">IFERROR(__xludf.DUMMYFUNCTION("""COMPUTED_VALUE"""),"Yes")</f>
        <v>Yes</v>
      </c>
      <c r="CB1090" s="5">
        <f ca="1">IFERROR(__xludf.DUMMYFUNCTION("""COMPUTED_VALUE"""),45013.7282930439)</f>
        <v>45013.728293043903</v>
      </c>
      <c r="CC1090" s="1" t="str">
        <f ca="1">IFERROR(__xludf.DUMMYFUNCTION("""COMPUTED_VALUE"""),"मंत्र विज्ञान : Rare Book")</f>
        <v>मंत्र विज्ञान : Rare Book</v>
      </c>
      <c r="CD1090" s="3" t="str">
        <f ca="1">IFERROR(__xludf.DUMMYFUNCTION("""COMPUTED_VALUE"""),"https://vicharkrantibooks.org/productdetail?book_name=HINP0522_MANTR_VIGYAN_xxyyyy&amp;product_id=1087")</f>
        <v>https://vicharkrantibooks.org/productdetail?book_name=HINP0522_MANTR_VIGYAN_xxyyyy&amp;product_id=1087</v>
      </c>
      <c r="CE1090" s="1" t="str">
        <f ca="1">IFERROR(__xludf.DUMMYFUNCTION("""COMPUTED_VALUE"""),"Audiobook : मंत्र विज्ञान : Rare Book : rbbansalriya@gmail.com : Recorded")</f>
        <v>Audiobook : मंत्र विज्ञान : Rare Book : rbbansalriya@gmail.com : Recorded</v>
      </c>
      <c r="CF1090" s="1" t="str">
        <f ca="1">IFERROR(__xludf.DUMMYFUNCTION("""COMPUTED_VALUE"""),"#N/A")</f>
        <v>#N/A</v>
      </c>
      <c r="CG1090" s="1" t="str">
        <f ca="1">IFERROR(__xludf.DUMMYFUNCTION("""COMPUTED_VALUE"""),"Adarniya Riya bansal  ji मंत्र विज्ञान : Rare Book : Allocated on 18-Mar-23 Contact Number  9176361023")</f>
        <v>Adarniya Riya bansal  ji मंत्र विज्ञान : Rare Book : Allocated on 18-Mar-23 Contact Number  9176361023</v>
      </c>
      <c r="CH1090" s="1"/>
      <c r="CI1090" s="1"/>
    </row>
    <row r="1091" spans="1:87" x14ac:dyDescent="0.25">
      <c r="A1091" s="5">
        <f ca="1">IFERROR(__xludf.DUMMYFUNCTION("""COMPUTED_VALUE"""),45003.7029714583)</f>
        <v>45003.702971458297</v>
      </c>
      <c r="B1091" s="1" t="str">
        <f ca="1">IFERROR(__xludf.DUMMYFUNCTION("""COMPUTED_VALUE"""),"spmittalmumbai@gmail.com")</f>
        <v>spmittalmumbai@gmail.com</v>
      </c>
      <c r="C1091" s="1" t="str">
        <f ca="1">IFERROR(__xludf.DUMMYFUNCTION("""COMPUTED_VALUE"""),"Satya prabha Mittal")</f>
        <v>Satya prabha Mittal</v>
      </c>
      <c r="D1091" s="1">
        <f ca="1">IFERROR(__xludf.DUMMYFUNCTION("""COMPUTED_VALUE"""),98600034007)</f>
        <v>98600034007</v>
      </c>
      <c r="E1091" s="1" t="str">
        <f ca="1">IFERROR(__xludf.DUMMYFUNCTION("""COMPUTED_VALUE"""),"Yes")</f>
        <v>Yes</v>
      </c>
      <c r="F1091" s="1" t="str">
        <f ca="1">IFERROR(__xludf.DUMMYFUNCTION("""COMPUTED_VALUE"""),"हिन्दी")</f>
        <v>हिन्दी</v>
      </c>
      <c r="G1091" s="1" t="str">
        <f ca="1">IFERROR(__xludf.DUMMYFUNCTION("""COMPUTED_VALUE"""),"अध्यात्म, धर्म एवं दर्शन")</f>
        <v>अध्यात्म, धर्म एवं दर्शन</v>
      </c>
      <c r="H1091" s="1" t="str">
        <f ca="1">IFERROR(__xludf.DUMMYFUNCTION("""COMPUTED_VALUE"""),"अध्यात्म, धर्म एवं आस्तिकता")</f>
        <v>अध्यात्म, धर्म एवं आस्तिकता</v>
      </c>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f ca="1">IFERROR(__xludf.DUMMYFUNCTION("""COMPUTED_VALUE"""),39)</f>
        <v>39</v>
      </c>
      <c r="BX1091" s="1">
        <f ca="1">IFERROR(__xludf.DUMMYFUNCTION("""COMPUTED_VALUE"""),32)</f>
        <v>32</v>
      </c>
      <c r="BY1091" s="1">
        <f ca="1">IFERROR(__xludf.DUMMYFUNCTION("""COMPUTED_VALUE"""),11)</f>
        <v>11</v>
      </c>
      <c r="BZ1091" s="1">
        <f ca="1">IFERROR(__xludf.DUMMYFUNCTION("""COMPUTED_VALUE"""),23)</f>
        <v>23</v>
      </c>
      <c r="CA1091" s="1" t="str">
        <f ca="1">IFERROR(__xludf.DUMMYFUNCTION("""COMPUTED_VALUE"""),"Yes")</f>
        <v>Yes</v>
      </c>
      <c r="CB1091" s="5">
        <f ca="1">IFERROR(__xludf.DUMMYFUNCTION("""COMPUTED_VALUE"""),45013.7029714583)</f>
        <v>45013.702971458297</v>
      </c>
      <c r="CC1091" s="1" t="str">
        <f ca="1">IFERROR(__xludf.DUMMYFUNCTION("""COMPUTED_VALUE"""),"इक्कीसवीं सदी की दैनिक साधना : Rare Book")</f>
        <v>इक्कीसवीं सदी की दैनिक साधना : Rare Book</v>
      </c>
      <c r="CD1091" s="3" t="str">
        <f ca="1">IFERROR(__xludf.DUMMYFUNCTION("""COMPUTED_VALUE"""),"https://vicharkrantibooks.org/productdetail?book_name=HINP0354_IKKISAVI_SADI_KI_DAINIK_SADHANA_xxyyyy&amp;product_id=919")</f>
        <v>https://vicharkrantibooks.org/productdetail?book_name=HINP0354_IKKISAVI_SADI_KI_DAINIK_SADHANA_xxyyyy&amp;product_id=919</v>
      </c>
      <c r="CE1091" s="1" t="str">
        <f ca="1">IFERROR(__xludf.DUMMYFUNCTION("""COMPUTED_VALUE"""),"Audiobook : इक्कीसवीं सदी की दैनिक साधना : Rare Book : spmittalmumbai@gmail.com : Recorded")</f>
        <v>Audiobook : इक्कीसवीं सदी की दैनिक साधना : Rare Book : spmittalmumbai@gmail.com : Recorded</v>
      </c>
      <c r="CF1091" s="1" t="str">
        <f ca="1">IFERROR(__xludf.DUMMYFUNCTION("""COMPUTED_VALUE"""),"Audiobook : इक्कीसवीं सदी की दैनिक साधना : Rare Book : spmittalmumbai@gmail.com : Recorded")</f>
        <v>Audiobook : इक्कीसवीं सदी की दैनिक साधना : Rare Book : spmittalmumbai@gmail.com : Recorded</v>
      </c>
      <c r="CG1091" s="1" t="str">
        <f ca="1">IFERROR(__xludf.DUMMYFUNCTION("""COMPUTED_VALUE"""),"Adarniya Satya prabha Mittal ji इक्कीसवीं सदी की दैनिक साधना : Rare Book : Allocated on 18-Mar-23 Contact Number  98600034007")</f>
        <v>Adarniya Satya prabha Mittal ji इक्कीसवीं सदी की दैनिक साधना : Rare Book : Allocated on 18-Mar-23 Contact Number  98600034007</v>
      </c>
      <c r="CH1091" s="1"/>
      <c r="CI1091" s="1"/>
    </row>
    <row r="1092" spans="1:87" x14ac:dyDescent="0.25">
      <c r="A1092" s="5">
        <f ca="1">IFERROR(__xludf.DUMMYFUNCTION("""COMPUTED_VALUE"""),45003.3342842476)</f>
        <v>45003.334284247598</v>
      </c>
      <c r="B1092" s="1" t="str">
        <f ca="1">IFERROR(__xludf.DUMMYFUNCTION("""COMPUTED_VALUE"""),"anshu14.singh@yahoo.in")</f>
        <v>anshu14.singh@yahoo.in</v>
      </c>
      <c r="C1092" s="1" t="str">
        <f ca="1">IFERROR(__xludf.DUMMYFUNCTION("""COMPUTED_VALUE"""),"Anshu singh")</f>
        <v>Anshu singh</v>
      </c>
      <c r="D1092" s="1">
        <f ca="1">IFERROR(__xludf.DUMMYFUNCTION("""COMPUTED_VALUE"""),9977301575)</f>
        <v>9977301575</v>
      </c>
      <c r="E1092" s="1" t="str">
        <f ca="1">IFERROR(__xludf.DUMMYFUNCTION("""COMPUTED_VALUE"""),"Yes")</f>
        <v>Yes</v>
      </c>
      <c r="F1092" s="1" t="str">
        <f ca="1">IFERROR(__xludf.DUMMYFUNCTION("""COMPUTED_VALUE"""),"हिन्दी")</f>
        <v>हिन्दी</v>
      </c>
      <c r="G1092" s="1" t="str">
        <f ca="1">IFERROR(__xludf.DUMMYFUNCTION("""COMPUTED_VALUE"""),"अध्यात्म, धर्म एवं दर्शन")</f>
        <v>अध्यात्म, धर्म एवं दर्शन</v>
      </c>
      <c r="H1092" s="1" t="str">
        <f ca="1">IFERROR(__xludf.DUMMYFUNCTION("""COMPUTED_VALUE"""),"अध्यात्म, धर्म एवं आस्तिकता")</f>
        <v>अध्यात्म, धर्म एवं आस्तिकता</v>
      </c>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f ca="1">IFERROR(__xludf.DUMMYFUNCTION("""COMPUTED_VALUE"""),9)</f>
        <v>9</v>
      </c>
      <c r="BX1092" s="1">
        <f ca="1">IFERROR(__xludf.DUMMYFUNCTION("""COMPUTED_VALUE"""),5)</f>
        <v>5</v>
      </c>
      <c r="BY1092" s="1">
        <f ca="1">IFERROR(__xludf.DUMMYFUNCTION("""COMPUTED_VALUE"""),4)</f>
        <v>4</v>
      </c>
      <c r="BZ1092" s="1">
        <f ca="1">IFERROR(__xludf.DUMMYFUNCTION("""COMPUTED_VALUE"""),0)</f>
        <v>0</v>
      </c>
      <c r="CA1092" s="1" t="str">
        <f ca="1">IFERROR(__xludf.DUMMYFUNCTION("""COMPUTED_VALUE"""),"Yes")</f>
        <v>Yes</v>
      </c>
      <c r="CB1092" s="5">
        <f ca="1">IFERROR(__xludf.DUMMYFUNCTION("""COMPUTED_VALUE"""),45013.3342842476)</f>
        <v>45013.334284247598</v>
      </c>
      <c r="CC1092" s="1" t="str">
        <f ca="1">IFERROR(__xludf.DUMMYFUNCTION("""COMPUTED_VALUE"""),"आस्थासंकट रूपी दुर्भिक्ष अब मिटकर ही रहेगा : Rare Book")</f>
        <v>आस्थासंकट रूपी दुर्भिक्ष अब मिटकर ही रहेगा : Rare Book</v>
      </c>
      <c r="CD1092" s="3" t="str">
        <f ca="1">IFERROR(__xludf.DUMMYFUNCTION("""COMPUTED_VALUE"""),"https://vicharkrantibooks.org/productdetail?book_name=HINP0079_ASTHASANKAT_RUPI_DURBHIKSH_AB_MITAKAR_HI_RAHAGA_xx1982&amp;product_id=644")</f>
        <v>https://vicharkrantibooks.org/productdetail?book_name=HINP0079_ASTHASANKAT_RUPI_DURBHIKSH_AB_MITAKAR_HI_RAHAGA_xx1982&amp;product_id=644</v>
      </c>
      <c r="CE1092" s="1" t="str">
        <f ca="1">IFERROR(__xludf.DUMMYFUNCTION("""COMPUTED_VALUE"""),"Audiobook : आस्थासंकट रूपी दुर्भिक्ष अब मिटकर ही रहेगा : Rare Book : anshu14.singh@yahoo.in : Recorded")</f>
        <v>Audiobook : आस्थासंकट रूपी दुर्भिक्ष अब मिटकर ही रहेगा : Rare Book : anshu14.singh@yahoo.in : Recorded</v>
      </c>
      <c r="CF1092" s="1" t="str">
        <f ca="1">IFERROR(__xludf.DUMMYFUNCTION("""COMPUTED_VALUE"""),"Audiobook : आस्थासंकट रूपी दुर्भिक्ष अब मिटकर ही रहेगा : Rare Book : anshu14.singh@yahoo.in : Recorded")</f>
        <v>Audiobook : आस्थासंकट रूपी दुर्भिक्ष अब मिटकर ही रहेगा : Rare Book : anshu14.singh@yahoo.in : Recorded</v>
      </c>
      <c r="CG1092" s="1" t="str">
        <f ca="1">IFERROR(__xludf.DUMMYFUNCTION("""COMPUTED_VALUE"""),"Adarniya Anshu singh ji आस्थासंकट रूपी दुर्भिक्ष अब मिटकर ही रहेगा : Rare Book : Allocated on 18-Mar-23 Contact Number  9977301575")</f>
        <v>Adarniya Anshu singh ji आस्थासंकट रूपी दुर्भिक्ष अब मिटकर ही रहेगा : Rare Book : Allocated on 18-Mar-23 Contact Number  9977301575</v>
      </c>
      <c r="CH1092" s="1"/>
      <c r="CI1092" s="1"/>
    </row>
    <row r="1093" spans="1:87" x14ac:dyDescent="0.25">
      <c r="A1093" s="5">
        <f ca="1">IFERROR(__xludf.DUMMYFUNCTION("""COMPUTED_VALUE"""),45002.9059241087)</f>
        <v>45002.905924108702</v>
      </c>
      <c r="B1093" s="1" t="str">
        <f ca="1">IFERROR(__xludf.DUMMYFUNCTION("""COMPUTED_VALUE"""),"sharmabhavna33@gmail.com")</f>
        <v>sharmabhavna33@gmail.com</v>
      </c>
      <c r="C1093" s="1" t="str">
        <f ca="1">IFERROR(__xludf.DUMMYFUNCTION("""COMPUTED_VALUE"""),"Bhawana parashar")</f>
        <v>Bhawana parashar</v>
      </c>
      <c r="D1093" s="1">
        <f ca="1">IFERROR(__xludf.DUMMYFUNCTION("""COMPUTED_VALUE"""),9826248427)</f>
        <v>9826248427</v>
      </c>
      <c r="E1093" s="1" t="str">
        <f ca="1">IFERROR(__xludf.DUMMYFUNCTION("""COMPUTED_VALUE"""),"No")</f>
        <v>No</v>
      </c>
      <c r="F1093" s="1" t="str">
        <f ca="1">IFERROR(__xludf.DUMMYFUNCTION("""COMPUTED_VALUE"""),"हिन्दी")</f>
        <v>हिन्दी</v>
      </c>
      <c r="G1093" s="1" t="str">
        <f ca="1">IFERROR(__xludf.DUMMYFUNCTION("""COMPUTED_VALUE"""),"जीवन प्रबंध")</f>
        <v>जीवन प्रबंध</v>
      </c>
      <c r="H1093" s="1"/>
      <c r="I1093" s="1"/>
      <c r="J1093" s="1"/>
      <c r="K1093" s="1"/>
      <c r="L1093" s="1" t="str">
        <f ca="1">IFERROR(__xludf.DUMMYFUNCTION("""COMPUTED_VALUE"""),"मन की शक्ति एवं मनोविज्ञान")</f>
        <v>मन की शक्ति एवं मनोविज्ञान</v>
      </c>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f ca="1">IFERROR(__xludf.DUMMYFUNCTION("""COMPUTED_VALUE"""),9)</f>
        <v>9</v>
      </c>
      <c r="BX1093" s="1">
        <f ca="1">IFERROR(__xludf.DUMMYFUNCTION("""COMPUTED_VALUE"""),3)</f>
        <v>3</v>
      </c>
      <c r="BY1093" s="1">
        <f ca="1">IFERROR(__xludf.DUMMYFUNCTION("""COMPUTED_VALUE"""),6)</f>
        <v>6</v>
      </c>
      <c r="BZ1093" s="1">
        <f ca="1">IFERROR(__xludf.DUMMYFUNCTION("""COMPUTED_VALUE"""),1)</f>
        <v>1</v>
      </c>
      <c r="CA1093" s="1" t="str">
        <f ca="1">IFERROR(__xludf.DUMMYFUNCTION("""COMPUTED_VALUE"""),"Yes")</f>
        <v>Yes</v>
      </c>
      <c r="CB1093" s="5">
        <f ca="1">IFERROR(__xludf.DUMMYFUNCTION("""COMPUTED_VALUE"""),45012.9059241087)</f>
        <v>45012.905924108702</v>
      </c>
      <c r="CC1093" s="1" t="str">
        <f ca="1">IFERROR(__xludf.DUMMYFUNCTION("""COMPUTED_VALUE"""),"जीवन साधना : Rare Book")</f>
        <v>जीवन साधना : Rare Book</v>
      </c>
      <c r="CD1093" s="3" t="str">
        <f ca="1">IFERROR(__xludf.DUMMYFUNCTION("""COMPUTED_VALUE"""),"https://vicharkrantibooks.org/productdetail?book_name=HINP0392_JIVAN_SADHANA_xxyyyy&amp;product_id=957")</f>
        <v>https://vicharkrantibooks.org/productdetail?book_name=HINP0392_JIVAN_SADHANA_xxyyyy&amp;product_id=957</v>
      </c>
      <c r="CE1093" s="1" t="str">
        <f ca="1">IFERROR(__xludf.DUMMYFUNCTION("""COMPUTED_VALUE"""),"Audiobook : जीवन साधना : Rare Book : sharmabhavna33@gmail.com : Recorded")</f>
        <v>Audiobook : जीवन साधना : Rare Book : sharmabhavna33@gmail.com : Recorded</v>
      </c>
      <c r="CF1093" s="1" t="str">
        <f ca="1">IFERROR(__xludf.DUMMYFUNCTION("""COMPUTED_VALUE"""),"#N/A")</f>
        <v>#N/A</v>
      </c>
      <c r="CG1093" s="1" t="str">
        <f ca="1">IFERROR(__xludf.DUMMYFUNCTION("""COMPUTED_VALUE"""),"Adarniya Bhawana parashar ji जीवन साधना : Rare Book : Allocated on 17-Mar-23 Contact Number  9826248427")</f>
        <v>Adarniya Bhawana parashar ji जीवन साधना : Rare Book : Allocated on 17-Mar-23 Contact Number  9826248427</v>
      </c>
      <c r="CH1093" s="1"/>
      <c r="CI1093" s="1"/>
    </row>
    <row r="1094" spans="1:87" x14ac:dyDescent="0.25">
      <c r="A1094" s="5">
        <f ca="1">IFERROR(__xludf.DUMMYFUNCTION("""COMPUTED_VALUE"""),45001.3375601736)</f>
        <v>45001.337560173597</v>
      </c>
      <c r="B1094" s="1" t="str">
        <f ca="1">IFERROR(__xludf.DUMMYFUNCTION("""COMPUTED_VALUE"""),"sbdswati@gmail.com")</f>
        <v>sbdswati@gmail.com</v>
      </c>
      <c r="C1094" s="1" t="str">
        <f ca="1">IFERROR(__xludf.DUMMYFUNCTION("""COMPUTED_VALUE"""),"Swati Srivastava ")</f>
        <v xml:space="preserve">Swati Srivastava </v>
      </c>
      <c r="D1094" s="1">
        <f ca="1">IFERROR(__xludf.DUMMYFUNCTION("""COMPUTED_VALUE"""),6397862188)</f>
        <v>6397862188</v>
      </c>
      <c r="E1094" s="1" t="str">
        <f ca="1">IFERROR(__xludf.DUMMYFUNCTION("""COMPUTED_VALUE"""),"Yes")</f>
        <v>Yes</v>
      </c>
      <c r="F1094" s="1" t="str">
        <f ca="1">IFERROR(__xludf.DUMMYFUNCTION("""COMPUTED_VALUE"""),"हिन्दी")</f>
        <v>हिन्दी</v>
      </c>
      <c r="G1094" s="1" t="str">
        <f ca="1">IFERROR(__xludf.DUMMYFUNCTION("""COMPUTED_VALUE"""),"गायत्री परिवार")</f>
        <v>गायत्री परिवार</v>
      </c>
      <c r="H1094" s="1"/>
      <c r="I1094" s="1"/>
      <c r="J1094" s="1" t="str">
        <f ca="1">IFERROR(__xludf.DUMMYFUNCTION("""COMPUTED_VALUE"""),"सृजन शिल्पियों की योजनाबद्ध कार्य पद्धति")</f>
        <v>सृजन शिल्पियों की योजनाबद्ध कार्य पद्धति</v>
      </c>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f ca="1">IFERROR(__xludf.DUMMYFUNCTION("""COMPUTED_VALUE"""),10)</f>
        <v>10</v>
      </c>
      <c r="BX1094" s="1">
        <f ca="1">IFERROR(__xludf.DUMMYFUNCTION("""COMPUTED_VALUE"""),12)</f>
        <v>12</v>
      </c>
      <c r="BY1094" s="1">
        <f ca="1">IFERROR(__xludf.DUMMYFUNCTION("""COMPUTED_VALUE"""),2)</f>
        <v>2</v>
      </c>
      <c r="BZ1094" s="1">
        <f ca="1">IFERROR(__xludf.DUMMYFUNCTION("""COMPUTED_VALUE"""),1)</f>
        <v>1</v>
      </c>
      <c r="CA1094" s="1" t="str">
        <f ca="1">IFERROR(__xludf.DUMMYFUNCTION("""COMPUTED_VALUE"""),"Yes")</f>
        <v>Yes</v>
      </c>
      <c r="CB1094" s="5">
        <f ca="1">IFERROR(__xludf.DUMMYFUNCTION("""COMPUTED_VALUE"""),45011.3375601736)</f>
        <v>45011.337560173597</v>
      </c>
      <c r="CC1094" s="1" t="str">
        <f ca="1">IFERROR(__xludf.DUMMYFUNCTION("""COMPUTED_VALUE"""),"आत्मीय अनुरोध : Rare Book")</f>
        <v>आत्मीय अनुरोध : Rare Book</v>
      </c>
      <c r="CD1094" s="3" t="str">
        <f ca="1">IFERROR(__xludf.DUMMYFUNCTION("""COMPUTED_VALUE"""),"https://vicharkrantibooks.org/productdetail?book_name=HINP0106_ATMIY_ANURODH_xxyyyy&amp;product_id=671")</f>
        <v>https://vicharkrantibooks.org/productdetail?book_name=HINP0106_ATMIY_ANURODH_xxyyyy&amp;product_id=671</v>
      </c>
      <c r="CE1094" s="1" t="str">
        <f ca="1">IFERROR(__xludf.DUMMYFUNCTION("""COMPUTED_VALUE"""),"Audiobook : आत्मीय अनुरोध : Rare Book : sbdswati@gmail.com : Recorded")</f>
        <v>Audiobook : आत्मीय अनुरोध : Rare Book : sbdswati@gmail.com : Recorded</v>
      </c>
      <c r="CF1094" s="1" t="str">
        <f ca="1">IFERROR(__xludf.DUMMYFUNCTION("""COMPUTED_VALUE"""),"Audiobook : आत्मीय अनुरोध : Rare Book : sbdswati@gmail.com : Recorded")</f>
        <v>Audiobook : आत्मीय अनुरोध : Rare Book : sbdswati@gmail.com : Recorded</v>
      </c>
      <c r="CG1094" s="1" t="str">
        <f ca="1">IFERROR(__xludf.DUMMYFUNCTION("""COMPUTED_VALUE"""),"Adarniya Swati Srivastava  ji आत्मीय अनुरोध : Rare Book : Allocated on 16-Mar-23 Contact Number  6397862188")</f>
        <v>Adarniya Swati Srivastava  ji आत्मीय अनुरोध : Rare Book : Allocated on 16-Mar-23 Contact Number  6397862188</v>
      </c>
      <c r="CH1094" s="1"/>
      <c r="CI1094" s="1"/>
    </row>
    <row r="1095" spans="1:87" x14ac:dyDescent="0.25">
      <c r="A1095" s="5">
        <f ca="1">IFERROR(__xludf.DUMMYFUNCTION("""COMPUTED_VALUE"""),45000.7193683101)</f>
        <v>45000.7193683101</v>
      </c>
      <c r="B1095" s="1" t="str">
        <f ca="1">IFERROR(__xludf.DUMMYFUNCTION("""COMPUTED_VALUE"""),"riya.dwivedi100@gmail.com")</f>
        <v>riya.dwivedi100@gmail.com</v>
      </c>
      <c r="C1095" s="1" t="str">
        <f ca="1">IFERROR(__xludf.DUMMYFUNCTION("""COMPUTED_VALUE"""),"Dr Riya Dwivedi")</f>
        <v>Dr Riya Dwivedi</v>
      </c>
      <c r="D1095" s="1">
        <f ca="1">IFERROR(__xludf.DUMMYFUNCTION("""COMPUTED_VALUE"""),9873181000)</f>
        <v>9873181000</v>
      </c>
      <c r="E1095" s="1" t="str">
        <f ca="1">IFERROR(__xludf.DUMMYFUNCTION("""COMPUTED_VALUE"""),"No")</f>
        <v>No</v>
      </c>
      <c r="F1095" s="1" t="str">
        <f ca="1">IFERROR(__xludf.DUMMYFUNCTION("""COMPUTED_VALUE"""),"हिन्दी or English")</f>
        <v>हिन्दी or English</v>
      </c>
      <c r="G1095" s="1" t="str">
        <f ca="1">IFERROR(__xludf.DUMMYFUNCTION("""COMPUTED_VALUE"""),"व्यक्ति निर्माण, युवा/विद्यार्थी एवं शिक्षक")</f>
        <v>व्यक्ति निर्माण, युवा/विद्यार्थी एवं शिक्षक</v>
      </c>
      <c r="H1095" s="1"/>
      <c r="I1095" s="1"/>
      <c r="J1095" s="1"/>
      <c r="K1095" s="1"/>
      <c r="L1095" s="1"/>
      <c r="M1095" s="1"/>
      <c r="N1095" s="1"/>
      <c r="O1095" s="1"/>
      <c r="P1095" s="1"/>
      <c r="Q1095" s="1"/>
      <c r="R1095" s="1"/>
      <c r="S1095" s="1"/>
      <c r="T1095" s="1" t="str">
        <f ca="1">IFERROR(__xludf.DUMMYFUNCTION("""COMPUTED_VALUE"""),"व्यक्तित्व परिष्कार")</f>
        <v>व्यक्तित्व परिष्कार</v>
      </c>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f ca="1">IFERROR(__xludf.DUMMYFUNCTION("""COMPUTED_VALUE"""),1)</f>
        <v>1</v>
      </c>
      <c r="BX1095" s="1">
        <f ca="1">IFERROR(__xludf.DUMMYFUNCTION("""COMPUTED_VALUE"""),0)</f>
        <v>0</v>
      </c>
      <c r="BY1095" s="1">
        <f ca="1">IFERROR(__xludf.DUMMYFUNCTION("""COMPUTED_VALUE"""),1)</f>
        <v>1</v>
      </c>
      <c r="BZ1095" s="1">
        <f ca="1">IFERROR(__xludf.DUMMYFUNCTION("""COMPUTED_VALUE"""),0)</f>
        <v>0</v>
      </c>
      <c r="CA1095" s="1" t="str">
        <f ca="1">IFERROR(__xludf.DUMMYFUNCTION("""COMPUTED_VALUE"""),"Yes")</f>
        <v>Yes</v>
      </c>
      <c r="CB1095" s="5">
        <f ca="1">IFERROR(__xludf.DUMMYFUNCTION("""COMPUTED_VALUE"""),45010.7193683101)</f>
        <v>45010.7193683101</v>
      </c>
      <c r="CC1095" s="1" t="str">
        <f ca="1">IFERROR(__xludf.DUMMYFUNCTION("""COMPUTED_VALUE"""),"अब तो सँभलें : H_PP_23")</f>
        <v>अब तो सँभलें : H_PP_23</v>
      </c>
      <c r="CD1095" s="3" t="str">
        <f ca="1">IFERROR(__xludf.DUMMYFUNCTION("""COMPUTED_VALUE"""),"https://vicharkrantibooks.org/productdetail?book_name=HINP0003_AB_TO_SAMBHALE_xxyyyy&amp;product_id=568")</f>
        <v>https://vicharkrantibooks.org/productdetail?book_name=HINP0003_AB_TO_SAMBHALE_xxyyyy&amp;product_id=568</v>
      </c>
      <c r="CE1095" s="1" t="str">
        <f ca="1">IFERROR(__xludf.DUMMYFUNCTION("""COMPUTED_VALUE"""),"Audiobook : अब तो सँभलें : H_PP_23 : riya.dwivedi100@gmail.com : Recorded")</f>
        <v>Audiobook : अब तो सँभलें : H_PP_23 : riya.dwivedi100@gmail.com : Recorded</v>
      </c>
      <c r="CF1095" s="1" t="str">
        <f ca="1">IFERROR(__xludf.DUMMYFUNCTION("""COMPUTED_VALUE"""),"#N/A")</f>
        <v>#N/A</v>
      </c>
      <c r="CG1095" s="1" t="str">
        <f ca="1">IFERROR(__xludf.DUMMYFUNCTION("""COMPUTED_VALUE"""),"Adarniya Dr Riya Dwivedi ji अब तो सँभलें : H_PP_23 : Allocated on 15-Mar-23 Contact Number  9873181000")</f>
        <v>Adarniya Dr Riya Dwivedi ji अब तो सँभलें : H_PP_23 : Allocated on 15-Mar-23 Contact Number  9873181000</v>
      </c>
      <c r="CH1095" s="1"/>
      <c r="CI1095" s="1"/>
    </row>
    <row r="1096" spans="1:87" x14ac:dyDescent="0.25">
      <c r="A1096" s="5">
        <f ca="1">IFERROR(__xludf.DUMMYFUNCTION("""COMPUTED_VALUE"""),45000.670162581)</f>
        <v>45000.670162581002</v>
      </c>
      <c r="B1096" s="1" t="str">
        <f ca="1">IFERROR(__xludf.DUMMYFUNCTION("""COMPUTED_VALUE"""),"rbbansalriya@gmail.com")</f>
        <v>rbbansalriya@gmail.com</v>
      </c>
      <c r="C1096" s="1" t="str">
        <f ca="1">IFERROR(__xludf.DUMMYFUNCTION("""COMPUTED_VALUE"""),"Riya bansal ")</f>
        <v xml:space="preserve">Riya bansal </v>
      </c>
      <c r="D1096" s="1">
        <f ca="1">IFERROR(__xludf.DUMMYFUNCTION("""COMPUTED_VALUE"""),9176361023)</f>
        <v>9176361023</v>
      </c>
      <c r="E1096" s="1" t="str">
        <f ca="1">IFERROR(__xludf.DUMMYFUNCTION("""COMPUTED_VALUE"""),"Yes")</f>
        <v>Yes</v>
      </c>
      <c r="F1096" s="1" t="str">
        <f ca="1">IFERROR(__xludf.DUMMYFUNCTION("""COMPUTED_VALUE"""),"हिन्दी")</f>
        <v>हिन्दी</v>
      </c>
      <c r="G1096" s="1" t="str">
        <f ca="1">IFERROR(__xludf.DUMMYFUNCTION("""COMPUTED_VALUE"""),"वैज्ञानिक अध्यात्मवाद का प्रतिपादन")</f>
        <v>वैज्ञानिक अध्यात्मवाद का प्रतिपादन</v>
      </c>
      <c r="H1096" s="1"/>
      <c r="I1096" s="1"/>
      <c r="J1096" s="1"/>
      <c r="K1096" s="1"/>
      <c r="L1096" s="1"/>
      <c r="M1096" s="1"/>
      <c r="N1096" s="1"/>
      <c r="O1096" s="1"/>
      <c r="P1096" s="1"/>
      <c r="Q1096" s="1"/>
      <c r="R1096" s="1"/>
      <c r="S1096" s="1" t="str">
        <f ca="1">IFERROR(__xludf.DUMMYFUNCTION("""COMPUTED_VALUE"""),"वैज्ञानिक अध्यात्मवाद का प्रतिपादन")</f>
        <v>वैज्ञानिक अध्यात्मवाद का प्रतिपादन</v>
      </c>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f ca="1">IFERROR(__xludf.DUMMYFUNCTION("""COMPUTED_VALUE"""),54)</f>
        <v>54</v>
      </c>
      <c r="BX1096" s="1">
        <f ca="1">IFERROR(__xludf.DUMMYFUNCTION("""COMPUTED_VALUE"""),55)</f>
        <v>55</v>
      </c>
      <c r="BY1096" s="1">
        <f ca="1">IFERROR(__xludf.DUMMYFUNCTION("""COMPUTED_VALUE"""),9)</f>
        <v>9</v>
      </c>
      <c r="BZ1096" s="1">
        <f ca="1">IFERROR(__xludf.DUMMYFUNCTION("""COMPUTED_VALUE"""),43)</f>
        <v>43</v>
      </c>
      <c r="CA1096" s="1" t="str">
        <f ca="1">IFERROR(__xludf.DUMMYFUNCTION("""COMPUTED_VALUE"""),"Yes")</f>
        <v>Yes</v>
      </c>
      <c r="CB1096" s="5">
        <f ca="1">IFERROR(__xludf.DUMMYFUNCTION("""COMPUTED_VALUE"""),45010.670162581)</f>
        <v>45010.670162581002</v>
      </c>
      <c r="CC1096" s="1" t="str">
        <f ca="1">IFERROR(__xludf.DUMMYFUNCTION("""COMPUTED_VALUE"""),"मृत्यु से भयभीत क्यों ? : Rare Book")</f>
        <v>मृत्यु से भयभीत क्यों ? : Rare Book</v>
      </c>
      <c r="CD1096" s="3" t="str">
        <f ca="1">IFERROR(__xludf.DUMMYFUNCTION("""COMPUTED_VALUE"""),"https://vicharkrantibooks.org/productdetail?book_name=HINP0541_MRUTYU_SE_BHAYABHIT_KYON_xxyyyy&amp;product_id=1106")</f>
        <v>https://vicharkrantibooks.org/productdetail?book_name=HINP0541_MRUTYU_SE_BHAYABHIT_KYON_xxyyyy&amp;product_id=1106</v>
      </c>
      <c r="CE1096" s="1" t="str">
        <f ca="1">IFERROR(__xludf.DUMMYFUNCTION("""COMPUTED_VALUE"""),"Audiobook : मृत्यु से भयभीत क्यों ? : Rare Book : rbbansalriya@gmail.com : Recorded")</f>
        <v>Audiobook : मृत्यु से भयभीत क्यों ? : Rare Book : rbbansalriya@gmail.com : Recorded</v>
      </c>
      <c r="CF1096" s="1" t="str">
        <f ca="1">IFERROR(__xludf.DUMMYFUNCTION("""COMPUTED_VALUE"""),"Audiobook : मृत्यु से भयभीत क्यों ? : Rare Book : rbbansalriya@gmail.com : Recorded")</f>
        <v>Audiobook : मृत्यु से भयभीत क्यों ? : Rare Book : rbbansalriya@gmail.com : Recorded</v>
      </c>
      <c r="CG1096" s="1" t="str">
        <f ca="1">IFERROR(__xludf.DUMMYFUNCTION("""COMPUTED_VALUE"""),"Adarniya Riya bansal  ji मृत्यु से भयभीत क्यों ? : Rare Book : Allocated on 15-Mar-23 Contact Number  9176361023")</f>
        <v>Adarniya Riya bansal  ji मृत्यु से भयभीत क्यों ? : Rare Book : Allocated on 15-Mar-23 Contact Number  9176361023</v>
      </c>
      <c r="CH1096" s="1"/>
      <c r="CI1096" s="1"/>
    </row>
    <row r="1097" spans="1:87" x14ac:dyDescent="0.25">
      <c r="A1097" s="5">
        <f ca="1">IFERROR(__xludf.DUMMYFUNCTION("""COMPUTED_VALUE"""),45000.4753799305)</f>
        <v>45000.475379930504</v>
      </c>
      <c r="B1097" s="1" t="str">
        <f ca="1">IFERROR(__xludf.DUMMYFUNCTION("""COMPUTED_VALUE"""),"pranavawgp143@gmail.com")</f>
        <v>pranavawgp143@gmail.com</v>
      </c>
      <c r="C1097" s="1" t="str">
        <f ca="1">IFERROR(__xludf.DUMMYFUNCTION("""COMPUTED_VALUE"""),"Pranav")</f>
        <v>Pranav</v>
      </c>
      <c r="D1097" s="1">
        <f ca="1">IFERROR(__xludf.DUMMYFUNCTION("""COMPUTED_VALUE"""),8052575485)</f>
        <v>8052575485</v>
      </c>
      <c r="E1097" s="1" t="str">
        <f ca="1">IFERROR(__xludf.DUMMYFUNCTION("""COMPUTED_VALUE"""),"No")</f>
        <v>No</v>
      </c>
      <c r="F1097" s="1" t="str">
        <f ca="1">IFERROR(__xludf.DUMMYFUNCTION("""COMPUTED_VALUE"""),"हिन्दी")</f>
        <v>हिन्दी</v>
      </c>
      <c r="G1097" s="1" t="str">
        <f ca="1">IFERROR(__xludf.DUMMYFUNCTION("""COMPUTED_VALUE"""),"वैज्ञानिक अध्यात्मवाद का प्रतिपादन")</f>
        <v>वैज्ञानिक अध्यात्मवाद का प्रतिपादन</v>
      </c>
      <c r="H1097" s="1"/>
      <c r="I1097" s="1"/>
      <c r="J1097" s="1"/>
      <c r="K1097" s="1"/>
      <c r="L1097" s="1"/>
      <c r="M1097" s="1"/>
      <c r="N1097" s="1"/>
      <c r="O1097" s="1"/>
      <c r="P1097" s="1"/>
      <c r="Q1097" s="1"/>
      <c r="R1097" s="1"/>
      <c r="S1097" s="1" t="str">
        <f ca="1">IFERROR(__xludf.DUMMYFUNCTION("""COMPUTED_VALUE"""),"वैज्ञानिक अध्यात्मवाद का प्रतिपादन")</f>
        <v>वैज्ञानिक अध्यात्मवाद का प्रतिपादन</v>
      </c>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f ca="1">IFERROR(__xludf.DUMMYFUNCTION("""COMPUTED_VALUE"""),1)</f>
        <v>1</v>
      </c>
      <c r="BX1097" s="1">
        <f ca="1">IFERROR(__xludf.DUMMYFUNCTION("""COMPUTED_VALUE"""),0)</f>
        <v>0</v>
      </c>
      <c r="BY1097" s="1">
        <f ca="1">IFERROR(__xludf.DUMMYFUNCTION("""COMPUTED_VALUE"""),1)</f>
        <v>1</v>
      </c>
      <c r="BZ1097" s="1">
        <f ca="1">IFERROR(__xludf.DUMMYFUNCTION("""COMPUTED_VALUE"""),0)</f>
        <v>0</v>
      </c>
      <c r="CA1097" s="1" t="str">
        <f ca="1">IFERROR(__xludf.DUMMYFUNCTION("""COMPUTED_VALUE"""),"Yes")</f>
        <v>Yes</v>
      </c>
      <c r="CB1097" s="5">
        <f ca="1">IFERROR(__xludf.DUMMYFUNCTION("""COMPUTED_VALUE"""),45010.4753799305)</f>
        <v>45010.475379930504</v>
      </c>
      <c r="CC1097" s="1" t="str">
        <f ca="1">IFERROR(__xludf.DUMMYFUNCTION("""COMPUTED_VALUE"""),"भूत पलीत और देवी देवताओं का भ्रम जंजाल : Rare Book")</f>
        <v>भूत पलीत और देवी देवताओं का भ्रम जंजाल : Rare Book</v>
      </c>
      <c r="CD1097" s="3" t="str">
        <f ca="1">IFERROR(__xludf.DUMMYFUNCTION("""COMPUTED_VALUE"""),"https://vicharkrantibooks.org/productdetail?book_name=HINP0170_BHUT_PALIT_AUR_DEVI_DEVATAON_KA_BHRAM_JANJAL_xxyyyy&amp;product_id=735")</f>
        <v>https://vicharkrantibooks.org/productdetail?book_name=HINP0170_BHUT_PALIT_AUR_DEVI_DEVATAON_KA_BHRAM_JANJAL_xxyyyy&amp;product_id=735</v>
      </c>
      <c r="CE1097" s="1" t="str">
        <f ca="1">IFERROR(__xludf.DUMMYFUNCTION("""COMPUTED_VALUE"""),"Audiobook : भूत पलीत और देवी देवताओं का भ्रम जंजाल : Rare Book : pranavawgp143@gmail.com : Recorded")</f>
        <v>Audiobook : भूत पलीत और देवी देवताओं का भ्रम जंजाल : Rare Book : pranavawgp143@gmail.com : Recorded</v>
      </c>
      <c r="CF1097" s="1" t="str">
        <f ca="1">IFERROR(__xludf.DUMMYFUNCTION("""COMPUTED_VALUE"""),"#N/A")</f>
        <v>#N/A</v>
      </c>
      <c r="CG1097" s="1" t="str">
        <f ca="1">IFERROR(__xludf.DUMMYFUNCTION("""COMPUTED_VALUE"""),"Adarniya Pranav ji भूत पलीत और देवी देवताओं का भ्रम जंजाल : Rare Book : Allocated on 15-Mar-23 Contact Number  8052575485")</f>
        <v>Adarniya Pranav ji भूत पलीत और देवी देवताओं का भ्रम जंजाल : Rare Book : Allocated on 15-Mar-23 Contact Number  8052575485</v>
      </c>
      <c r="CH1097" s="1"/>
      <c r="CI1097" s="1"/>
    </row>
    <row r="1098" spans="1:87" x14ac:dyDescent="0.25">
      <c r="A1098" s="5">
        <f ca="1">IFERROR(__xludf.DUMMYFUNCTION("""COMPUTED_VALUE"""),44999.7052331365)</f>
        <v>44999.705233136498</v>
      </c>
      <c r="B1098" s="1" t="str">
        <f ca="1">IFERROR(__xludf.DUMMYFUNCTION("""COMPUTED_VALUE"""),"rajniverma24.vns@gmail.com")</f>
        <v>rajniverma24.vns@gmail.com</v>
      </c>
      <c r="C1098" s="1" t="str">
        <f ca="1">IFERROR(__xludf.DUMMYFUNCTION("""COMPUTED_VALUE"""),"Rajni. Varma")</f>
        <v>Rajni. Varma</v>
      </c>
      <c r="D1098" s="1">
        <f ca="1">IFERROR(__xludf.DUMMYFUNCTION("""COMPUTED_VALUE"""),9335661433)</f>
        <v>9335661433</v>
      </c>
      <c r="E1098" s="1" t="str">
        <f ca="1">IFERROR(__xludf.DUMMYFUNCTION("""COMPUTED_VALUE"""),"No")</f>
        <v>No</v>
      </c>
      <c r="F1098" s="1" t="str">
        <f ca="1">IFERROR(__xludf.DUMMYFUNCTION("""COMPUTED_VALUE"""),"हिन्दी")</f>
        <v>हिन्दी</v>
      </c>
      <c r="G1098" s="1" t="str">
        <f ca="1">IFERROR(__xludf.DUMMYFUNCTION("""COMPUTED_VALUE"""),"अध्यात्म, धर्म एवं दर्शन")</f>
        <v>अध्यात्म, धर्म एवं दर्शन</v>
      </c>
      <c r="H1098" s="1" t="str">
        <f ca="1">IFERROR(__xludf.DUMMYFUNCTION("""COMPUTED_VALUE"""),"अध्यात्म, धर्म एवं आस्तिकता")</f>
        <v>अध्यात्म, धर्म एवं आस्तिकता</v>
      </c>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f ca="1">IFERROR(__xludf.DUMMYFUNCTION("""COMPUTED_VALUE"""),9)</f>
        <v>9</v>
      </c>
      <c r="BX1098" s="1">
        <f ca="1">IFERROR(__xludf.DUMMYFUNCTION("""COMPUTED_VALUE"""),6)</f>
        <v>6</v>
      </c>
      <c r="BY1098" s="1">
        <f ca="1">IFERROR(__xludf.DUMMYFUNCTION("""COMPUTED_VALUE"""),3)</f>
        <v>3</v>
      </c>
      <c r="BZ1098" s="1">
        <f ca="1">IFERROR(__xludf.DUMMYFUNCTION("""COMPUTED_VALUE"""),1)</f>
        <v>1</v>
      </c>
      <c r="CA1098" s="1" t="str">
        <f ca="1">IFERROR(__xludf.DUMMYFUNCTION("""COMPUTED_VALUE"""),"Yes")</f>
        <v>Yes</v>
      </c>
      <c r="CB1098" s="5">
        <f ca="1">IFERROR(__xludf.DUMMYFUNCTION("""COMPUTED_VALUE"""),45009.7052331365)</f>
        <v>45009.705233136498</v>
      </c>
      <c r="CC1098" s="1" t="str">
        <f ca="1">IFERROR(__xludf.DUMMYFUNCTION("""COMPUTED_VALUE"""),"ईश्वर ज्वाला है आत्मा चिनगारी : Rare Book")</f>
        <v>ईश्वर ज्वाला है आत्मा चिनगारी : Rare Book</v>
      </c>
      <c r="CD1098" s="3" t="str">
        <f ca="1">IFERROR(__xludf.DUMMYFUNCTION("""COMPUTED_VALUE"""),"https://vicharkrantibooks.org/productdetail?book_name=HINP0364_ISHWAR_JVALA_HAI_ATMA_CHINGARI_xx1982&amp;product_id=929")</f>
        <v>https://vicharkrantibooks.org/productdetail?book_name=HINP0364_ISHWAR_JVALA_HAI_ATMA_CHINGARI_xx1982&amp;product_id=929</v>
      </c>
      <c r="CE1098" s="1" t="str">
        <f ca="1">IFERROR(__xludf.DUMMYFUNCTION("""COMPUTED_VALUE"""),"Audiobook : ईश्वर ज्वाला है आत्मा चिनगारी : Rare Book : rajniverma24.vns@gmail.com : Recorded")</f>
        <v>Audiobook : ईश्वर ज्वाला है आत्मा चिनगारी : Rare Book : rajniverma24.vns@gmail.com : Recorded</v>
      </c>
      <c r="CF1098" s="1" t="str">
        <f ca="1">IFERROR(__xludf.DUMMYFUNCTION("""COMPUTED_VALUE"""),"Audiobook : ईश्वर ज्वाला है आत्मा चिनगारी : Rare Book : rajniverma24.vns@gmail.com : Recorded")</f>
        <v>Audiobook : ईश्वर ज्वाला है आत्मा चिनगारी : Rare Book : rajniverma24.vns@gmail.com : Recorded</v>
      </c>
      <c r="CG1098" s="1" t="str">
        <f ca="1">IFERROR(__xludf.DUMMYFUNCTION("""COMPUTED_VALUE"""),"Adarniya Rajni. Varma ji ईश्वर ज्वाला है आत्मा चिनगारी : Rare Book : Allocated on 14-Mar-23 Contact Number  9335661433")</f>
        <v>Adarniya Rajni. Varma ji ईश्वर ज्वाला है आत्मा चिनगारी : Rare Book : Allocated on 14-Mar-23 Contact Number  9335661433</v>
      </c>
      <c r="CH1098" s="1"/>
      <c r="CI1098" s="1"/>
    </row>
    <row r="1099" spans="1:87" x14ac:dyDescent="0.25">
      <c r="A1099" s="5">
        <f ca="1">IFERROR(__xludf.DUMMYFUNCTION("""COMPUTED_VALUE"""),44999.5772680902)</f>
        <v>44999.577268090201</v>
      </c>
      <c r="B1099" s="1" t="str">
        <f ca="1">IFERROR(__xludf.DUMMYFUNCTION("""COMPUTED_VALUE"""),"spmittalmumbai@gmail.com")</f>
        <v>spmittalmumbai@gmail.com</v>
      </c>
      <c r="C1099" s="1" t="str">
        <f ca="1">IFERROR(__xludf.DUMMYFUNCTION("""COMPUTED_VALUE"""),"Satya prabha Mittal")</f>
        <v>Satya prabha Mittal</v>
      </c>
      <c r="D1099" s="1">
        <f ca="1">IFERROR(__xludf.DUMMYFUNCTION("""COMPUTED_VALUE"""),7045537099)</f>
        <v>7045537099</v>
      </c>
      <c r="E1099" s="1" t="str">
        <f ca="1">IFERROR(__xludf.DUMMYFUNCTION("""COMPUTED_VALUE"""),"Yes")</f>
        <v>Yes</v>
      </c>
      <c r="F1099" s="1" t="str">
        <f ca="1">IFERROR(__xludf.DUMMYFUNCTION("""COMPUTED_VALUE"""),"हिन्दी")</f>
        <v>हिन्दी</v>
      </c>
      <c r="G1099" s="1" t="str">
        <f ca="1">IFERROR(__xludf.DUMMYFUNCTION("""COMPUTED_VALUE"""),"अध्यात्म, धर्म एवं दर्शन")</f>
        <v>अध्यात्म, धर्म एवं दर्शन</v>
      </c>
      <c r="H1099" s="1" t="str">
        <f ca="1">IFERROR(__xludf.DUMMYFUNCTION("""COMPUTED_VALUE"""),"आत्मज्ञान एवं आत्मनिर्माण")</f>
        <v>आत्मज्ञान एवं आत्मनिर्माण</v>
      </c>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f ca="1">IFERROR(__xludf.DUMMYFUNCTION("""COMPUTED_VALUE"""),39)</f>
        <v>39</v>
      </c>
      <c r="BX1099" s="1">
        <f ca="1">IFERROR(__xludf.DUMMYFUNCTION("""COMPUTED_VALUE"""),32)</f>
        <v>32</v>
      </c>
      <c r="BY1099" s="1">
        <f ca="1">IFERROR(__xludf.DUMMYFUNCTION("""COMPUTED_VALUE"""),11)</f>
        <v>11</v>
      </c>
      <c r="BZ1099" s="1">
        <f ca="1">IFERROR(__xludf.DUMMYFUNCTION("""COMPUTED_VALUE"""),23)</f>
        <v>23</v>
      </c>
      <c r="CA1099" s="1" t="str">
        <f ca="1">IFERROR(__xludf.DUMMYFUNCTION("""COMPUTED_VALUE"""),"Yes")</f>
        <v>Yes</v>
      </c>
      <c r="CB1099" s="5">
        <f ca="1">IFERROR(__xludf.DUMMYFUNCTION("""COMPUTED_VALUE"""),45009.5772680902)</f>
        <v>45009.577268090201</v>
      </c>
      <c r="CC1099" s="1" t="str">
        <f ca="1">IFERROR(__xludf.DUMMYFUNCTION("""COMPUTED_VALUE"""),"इक्कीसवीं सदी की युग साधना : Rare Book")</f>
        <v>इक्कीसवीं सदी की युग साधना : Rare Book</v>
      </c>
      <c r="CD1099" s="3" t="str">
        <f ca="1">IFERROR(__xludf.DUMMYFUNCTION("""COMPUTED_VALUE"""),"https://vicharkrantibooks.org/productdetail?book_name=HINP0355_IKKISAVI_SADI_KI_YUG_SADHANA_xxyyyy&amp;product_id=920")</f>
        <v>https://vicharkrantibooks.org/productdetail?book_name=HINP0355_IKKISAVI_SADI_KI_YUG_SADHANA_xxyyyy&amp;product_id=920</v>
      </c>
      <c r="CE1099" s="1" t="str">
        <f ca="1">IFERROR(__xludf.DUMMYFUNCTION("""COMPUTED_VALUE"""),"Audiobook : इक्कीसवीं सदी की युग साधना : Rare Book : spmittalmumbai@gmail.com : Recorded")</f>
        <v>Audiobook : इक्कीसवीं सदी की युग साधना : Rare Book : spmittalmumbai@gmail.com : Recorded</v>
      </c>
      <c r="CF1099" s="1" t="str">
        <f ca="1">IFERROR(__xludf.DUMMYFUNCTION("""COMPUTED_VALUE"""),"Audiobook : इक्कीसवीं सदी की युग साधना : Rare Book : spmittalmumbai@gmail.com : Recorded")</f>
        <v>Audiobook : इक्कीसवीं सदी की युग साधना : Rare Book : spmittalmumbai@gmail.com : Recorded</v>
      </c>
      <c r="CG1099" s="1" t="str">
        <f ca="1">IFERROR(__xludf.DUMMYFUNCTION("""COMPUTED_VALUE"""),"Adarniya Satya prabha Mittal ji इक्कीसवीं सदी की युग साधना : Rare Book : Allocated on 14-Mar-23 Contact Number  7045537099")</f>
        <v>Adarniya Satya prabha Mittal ji इक्कीसवीं सदी की युग साधना : Rare Book : Allocated on 14-Mar-23 Contact Number  7045537099</v>
      </c>
      <c r="CH1099" s="1"/>
      <c r="CI1099" s="1"/>
    </row>
    <row r="1100" spans="1:87" x14ac:dyDescent="0.25">
      <c r="A1100" s="5">
        <f ca="1">IFERROR(__xludf.DUMMYFUNCTION("""COMPUTED_VALUE"""),44998.8236436574)</f>
        <v>44998.823643657401</v>
      </c>
      <c r="B1100" s="1" t="str">
        <f ca="1">IFERROR(__xludf.DUMMYFUNCTION("""COMPUTED_VALUE"""),"Gayatri24000@gmail.com")</f>
        <v>Gayatri24000@gmail.com</v>
      </c>
      <c r="C1100" s="1" t="str">
        <f ca="1">IFERROR(__xludf.DUMMYFUNCTION("""COMPUTED_VALUE"""),"Disha")</f>
        <v>Disha</v>
      </c>
      <c r="D1100" s="1" t="str">
        <f ca="1">IFERROR(__xludf.DUMMYFUNCTION("""COMPUTED_VALUE"""),"(+1) 250 588 8404")</f>
        <v>(+1) 250 588 8404</v>
      </c>
      <c r="E1100" s="1" t="str">
        <f ca="1">IFERROR(__xludf.DUMMYFUNCTION("""COMPUTED_VALUE"""),"No")</f>
        <v>No</v>
      </c>
      <c r="F1100" s="1" t="str">
        <f ca="1">IFERROR(__xludf.DUMMYFUNCTION("""COMPUTED_VALUE"""),"हिन्दी or English")</f>
        <v>हिन्दी or English</v>
      </c>
      <c r="G1100" s="1" t="str">
        <f ca="1">IFERROR(__xludf.DUMMYFUNCTION("""COMPUTED_VALUE"""),"युग परिवर्तन-विचार क्रांति")</f>
        <v>युग परिवर्तन-विचार क्रांति</v>
      </c>
      <c r="H1100" s="1"/>
      <c r="I1100" s="1"/>
      <c r="J1100" s="1"/>
      <c r="K1100" s="1"/>
      <c r="L1100" s="1"/>
      <c r="M1100" s="1"/>
      <c r="N1100" s="1"/>
      <c r="O1100" s="1"/>
      <c r="P1100" s="1"/>
      <c r="Q1100" s="1" t="str">
        <f ca="1">IFERROR(__xludf.DUMMYFUNCTION("""COMPUTED_VALUE"""),"विचार क्रांति")</f>
        <v>विचार क्रांति</v>
      </c>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f ca="1">IFERROR(__xludf.DUMMYFUNCTION("""COMPUTED_VALUE"""),2)</f>
        <v>2</v>
      </c>
      <c r="BX1100" s="1">
        <f ca="1">IFERROR(__xludf.DUMMYFUNCTION("""COMPUTED_VALUE"""),2)</f>
        <v>2</v>
      </c>
      <c r="BY1100" s="1">
        <f ca="1">IFERROR(__xludf.DUMMYFUNCTION("""COMPUTED_VALUE"""),0)</f>
        <v>0</v>
      </c>
      <c r="BZ1100" s="1">
        <f ca="1">IFERROR(__xludf.DUMMYFUNCTION("""COMPUTED_VALUE"""),2)</f>
        <v>2</v>
      </c>
      <c r="CA1100" s="1" t="str">
        <f ca="1">IFERROR(__xludf.DUMMYFUNCTION("""COMPUTED_VALUE"""),"Yes")</f>
        <v>Yes</v>
      </c>
      <c r="CB1100" s="5">
        <f ca="1">IFERROR(__xludf.DUMMYFUNCTION("""COMPUTED_VALUE"""),45008.8236436574)</f>
        <v>45008.823643657401</v>
      </c>
      <c r="CC1100" s="1" t="str">
        <f ca="1">IFERROR(__xludf.DUMMYFUNCTION("""COMPUTED_VALUE"""),"ज्योतिर्विदों की दृष्टि में युगसंधि : Rare Book")</f>
        <v>ज्योतिर्विदों की दृष्टि में युगसंधि : Rare Book</v>
      </c>
      <c r="CD1100" s="3" t="str">
        <f ca="1">IFERROR(__xludf.DUMMYFUNCTION("""COMPUTED_VALUE"""),"https://vicharkrantibooks.org/productdetail?book_name=HINP0407_JYOTIRVIDON_KI_DRUSHTI_MEIN_YUGASANDHI_xx1981&amp;product_id=972")</f>
        <v>https://vicharkrantibooks.org/productdetail?book_name=HINP0407_JYOTIRVIDON_KI_DRUSHTI_MEIN_YUGASANDHI_xx1981&amp;product_id=972</v>
      </c>
      <c r="CE1100" s="1" t="str">
        <f ca="1">IFERROR(__xludf.DUMMYFUNCTION("""COMPUTED_VALUE"""),"Audiobook : ज्योतिर्विदों की दृष्टि में युगसंधि : Rare Book : Gayatri24000@gmail.com : Recorded")</f>
        <v>Audiobook : ज्योतिर्विदों की दृष्टि में युगसंधि : Rare Book : Gayatri24000@gmail.com : Recorded</v>
      </c>
      <c r="CF1100" s="1" t="str">
        <f ca="1">IFERROR(__xludf.DUMMYFUNCTION("""COMPUTED_VALUE"""),"Audiobook : ज्योतिर्विदों की दृष्टि में युगसंधि : Rare Book : Gayatri24000@gmail.com : Recorded")</f>
        <v>Audiobook : ज्योतिर्विदों की दृष्टि में युगसंधि : Rare Book : Gayatri24000@gmail.com : Recorded</v>
      </c>
      <c r="CG1100" s="1" t="str">
        <f ca="1">IFERROR(__xludf.DUMMYFUNCTION("""COMPUTED_VALUE"""),"Adarniya Disha ji ज्योतिर्विदों की दृष्टि में युगसंधि : Rare Book : Allocated on 13-Mar-23 Contact Number  (+1) 250 588 8404")</f>
        <v>Adarniya Disha ji ज्योतिर्विदों की दृष्टि में युगसंधि : Rare Book : Allocated on 13-Mar-23 Contact Number  (+1) 250 588 8404</v>
      </c>
      <c r="CH1100" s="1"/>
      <c r="CI1100" s="1"/>
    </row>
    <row r="1101" spans="1:87" x14ac:dyDescent="0.25">
      <c r="A1101" s="5">
        <f ca="1">IFERROR(__xludf.DUMMYFUNCTION("""COMPUTED_VALUE"""),44998.7745560532)</f>
        <v>44998.774556053198</v>
      </c>
      <c r="B1101" s="1" t="str">
        <f ca="1">IFERROR(__xludf.DUMMYFUNCTION("""COMPUTED_VALUE"""),"nksaxena.yoga@gmail.com")</f>
        <v>nksaxena.yoga@gmail.com</v>
      </c>
      <c r="C1101" s="1" t="str">
        <f ca="1">IFERROR(__xludf.DUMMYFUNCTION("""COMPUTED_VALUE"""),"Narendra Kumar Saxena ")</f>
        <v xml:space="preserve">Narendra Kumar Saxena </v>
      </c>
      <c r="D1101" s="1" t="str">
        <f ca="1">IFERROR(__xludf.DUMMYFUNCTION("""COMPUTED_VALUE"""),"+918826499188")</f>
        <v>+918826499188</v>
      </c>
      <c r="E1101" s="1" t="str">
        <f ca="1">IFERROR(__xludf.DUMMYFUNCTION("""COMPUTED_VALUE"""),"Yes")</f>
        <v>Yes</v>
      </c>
      <c r="F1101" s="1" t="str">
        <f ca="1">IFERROR(__xludf.DUMMYFUNCTION("""COMPUTED_VALUE"""),"हिन्दी")</f>
        <v>हिन्दी</v>
      </c>
      <c r="G1101" s="1" t="str">
        <f ca="1">IFERROR(__xludf.DUMMYFUNCTION("""COMPUTED_VALUE"""),"समग्र स्वास्थ्य")</f>
        <v>समग्र स्वास्थ्य</v>
      </c>
      <c r="H1101" s="1"/>
      <c r="I1101" s="1"/>
      <c r="J1101" s="1"/>
      <c r="K1101" s="1"/>
      <c r="L1101" s="1"/>
      <c r="M1101" s="1"/>
      <c r="N1101" s="1"/>
      <c r="O1101" s="1"/>
      <c r="P1101" s="1"/>
      <c r="Q1101" s="1"/>
      <c r="R1101" s="1"/>
      <c r="S1101" s="1"/>
      <c r="T1101" s="1"/>
      <c r="U1101" s="1" t="str">
        <f ca="1">IFERROR(__xludf.DUMMYFUNCTION("""COMPUTED_VALUE"""),"स्वास्थ्य संवर्धन")</f>
        <v>स्वास्थ्य संवर्धन</v>
      </c>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f ca="1">IFERROR(__xludf.DUMMYFUNCTION("""COMPUTED_VALUE"""),29)</f>
        <v>29</v>
      </c>
      <c r="BX1101" s="1">
        <f ca="1">IFERROR(__xludf.DUMMYFUNCTION("""COMPUTED_VALUE"""),30)</f>
        <v>30</v>
      </c>
      <c r="BY1101" s="1">
        <f ca="1">IFERROR(__xludf.DUMMYFUNCTION("""COMPUTED_VALUE"""),3)</f>
        <v>3</v>
      </c>
      <c r="BZ1101" s="1">
        <f ca="1">IFERROR(__xludf.DUMMYFUNCTION("""COMPUTED_VALUE"""),25)</f>
        <v>25</v>
      </c>
      <c r="CA1101" s="1" t="str">
        <f ca="1">IFERROR(__xludf.DUMMYFUNCTION("""COMPUTED_VALUE"""),"Yes")</f>
        <v>Yes</v>
      </c>
      <c r="CB1101" s="5">
        <f ca="1">IFERROR(__xludf.DUMMYFUNCTION("""COMPUTED_VALUE"""),45008.7745560532)</f>
        <v>45008.774556053198</v>
      </c>
      <c r="CC1101" s="1" t="str">
        <f ca="1">IFERROR(__xludf.DUMMYFUNCTION("""COMPUTED_VALUE"""),"कोष्ठबद्धता से बचें : Rare Book")</f>
        <v>कोष्ठबद्धता से बचें : Rare Book</v>
      </c>
      <c r="CD1101" s="3" t="str">
        <f ca="1">IFERROR(__xludf.DUMMYFUNCTION("""COMPUTED_VALUE"""),"https://vicharkrantibooks.org/productdetail?book_name=HINP0441_KOSHTHABADDHATA_SE_BACHEN_xxyyyy&amp;product_id=1006")</f>
        <v>https://vicharkrantibooks.org/productdetail?book_name=HINP0441_KOSHTHABADDHATA_SE_BACHEN_xxyyyy&amp;product_id=1006</v>
      </c>
      <c r="CE1101" s="1" t="str">
        <f ca="1">IFERROR(__xludf.DUMMYFUNCTION("""COMPUTED_VALUE"""),"Audiobook : कोष्ठबद्धता से बचें : Rare Book : nksaxena.yoga@gmail.com : Recorded")</f>
        <v>Audiobook : कोष्ठबद्धता से बचें : Rare Book : nksaxena.yoga@gmail.com : Recorded</v>
      </c>
      <c r="CF1101" s="1" t="str">
        <f ca="1">IFERROR(__xludf.DUMMYFUNCTION("""COMPUTED_VALUE"""),"Audiobook : कोष्ठबद्धता से बचें : Rare Book : nksaxena.yoga@gmail.com : Recorded")</f>
        <v>Audiobook : कोष्ठबद्धता से बचें : Rare Book : nksaxena.yoga@gmail.com : Recorded</v>
      </c>
      <c r="CG1101" s="1" t="str">
        <f ca="1">IFERROR(__xludf.DUMMYFUNCTION("""COMPUTED_VALUE"""),"Adarniya Narendra Kumar Saxena  ji कोष्ठबद्धता से बचें : Rare Book : Allocated on 13-Mar-23 Contact Number  +918826499188")</f>
        <v>Adarniya Narendra Kumar Saxena  ji कोष्ठबद्धता से बचें : Rare Book : Allocated on 13-Mar-23 Contact Number  +918826499188</v>
      </c>
      <c r="CH1101" s="1"/>
      <c r="CI1101" s="1"/>
    </row>
    <row r="1102" spans="1:87" x14ac:dyDescent="0.25">
      <c r="A1102" s="5">
        <f ca="1">IFERROR(__xludf.DUMMYFUNCTION("""COMPUTED_VALUE"""),44998.6637629282)</f>
        <v>44998.663762928198</v>
      </c>
      <c r="B1102" s="1" t="str">
        <f ca="1">IFERROR(__xludf.DUMMYFUNCTION("""COMPUTED_VALUE"""),"rbbansalriya@gmail.com")</f>
        <v>rbbansalriya@gmail.com</v>
      </c>
      <c r="C1102" s="1" t="str">
        <f ca="1">IFERROR(__xludf.DUMMYFUNCTION("""COMPUTED_VALUE"""),"Riya bansal ")</f>
        <v xml:space="preserve">Riya bansal </v>
      </c>
      <c r="D1102" s="1">
        <f ca="1">IFERROR(__xludf.DUMMYFUNCTION("""COMPUTED_VALUE"""),9176361023)</f>
        <v>9176361023</v>
      </c>
      <c r="E1102" s="1" t="str">
        <f ca="1">IFERROR(__xludf.DUMMYFUNCTION("""COMPUTED_VALUE"""),"Yes")</f>
        <v>Yes</v>
      </c>
      <c r="F1102" s="1" t="str">
        <f ca="1">IFERROR(__xludf.DUMMYFUNCTION("""COMPUTED_VALUE"""),"हिन्दी")</f>
        <v>हिन्दी</v>
      </c>
      <c r="G1102" s="1" t="str">
        <f ca="1">IFERROR(__xludf.DUMMYFUNCTION("""COMPUTED_VALUE"""),"वैज्ञानिक अध्यात्मवाद का प्रतिपादन")</f>
        <v>वैज्ञानिक अध्यात्मवाद का प्रतिपादन</v>
      </c>
      <c r="H1102" s="1"/>
      <c r="I1102" s="1"/>
      <c r="J1102" s="1"/>
      <c r="K1102" s="1"/>
      <c r="L1102" s="1"/>
      <c r="M1102" s="1"/>
      <c r="N1102" s="1"/>
      <c r="O1102" s="1"/>
      <c r="P1102" s="1"/>
      <c r="Q1102" s="1"/>
      <c r="R1102" s="1"/>
      <c r="S1102" s="1" t="str">
        <f ca="1">IFERROR(__xludf.DUMMYFUNCTION("""COMPUTED_VALUE"""),"वैज्ञानिक अध्यात्मवाद का प्रतिपादन")</f>
        <v>वैज्ञानिक अध्यात्मवाद का प्रतिपादन</v>
      </c>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f ca="1">IFERROR(__xludf.DUMMYFUNCTION("""COMPUTED_VALUE"""),54)</f>
        <v>54</v>
      </c>
      <c r="BX1102" s="1">
        <f ca="1">IFERROR(__xludf.DUMMYFUNCTION("""COMPUTED_VALUE"""),55)</f>
        <v>55</v>
      </c>
      <c r="BY1102" s="1">
        <f ca="1">IFERROR(__xludf.DUMMYFUNCTION("""COMPUTED_VALUE"""),9)</f>
        <v>9</v>
      </c>
      <c r="BZ1102" s="1">
        <f ca="1">IFERROR(__xludf.DUMMYFUNCTION("""COMPUTED_VALUE"""),43)</f>
        <v>43</v>
      </c>
      <c r="CA1102" s="1" t="str">
        <f ca="1">IFERROR(__xludf.DUMMYFUNCTION("""COMPUTED_VALUE"""),"Yes")</f>
        <v>Yes</v>
      </c>
      <c r="CB1102" s="5">
        <f ca="1">IFERROR(__xludf.DUMMYFUNCTION("""COMPUTED_VALUE"""),45008.6637629282)</f>
        <v>45008.663762928198</v>
      </c>
      <c r="CC1102" s="1" t="str">
        <f ca="1">IFERROR(__xludf.DUMMYFUNCTION("""COMPUTED_VALUE"""),"बुद्धिवाद और नीति निष्ठा का समन्वय : Rare Book")</f>
        <v>बुद्धिवाद और नीति निष्ठा का समन्वय : Rare Book</v>
      </c>
      <c r="CD1102" s="3" t="str">
        <f ca="1">IFERROR(__xludf.DUMMYFUNCTION("""COMPUTED_VALUE"""),"https://vicharkrantibooks.org/productdetail?book_name=HINP0182_BUDDHIVAD_AUR_NITI_NISHTHA_KA_SAMANVAY_xx1982&amp;product_id=747")</f>
        <v>https://vicharkrantibooks.org/productdetail?book_name=HINP0182_BUDDHIVAD_AUR_NITI_NISHTHA_KA_SAMANVAY_xx1982&amp;product_id=747</v>
      </c>
      <c r="CE1102" s="1" t="str">
        <f ca="1">IFERROR(__xludf.DUMMYFUNCTION("""COMPUTED_VALUE"""),"Audiobook : बुद्धिवाद और नीति निष्ठा का समन्वय : Rare Book : rbbansalriya@gmail.com : Recorded")</f>
        <v>Audiobook : बुद्धिवाद और नीति निष्ठा का समन्वय : Rare Book : rbbansalriya@gmail.com : Recorded</v>
      </c>
      <c r="CF1102" s="1" t="str">
        <f ca="1">IFERROR(__xludf.DUMMYFUNCTION("""COMPUTED_VALUE"""),"Audiobook : बुद्धिवाद और नीति निष्ठा का समन्वय : Rare Book : rbbansalriya@gmail.com : Recorded")</f>
        <v>Audiobook : बुद्धिवाद और नीति निष्ठा का समन्वय : Rare Book : rbbansalriya@gmail.com : Recorded</v>
      </c>
      <c r="CG1102" s="1" t="str">
        <f ca="1">IFERROR(__xludf.DUMMYFUNCTION("""COMPUTED_VALUE"""),"Adarniya Riya bansal  ji बुद्धिवाद और नीति निष्ठा का समन्वय : Rare Book : Allocated on 13-Mar-23 Contact Number  9176361023")</f>
        <v>Adarniya Riya bansal  ji बुद्धिवाद और नीति निष्ठा का समन्वय : Rare Book : Allocated on 13-Mar-23 Contact Number  9176361023</v>
      </c>
      <c r="CH1102" s="1"/>
      <c r="CI1102" s="1"/>
    </row>
    <row r="1103" spans="1:87" x14ac:dyDescent="0.25">
      <c r="A1103" s="5">
        <f ca="1">IFERROR(__xludf.DUMMYFUNCTION("""COMPUTED_VALUE"""),44996.3457876851)</f>
        <v>44996.345787685103</v>
      </c>
      <c r="B1103" s="1" t="str">
        <f ca="1">IFERROR(__xludf.DUMMYFUNCTION("""COMPUTED_VALUE"""),"druma4107@gmail.com")</f>
        <v>druma4107@gmail.com</v>
      </c>
      <c r="C1103" s="1" t="str">
        <f ca="1">IFERROR(__xludf.DUMMYFUNCTION("""COMPUTED_VALUE"""),"Dr Uma Agrawal")</f>
        <v>Dr Uma Agrawal</v>
      </c>
      <c r="D1103" s="1">
        <f ca="1">IFERROR(__xludf.DUMMYFUNCTION("""COMPUTED_VALUE"""),9410861182)</f>
        <v>9410861182</v>
      </c>
      <c r="E1103" s="1" t="str">
        <f ca="1">IFERROR(__xludf.DUMMYFUNCTION("""COMPUTED_VALUE"""),"Yes")</f>
        <v>Yes</v>
      </c>
      <c r="F1103" s="1" t="str">
        <f ca="1">IFERROR(__xludf.DUMMYFUNCTION("""COMPUTED_VALUE"""),"हिन्दी")</f>
        <v>हिन्दी</v>
      </c>
      <c r="G1103" s="1" t="str">
        <f ca="1">IFERROR(__xludf.DUMMYFUNCTION("""COMPUTED_VALUE"""),"समग्र स्वास्थ्य")</f>
        <v>समग्र स्वास्थ्य</v>
      </c>
      <c r="H1103" s="1"/>
      <c r="I1103" s="1"/>
      <c r="J1103" s="1"/>
      <c r="K1103" s="1"/>
      <c r="L1103" s="1"/>
      <c r="M1103" s="1"/>
      <c r="N1103" s="1"/>
      <c r="O1103" s="1"/>
      <c r="P1103" s="1"/>
      <c r="Q1103" s="1"/>
      <c r="R1103" s="1"/>
      <c r="S1103" s="1"/>
      <c r="T1103" s="1"/>
      <c r="U1103" s="1" t="str">
        <f ca="1">IFERROR(__xludf.DUMMYFUNCTION("""COMPUTED_VALUE"""),"स्वास्थ्य संवर्धन")</f>
        <v>स्वास्थ्य संवर्धन</v>
      </c>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f ca="1">IFERROR(__xludf.DUMMYFUNCTION("""COMPUTED_VALUE"""),104)</f>
        <v>104</v>
      </c>
      <c r="BX1103" s="1">
        <f ca="1">IFERROR(__xludf.DUMMYFUNCTION("""COMPUTED_VALUE"""),106)</f>
        <v>106</v>
      </c>
      <c r="BY1103" s="1">
        <f ca="1">IFERROR(__xludf.DUMMYFUNCTION("""COMPUTED_VALUE"""),9)</f>
        <v>9</v>
      </c>
      <c r="BZ1103" s="1">
        <f ca="1">IFERROR(__xludf.DUMMYFUNCTION("""COMPUTED_VALUE"""),43)</f>
        <v>43</v>
      </c>
      <c r="CA1103" s="1" t="str">
        <f ca="1">IFERROR(__xludf.DUMMYFUNCTION("""COMPUTED_VALUE"""),"Yes")</f>
        <v>Yes</v>
      </c>
      <c r="CB1103" s="5">
        <f ca="1">IFERROR(__xludf.DUMMYFUNCTION("""COMPUTED_VALUE"""),45006.3457876851)</f>
        <v>45006.345787685103</v>
      </c>
      <c r="CC1103" s="1" t="str">
        <f ca="1">IFERROR(__xludf.DUMMYFUNCTION("""COMPUTED_VALUE"""),"कीटाणु नहीं दूषित मल ही व्याधि का कारण : Rare Book")</f>
        <v>कीटाणु नहीं दूषित मल ही व्याधि का कारण : Rare Book</v>
      </c>
      <c r="CD1103" s="3" t="str">
        <f ca="1">IFERROR(__xludf.DUMMYFUNCTION("""COMPUTED_VALUE"""),"https://vicharkrantibooks.org/productdetail?book_name=HINP0440_KITANU_NAHI_DUSHIT_MAL_HI_VYADHI_KA_KARAN_xxyyyy&amp;product_id=1005")</f>
        <v>https://vicharkrantibooks.org/productdetail?book_name=HINP0440_KITANU_NAHI_DUSHIT_MAL_HI_VYADHI_KA_KARAN_xxyyyy&amp;product_id=1005</v>
      </c>
      <c r="CE1103" s="1" t="str">
        <f ca="1">IFERROR(__xludf.DUMMYFUNCTION("""COMPUTED_VALUE"""),"Audiobook : कीटाणु नहीं दूषित मल ही व्याधि का कारण : Rare Book : druma4107@gmail.com : Recorded")</f>
        <v>Audiobook : कीटाणु नहीं दूषित मल ही व्याधि का कारण : Rare Book : druma4107@gmail.com : Recorded</v>
      </c>
      <c r="CF1103" s="1" t="str">
        <f ca="1">IFERROR(__xludf.DUMMYFUNCTION("""COMPUTED_VALUE"""),"Audiobook : कीटाणु नहीं दूषित मल ही व्याधि का कारण : Rare Book : druma4107@gmail.com : Recorded")</f>
        <v>Audiobook : कीटाणु नहीं दूषित मल ही व्याधि का कारण : Rare Book : druma4107@gmail.com : Recorded</v>
      </c>
      <c r="CG1103" s="1" t="str">
        <f ca="1">IFERROR(__xludf.DUMMYFUNCTION("""COMPUTED_VALUE"""),"Adarniya Dr Uma Agrawal ji कीटाणु नहीं दूषित मल ही व्याधि का कारण : Rare Book : Allocated on 11-Mar-23 Contact Number  9410861182")</f>
        <v>Adarniya Dr Uma Agrawal ji कीटाणु नहीं दूषित मल ही व्याधि का कारण : Rare Book : Allocated on 11-Mar-23 Contact Number  9410861182</v>
      </c>
      <c r="CH1103" s="1"/>
      <c r="CI1103" s="1"/>
    </row>
    <row r="1104" spans="1:87" x14ac:dyDescent="0.25">
      <c r="A1104" s="5">
        <f ca="1">IFERROR(__xludf.DUMMYFUNCTION("""COMPUTED_VALUE"""),44995.814134699)</f>
        <v>44995.814134699001</v>
      </c>
      <c r="B1104" s="1" t="str">
        <f ca="1">IFERROR(__xludf.DUMMYFUNCTION("""COMPUTED_VALUE"""),"bharatijc27@gmail.com")</f>
        <v>bharatijc27@gmail.com</v>
      </c>
      <c r="C1104" s="1" t="str">
        <f ca="1">IFERROR(__xludf.DUMMYFUNCTION("""COMPUTED_VALUE"""),"Bharati Jitendra Chaudhari")</f>
        <v>Bharati Jitendra Chaudhari</v>
      </c>
      <c r="D1104" s="1" t="str">
        <f ca="1">IFERROR(__xludf.DUMMYFUNCTION("""COMPUTED_VALUE"""),"09987216372")</f>
        <v>09987216372</v>
      </c>
      <c r="E1104" s="1" t="str">
        <f ca="1">IFERROR(__xludf.DUMMYFUNCTION("""COMPUTED_VALUE"""),"No")</f>
        <v>No</v>
      </c>
      <c r="F1104" s="1" t="str">
        <f ca="1">IFERROR(__xludf.DUMMYFUNCTION("""COMPUTED_VALUE"""),"हिन्दी or English")</f>
        <v>हिन्दी or English</v>
      </c>
      <c r="G1104" s="1" t="str">
        <f ca="1">IFERROR(__xludf.DUMMYFUNCTION("""COMPUTED_VALUE"""),"व्यक्ति निर्माण, युवा/विद्यार्थी एवं शिक्षक")</f>
        <v>व्यक्ति निर्माण, युवा/विद्यार्थी एवं शिक्षक</v>
      </c>
      <c r="H1104" s="1"/>
      <c r="I1104" s="1"/>
      <c r="J1104" s="1"/>
      <c r="K1104" s="1"/>
      <c r="L1104" s="1"/>
      <c r="M1104" s="1"/>
      <c r="N1104" s="1"/>
      <c r="O1104" s="1"/>
      <c r="P1104" s="1"/>
      <c r="Q1104" s="1"/>
      <c r="R1104" s="1"/>
      <c r="S1104" s="1"/>
      <c r="T1104" s="1" t="str">
        <f ca="1">IFERROR(__xludf.DUMMYFUNCTION("""COMPUTED_VALUE"""),"व्यक्तित्व परिष्कार")</f>
        <v>व्यक्तित्व परिष्कार</v>
      </c>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f ca="1">IFERROR(__xludf.DUMMYFUNCTION("""COMPUTED_VALUE"""),1)</f>
        <v>1</v>
      </c>
      <c r="BX1104" s="1">
        <f ca="1">IFERROR(__xludf.DUMMYFUNCTION("""COMPUTED_VALUE"""),0)</f>
        <v>0</v>
      </c>
      <c r="BY1104" s="1">
        <f ca="1">IFERROR(__xludf.DUMMYFUNCTION("""COMPUTED_VALUE"""),1)</f>
        <v>1</v>
      </c>
      <c r="BZ1104" s="1">
        <f ca="1">IFERROR(__xludf.DUMMYFUNCTION("""COMPUTED_VALUE"""),0)</f>
        <v>0</v>
      </c>
      <c r="CA1104" s="1" t="str">
        <f ca="1">IFERROR(__xludf.DUMMYFUNCTION("""COMPUTED_VALUE"""),"Yes")</f>
        <v>Yes</v>
      </c>
      <c r="CB1104" s="5">
        <f ca="1">IFERROR(__xludf.DUMMYFUNCTION("""COMPUTED_VALUE"""),45005.814134699)</f>
        <v>45005.814134699001</v>
      </c>
      <c r="CC1104" s="1" t="str">
        <f ca="1">IFERROR(__xludf.DUMMYFUNCTION("""COMPUTED_VALUE"""),"Loose Not Your Heart Colour : EP_78")</f>
        <v>Loose Not Your Heart Colour : EP_78</v>
      </c>
      <c r="CD1104" s="3" t="str">
        <f ca="1">IFERROR(__xludf.DUMMYFUNCTION("""COMPUTED_VALUE"""),"https://vicharkrantibooks.org/productdetail?book_name=ENGPE078_LOOSE_NOT_YOUR_HEART_COLOUR_RE2012&amp;product_id=3473")</f>
        <v>https://vicharkrantibooks.org/productdetail?book_name=ENGPE078_LOOSE_NOT_YOUR_HEART_COLOUR_RE2012&amp;product_id=3473</v>
      </c>
      <c r="CE1104" s="1" t="str">
        <f ca="1">IFERROR(__xludf.DUMMYFUNCTION("""COMPUTED_VALUE"""),"Audiobook : Loose Not Your Heart Colour : EP_78 : bharatijc27@gmail.com : Recorded")</f>
        <v>Audiobook : Loose Not Your Heart Colour : EP_78 : bharatijc27@gmail.com : Recorded</v>
      </c>
      <c r="CF1104" s="1" t="str">
        <f ca="1">IFERROR(__xludf.DUMMYFUNCTION("""COMPUTED_VALUE"""),"#N/A")</f>
        <v>#N/A</v>
      </c>
      <c r="CG1104" s="1" t="str">
        <f ca="1">IFERROR(__xludf.DUMMYFUNCTION("""COMPUTED_VALUE"""),"Adarniya Bharati Jitendra Chaudhari ji Loose Not Your Heart Colour : EP_78 : Allocated on 10-Mar-23 Contact Number  09987216372")</f>
        <v>Adarniya Bharati Jitendra Chaudhari ji Loose Not Your Heart Colour : EP_78 : Allocated on 10-Mar-23 Contact Number  09987216372</v>
      </c>
      <c r="CH1104" s="1"/>
      <c r="CI1104" s="1"/>
    </row>
    <row r="1105" spans="1:87" x14ac:dyDescent="0.25">
      <c r="A1105" s="5">
        <f ca="1">IFERROR(__xludf.DUMMYFUNCTION("""COMPUTED_VALUE"""),44995.5937652662)</f>
        <v>44995.593765266203</v>
      </c>
      <c r="B1105" s="1" t="str">
        <f ca="1">IFERROR(__xludf.DUMMYFUNCTION("""COMPUTED_VALUE"""),"vandana15rastogi@gmail.com")</f>
        <v>vandana15rastogi@gmail.com</v>
      </c>
      <c r="C1105" s="1" t="str">
        <f ca="1">IFERROR(__xludf.DUMMYFUNCTION("""COMPUTED_VALUE"""),"Vandana Rastogi")</f>
        <v>Vandana Rastogi</v>
      </c>
      <c r="D1105" s="1">
        <f ca="1">IFERROR(__xludf.DUMMYFUNCTION("""COMPUTED_VALUE"""),9359528684)</f>
        <v>9359528684</v>
      </c>
      <c r="E1105" s="1" t="str">
        <f ca="1">IFERROR(__xludf.DUMMYFUNCTION("""COMPUTED_VALUE"""),"Yes")</f>
        <v>Yes</v>
      </c>
      <c r="F1105" s="1" t="str">
        <f ca="1">IFERROR(__xludf.DUMMYFUNCTION("""COMPUTED_VALUE"""),"हिन्दी")</f>
        <v>हिन्दी</v>
      </c>
      <c r="G1105" s="1" t="str">
        <f ca="1">IFERROR(__xludf.DUMMYFUNCTION("""COMPUTED_VALUE"""),"अध्यात्म, धर्म एवं दर्शन")</f>
        <v>अध्यात्म, धर्म एवं दर्शन</v>
      </c>
      <c r="H1105" s="1" t="str">
        <f ca="1">IFERROR(__xludf.DUMMYFUNCTION("""COMPUTED_VALUE"""),"आत्मज्ञान एवं आत्मनिर्माण")</f>
        <v>आत्मज्ञान एवं आत्मनिर्माण</v>
      </c>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f ca="1">IFERROR(__xludf.DUMMYFUNCTION("""COMPUTED_VALUE"""),33)</f>
        <v>33</v>
      </c>
      <c r="BX1105" s="1">
        <f ca="1">IFERROR(__xludf.DUMMYFUNCTION("""COMPUTED_VALUE"""),19)</f>
        <v>19</v>
      </c>
      <c r="BY1105" s="1">
        <f ca="1">IFERROR(__xludf.DUMMYFUNCTION("""COMPUTED_VALUE"""),17)</f>
        <v>17</v>
      </c>
      <c r="BZ1105" s="1">
        <f ca="1">IFERROR(__xludf.DUMMYFUNCTION("""COMPUTED_VALUE"""),14)</f>
        <v>14</v>
      </c>
      <c r="CA1105" s="1" t="str">
        <f ca="1">IFERROR(__xludf.DUMMYFUNCTION("""COMPUTED_VALUE"""),"Yes")</f>
        <v>Yes</v>
      </c>
      <c r="CB1105" s="5">
        <f ca="1">IFERROR(__xludf.DUMMYFUNCTION("""COMPUTED_VALUE"""),45005.5937652662)</f>
        <v>45005.593765266203</v>
      </c>
      <c r="CC1105" s="1" t="str">
        <f ca="1">IFERROR(__xludf.DUMMYFUNCTION("""COMPUTED_VALUE"""),"आस्तिकता का प्राण है श्रद्धा : H_JS_48")</f>
        <v>आस्तिकता का प्राण है श्रद्धा : H_JS_48</v>
      </c>
      <c r="CD1105" s="3" t="str">
        <f ca="1">IFERROR(__xludf.DUMMYFUNCTION("""COMPUTED_VALUE"""),"https://vicharkrantibooks.org/productdetail?book_name=HINP0084_ASTIKATA_KA_PRAN_HAI_SHRADDHA_xx2011&amp;product_id=649")</f>
        <v>https://vicharkrantibooks.org/productdetail?book_name=HINP0084_ASTIKATA_KA_PRAN_HAI_SHRADDHA_xx2011&amp;product_id=649</v>
      </c>
      <c r="CE1105" s="1" t="str">
        <f ca="1">IFERROR(__xludf.DUMMYFUNCTION("""COMPUTED_VALUE"""),"Audiobook : आस्तिकता का प्राण है श्रद्धा : H_JS_48 : vandana15rastogi@gmail.com : Recorded")</f>
        <v>Audiobook : आस्तिकता का प्राण है श्रद्धा : H_JS_48 : vandana15rastogi@gmail.com : Recorded</v>
      </c>
      <c r="CF1105" s="1" t="str">
        <f ca="1">IFERROR(__xludf.DUMMYFUNCTION("""COMPUTED_VALUE"""),"Audiobook : आस्तिकता का प्राण है श्रद्धा : H_JS_48 : vandana15rastogi@gmail.com : Recorded")</f>
        <v>Audiobook : आस्तिकता का प्राण है श्रद्धा : H_JS_48 : vandana15rastogi@gmail.com : Recorded</v>
      </c>
      <c r="CG1105" s="1" t="str">
        <f ca="1">IFERROR(__xludf.DUMMYFUNCTION("""COMPUTED_VALUE"""),"Adarniya Vandana Rastogi ji आस्तिकता का प्राण है श्रद्धा : H_JS_48 : Allocated on 10-Mar-23 Contact Number  9359528684")</f>
        <v>Adarniya Vandana Rastogi ji आस्तिकता का प्राण है श्रद्धा : H_JS_48 : Allocated on 10-Mar-23 Contact Number  9359528684</v>
      </c>
      <c r="CH1105" s="1"/>
      <c r="CI1105" s="1"/>
    </row>
    <row r="1106" spans="1:87" x14ac:dyDescent="0.25">
      <c r="A1106" s="5">
        <f ca="1">IFERROR(__xludf.DUMMYFUNCTION("""COMPUTED_VALUE"""),44995.3060675462)</f>
        <v>44995.306067546197</v>
      </c>
      <c r="B1106" s="1" t="str">
        <f ca="1">IFERROR(__xludf.DUMMYFUNCTION("""COMPUTED_VALUE"""),"samidhachhr@gmail.com")</f>
        <v>samidhachhr@gmail.com</v>
      </c>
      <c r="C1106" s="1" t="str">
        <f ca="1">IFERROR(__xludf.DUMMYFUNCTION("""COMPUTED_VALUE"""),"Samidha Kendurkar")</f>
        <v>Samidha Kendurkar</v>
      </c>
      <c r="D1106" s="1">
        <f ca="1">IFERROR(__xludf.DUMMYFUNCTION("""COMPUTED_VALUE"""),9977227429)</f>
        <v>9977227429</v>
      </c>
      <c r="E1106" s="1" t="str">
        <f ca="1">IFERROR(__xludf.DUMMYFUNCTION("""COMPUTED_VALUE"""),"Yes")</f>
        <v>Yes</v>
      </c>
      <c r="F1106" s="1" t="str">
        <f ca="1">IFERROR(__xludf.DUMMYFUNCTION("""COMPUTED_VALUE"""),"हिन्दी")</f>
        <v>हिन्दी</v>
      </c>
      <c r="G1106" s="1" t="str">
        <f ca="1">IFERROR(__xludf.DUMMYFUNCTION("""COMPUTED_VALUE"""),"जीवन प्रबंध")</f>
        <v>जीवन प्रबंध</v>
      </c>
      <c r="H1106" s="1"/>
      <c r="I1106" s="1"/>
      <c r="J1106" s="1"/>
      <c r="K1106" s="1"/>
      <c r="L1106" s="1" t="str">
        <f ca="1">IFERROR(__xludf.DUMMYFUNCTION("""COMPUTED_VALUE"""),"मन की शक्ति एवं मनोविज्ञान")</f>
        <v>मन की शक्ति एवं मनोविज्ञान</v>
      </c>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f ca="1">IFERROR(__xludf.DUMMYFUNCTION("""COMPUTED_VALUE"""),7)</f>
        <v>7</v>
      </c>
      <c r="BX1106" s="1">
        <f ca="1">IFERROR(__xludf.DUMMYFUNCTION("""COMPUTED_VALUE"""),6)</f>
        <v>6</v>
      </c>
      <c r="BY1106" s="1">
        <f ca="1">IFERROR(__xludf.DUMMYFUNCTION("""COMPUTED_VALUE"""),4)</f>
        <v>4</v>
      </c>
      <c r="BZ1106" s="1">
        <f ca="1">IFERROR(__xludf.DUMMYFUNCTION("""COMPUTED_VALUE"""),3)</f>
        <v>3</v>
      </c>
      <c r="CA1106" s="1" t="str">
        <f ca="1">IFERROR(__xludf.DUMMYFUNCTION("""COMPUTED_VALUE"""),"Yes")</f>
        <v>Yes</v>
      </c>
      <c r="CB1106" s="5">
        <f ca="1">IFERROR(__xludf.DUMMYFUNCTION("""COMPUTED_VALUE"""),45005.3060675462)</f>
        <v>45005.306067546197</v>
      </c>
      <c r="CC1106" s="1" t="str">
        <f ca="1">IFERROR(__xludf.DUMMYFUNCTION("""COMPUTED_VALUE"""),"जीवन व्यापार की सफलता का आधार शालीनता : Rare Book")</f>
        <v>जीवन व्यापार की सफलता का आधार शालीनता : Rare Book</v>
      </c>
      <c r="CD1106" s="3" t="str">
        <f ca="1">IFERROR(__xludf.DUMMYFUNCTION("""COMPUTED_VALUE"""),"https://vicharkrantibooks.org/productdetail?book_name=HINP0397_JIVAN_VYAPAR_KI_SAPHALATA_KA_ADHAR_SHALINATA_xx1982&amp;product_id=962")</f>
        <v>https://vicharkrantibooks.org/productdetail?book_name=HINP0397_JIVAN_VYAPAR_KI_SAPHALATA_KA_ADHAR_SHALINATA_xx1982&amp;product_id=962</v>
      </c>
      <c r="CE1106" s="1" t="str">
        <f ca="1">IFERROR(__xludf.DUMMYFUNCTION("""COMPUTED_VALUE"""),"Audiobook : जीवन व्यापार की सफलता का आधार शालीनता : Rare Book : samidhachhr@gmail.com : Recorded")</f>
        <v>Audiobook : जीवन व्यापार की सफलता का आधार शालीनता : Rare Book : samidhachhr@gmail.com : Recorded</v>
      </c>
      <c r="CF1106" s="1" t="str">
        <f ca="1">IFERROR(__xludf.DUMMYFUNCTION("""COMPUTED_VALUE"""),"#N/A")</f>
        <v>#N/A</v>
      </c>
      <c r="CG1106" s="1" t="str">
        <f ca="1">IFERROR(__xludf.DUMMYFUNCTION("""COMPUTED_VALUE"""),"Adarniya Samidha Kendurkar ji जीवन व्यापार की सफलता का आधार शालीनता : Rare Book : Allocated on 10-Mar-23 Contact Number  9977227429")</f>
        <v>Adarniya Samidha Kendurkar ji जीवन व्यापार की सफलता का आधार शालीनता : Rare Book : Allocated on 10-Mar-23 Contact Number  9977227429</v>
      </c>
      <c r="CH1106" s="1"/>
      <c r="CI1106" s="1"/>
    </row>
    <row r="1107" spans="1:87" x14ac:dyDescent="0.25">
      <c r="A1107" s="5">
        <f ca="1">IFERROR(__xludf.DUMMYFUNCTION("""COMPUTED_VALUE"""),44993.8113091898)</f>
        <v>44993.811309189798</v>
      </c>
      <c r="B1107" s="1" t="str">
        <f ca="1">IFERROR(__xludf.DUMMYFUNCTION("""COMPUTED_VALUE"""),"spmittalmumbai@gmail.com")</f>
        <v>spmittalmumbai@gmail.com</v>
      </c>
      <c r="C1107" s="1" t="str">
        <f ca="1">IFERROR(__xludf.DUMMYFUNCTION("""COMPUTED_VALUE"""),"Satya prabha Mittal")</f>
        <v>Satya prabha Mittal</v>
      </c>
      <c r="D1107" s="1">
        <f ca="1">IFERROR(__xludf.DUMMYFUNCTION("""COMPUTED_VALUE"""),7045537099)</f>
        <v>7045537099</v>
      </c>
      <c r="E1107" s="1" t="str">
        <f ca="1">IFERROR(__xludf.DUMMYFUNCTION("""COMPUTED_VALUE"""),"Yes")</f>
        <v>Yes</v>
      </c>
      <c r="F1107" s="1" t="str">
        <f ca="1">IFERROR(__xludf.DUMMYFUNCTION("""COMPUTED_VALUE"""),"हिन्दी")</f>
        <v>हिन्दी</v>
      </c>
      <c r="G1107" s="1" t="str">
        <f ca="1">IFERROR(__xludf.DUMMYFUNCTION("""COMPUTED_VALUE"""),"युग परिवर्तन-विचार क्रांति")</f>
        <v>युग परिवर्तन-विचार क्रांति</v>
      </c>
      <c r="H1107" s="1"/>
      <c r="I1107" s="1"/>
      <c r="J1107" s="1"/>
      <c r="K1107" s="1"/>
      <c r="L1107" s="1"/>
      <c r="M1107" s="1"/>
      <c r="N1107" s="1"/>
      <c r="O1107" s="1"/>
      <c r="P1107" s="1"/>
      <c r="Q1107" s="1" t="str">
        <f ca="1">IFERROR(__xludf.DUMMYFUNCTION("""COMPUTED_VALUE"""),"विचार क्रांति")</f>
        <v>विचार क्रांति</v>
      </c>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f ca="1">IFERROR(__xludf.DUMMYFUNCTION("""COMPUTED_VALUE"""),39)</f>
        <v>39</v>
      </c>
      <c r="BX1107" s="1">
        <f ca="1">IFERROR(__xludf.DUMMYFUNCTION("""COMPUTED_VALUE"""),32)</f>
        <v>32</v>
      </c>
      <c r="BY1107" s="1">
        <f ca="1">IFERROR(__xludf.DUMMYFUNCTION("""COMPUTED_VALUE"""),11)</f>
        <v>11</v>
      </c>
      <c r="BZ1107" s="1">
        <f ca="1">IFERROR(__xludf.DUMMYFUNCTION("""COMPUTED_VALUE"""),23)</f>
        <v>23</v>
      </c>
      <c r="CA1107" s="1" t="str">
        <f ca="1">IFERROR(__xludf.DUMMYFUNCTION("""COMPUTED_VALUE"""),"Yes")</f>
        <v>Yes</v>
      </c>
      <c r="CB1107" s="5">
        <f ca="1">IFERROR(__xludf.DUMMYFUNCTION("""COMPUTED_VALUE"""),45003.8113091898)</f>
        <v>45003.811309189798</v>
      </c>
      <c r="CC1107" s="1" t="str">
        <f ca="1">IFERROR(__xludf.DUMMYFUNCTION("""COMPUTED_VALUE"""),"इक्कीसवीं सदी की उज्जवल संभावनाएँ : Rare Book")</f>
        <v>इक्कीसवीं सदी की उज्जवल संभावनाएँ : Rare Book</v>
      </c>
      <c r="CD1107" s="3" t="str">
        <f ca="1">IFERROR(__xludf.DUMMYFUNCTION("""COMPUTED_VALUE"""),"https://vicharkrantibooks.org/productdetail?book_name=HINP1116_IKKISAVI_SADI_KI_UJJAVAL_SAMBHAVANAE_xxyyyy&amp;product_id=1681")</f>
        <v>https://vicharkrantibooks.org/productdetail?book_name=HINP1116_IKKISAVI_SADI_KI_UJJAVAL_SAMBHAVANAE_xxyyyy&amp;product_id=1681</v>
      </c>
      <c r="CE1107" s="1" t="str">
        <f ca="1">IFERROR(__xludf.DUMMYFUNCTION("""COMPUTED_VALUE"""),"Audiobook : इक्कीसवीं सदी की उज्जवल संभावनाएँ : Rare Book : spmittalmumbai@gmail.com : Recorded")</f>
        <v>Audiobook : इक्कीसवीं सदी की उज्जवल संभावनाएँ : Rare Book : spmittalmumbai@gmail.com : Recorded</v>
      </c>
      <c r="CF1107" s="1" t="str">
        <f ca="1">IFERROR(__xludf.DUMMYFUNCTION("""COMPUTED_VALUE"""),"#N/A")</f>
        <v>#N/A</v>
      </c>
      <c r="CG1107" s="1" t="str">
        <f ca="1">IFERROR(__xludf.DUMMYFUNCTION("""COMPUTED_VALUE"""),"Adarniya Satya prabha Mittal ji इक्कीसवीं सदी की उज्जवल संभावनाएँ : Rare Book : Allocated on 08-Mar-23 Contact Number  7045537099")</f>
        <v>Adarniya Satya prabha Mittal ji इक्कीसवीं सदी की उज्जवल संभावनाएँ : Rare Book : Allocated on 08-Mar-23 Contact Number  7045537099</v>
      </c>
      <c r="CH1107" s="1"/>
      <c r="CI1107" s="1"/>
    </row>
    <row r="1108" spans="1:87" x14ac:dyDescent="0.25">
      <c r="A1108" s="5">
        <f ca="1">IFERROR(__xludf.DUMMYFUNCTION("""COMPUTED_VALUE"""),44993.3124485995)</f>
        <v>44993.312448599499</v>
      </c>
      <c r="B1108" s="1" t="str">
        <f ca="1">IFERROR(__xludf.DUMMYFUNCTION("""COMPUTED_VALUE"""),"sanjayneha1@yahoo.com")</f>
        <v>sanjayneha1@yahoo.com</v>
      </c>
      <c r="C1108" s="1" t="str">
        <f ca="1">IFERROR(__xludf.DUMMYFUNCTION("""COMPUTED_VALUE"""),"Neha Manocha")</f>
        <v>Neha Manocha</v>
      </c>
      <c r="D1108" s="1">
        <f ca="1">IFERROR(__xludf.DUMMYFUNCTION("""COMPUTED_VALUE"""),16174130446)</f>
        <v>16174130446</v>
      </c>
      <c r="E1108" s="1" t="str">
        <f ca="1">IFERROR(__xludf.DUMMYFUNCTION("""COMPUTED_VALUE"""),"Yes")</f>
        <v>Yes</v>
      </c>
      <c r="F1108" s="1" t="str">
        <f ca="1">IFERROR(__xludf.DUMMYFUNCTION("""COMPUTED_VALUE"""),"हिन्दी or English")</f>
        <v>हिन्दी or English</v>
      </c>
      <c r="G1108" s="1" t="str">
        <f ca="1">IFERROR(__xludf.DUMMYFUNCTION("""COMPUTED_VALUE"""),"युग द्रष्टा पं. श्रीराम शर्मा आचार्यजी")</f>
        <v>युग द्रष्टा पं. श्रीराम शर्मा आचार्यजी</v>
      </c>
      <c r="H1108" s="1"/>
      <c r="I1108" s="1"/>
      <c r="J1108" s="1"/>
      <c r="K1108" s="1"/>
      <c r="L1108" s="1"/>
      <c r="M1108" s="1"/>
      <c r="N1108" s="1"/>
      <c r="O1108" s="1"/>
      <c r="P1108" s="1" t="str">
        <f ca="1">IFERROR(__xludf.DUMMYFUNCTION("""COMPUTED_VALUE"""),"युगॠषी का जीवनदर्शन")</f>
        <v>युगॠषी का जीवनदर्शन</v>
      </c>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f ca="1">IFERROR(__xludf.DUMMYFUNCTION("""COMPUTED_VALUE"""),33)</f>
        <v>33</v>
      </c>
      <c r="BX1108" s="1">
        <f ca="1">IFERROR(__xludf.DUMMYFUNCTION("""COMPUTED_VALUE"""),40)</f>
        <v>40</v>
      </c>
      <c r="BY1108" s="1">
        <f ca="1">IFERROR(__xludf.DUMMYFUNCTION("""COMPUTED_VALUE"""),3)</f>
        <v>3</v>
      </c>
      <c r="BZ1108" s="1">
        <f ca="1">IFERROR(__xludf.DUMMYFUNCTION("""COMPUTED_VALUE"""),22)</f>
        <v>22</v>
      </c>
      <c r="CA1108" s="1" t="str">
        <f ca="1">IFERROR(__xludf.DUMMYFUNCTION("""COMPUTED_VALUE"""),"Yes")</f>
        <v>Yes</v>
      </c>
      <c r="CB1108" s="5">
        <f ca="1">IFERROR(__xludf.DUMMYFUNCTION("""COMPUTED_VALUE"""),45003.3124485995)</f>
        <v>45003.312448599499</v>
      </c>
      <c r="CC1108" s="1" t="str">
        <f ca="1">IFERROR(__xludf.DUMMYFUNCTION("""COMPUTED_VALUE"""),"Sagacious Women Should Lead Women Liberation : EP_119")</f>
        <v>Sagacious Women Should Lead Women Liberation : EP_119</v>
      </c>
      <c r="CD1108" s="3" t="str">
        <f ca="1">IFERROR(__xludf.DUMMYFUNCTION("""COMPUTED_VALUE"""),"https://vicharkrantibooks.org/productdetail?book_name=ENGP0480_SAGACIOUS_WOMEN_SHOULD_LEAD_WOMEN_LIBERATION_xxyyyy&amp;product_id=3504")</f>
        <v>https://vicharkrantibooks.org/productdetail?book_name=ENGP0480_SAGACIOUS_WOMEN_SHOULD_LEAD_WOMEN_LIBERATION_xxyyyy&amp;product_id=3504</v>
      </c>
      <c r="CE1108" s="1" t="str">
        <f ca="1">IFERROR(__xludf.DUMMYFUNCTION("""COMPUTED_VALUE"""),"Audiobook : Sagacious Women Should Lead Women Liberation : EP_119 : sanjayneha1@yahoo.com : Recorded")</f>
        <v>Audiobook : Sagacious Women Should Lead Women Liberation : EP_119 : sanjayneha1@yahoo.com : Recorded</v>
      </c>
      <c r="CF1108" s="1" t="str">
        <f ca="1">IFERROR(__xludf.DUMMYFUNCTION("""COMPUTED_VALUE"""),"Audiobook : Sagacious Women Should Lead Women Liberation : EP_119 : sanjayneha1@yahoo.com : Recorded")</f>
        <v>Audiobook : Sagacious Women Should Lead Women Liberation : EP_119 : sanjayneha1@yahoo.com : Recorded</v>
      </c>
      <c r="CG1108" s="1" t="str">
        <f ca="1">IFERROR(__xludf.DUMMYFUNCTION("""COMPUTED_VALUE"""),"Adarniya Neha Manocha ji Sagacious Women Should Lead Women Liberation : EP_119 : Allocated on 08-Mar-23 Contact Number  16174130446")</f>
        <v>Adarniya Neha Manocha ji Sagacious Women Should Lead Women Liberation : EP_119 : Allocated on 08-Mar-23 Contact Number  16174130446</v>
      </c>
      <c r="CH1108" s="1"/>
      <c r="CI1108" s="1"/>
    </row>
    <row r="1109" spans="1:87" x14ac:dyDescent="0.25">
      <c r="A1109" s="5">
        <f ca="1">IFERROR(__xludf.DUMMYFUNCTION("""COMPUTED_VALUE"""),44992.4283792129)</f>
        <v>44992.428379212899</v>
      </c>
      <c r="B1109" s="1" t="str">
        <f ca="1">IFERROR(__xludf.DUMMYFUNCTION("""COMPUTED_VALUE"""),"purnima.bharadwaj.24@gmail.com")</f>
        <v>purnima.bharadwaj.24@gmail.com</v>
      </c>
      <c r="C1109" s="1" t="str">
        <f ca="1">IFERROR(__xludf.DUMMYFUNCTION("""COMPUTED_VALUE"""),"पूर्णिमा भारद्वाज ")</f>
        <v xml:space="preserve">पूर्णिमा भारद्वाज </v>
      </c>
      <c r="D1109" s="1">
        <f ca="1">IFERROR(__xludf.DUMMYFUNCTION("""COMPUTED_VALUE"""),9415389032)</f>
        <v>9415389032</v>
      </c>
      <c r="E1109" s="1" t="str">
        <f ca="1">IFERROR(__xludf.DUMMYFUNCTION("""COMPUTED_VALUE"""),"Yes")</f>
        <v>Yes</v>
      </c>
      <c r="F1109" s="1" t="str">
        <f ca="1">IFERROR(__xludf.DUMMYFUNCTION("""COMPUTED_VALUE"""),"हिन्दी")</f>
        <v>हिन्दी</v>
      </c>
      <c r="G1109" s="1" t="str">
        <f ca="1">IFERROR(__xludf.DUMMYFUNCTION("""COMPUTED_VALUE"""),"युग द्रष्टा पं. श्रीराम शर्मा आचार्यजी")</f>
        <v>युग द्रष्टा पं. श्रीराम शर्मा आचार्यजी</v>
      </c>
      <c r="H1109" s="1"/>
      <c r="I1109" s="1"/>
      <c r="J1109" s="1"/>
      <c r="K1109" s="1"/>
      <c r="L1109" s="1"/>
      <c r="M1109" s="1"/>
      <c r="N1109" s="1"/>
      <c r="O1109" s="1"/>
      <c r="P1109" s="1" t="str">
        <f ca="1">IFERROR(__xludf.DUMMYFUNCTION("""COMPUTED_VALUE"""),"युगॠषी की अमृतवाणी")</f>
        <v>युगॠषी की अमृतवाणी</v>
      </c>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f ca="1">IFERROR(__xludf.DUMMYFUNCTION("""COMPUTED_VALUE"""),43)</f>
        <v>43</v>
      </c>
      <c r="BX1109" s="1">
        <f ca="1">IFERROR(__xludf.DUMMYFUNCTION("""COMPUTED_VALUE"""),36)</f>
        <v>36</v>
      </c>
      <c r="BY1109" s="1">
        <f ca="1">IFERROR(__xludf.DUMMYFUNCTION("""COMPUTED_VALUE"""),9)</f>
        <v>9</v>
      </c>
      <c r="BZ1109" s="1">
        <f ca="1">IFERROR(__xludf.DUMMYFUNCTION("""COMPUTED_VALUE"""),30)</f>
        <v>30</v>
      </c>
      <c r="CA1109" s="1" t="str">
        <f ca="1">IFERROR(__xludf.DUMMYFUNCTION("""COMPUTED_VALUE"""),"Yes")</f>
        <v>Yes</v>
      </c>
      <c r="CB1109" s="5">
        <f ca="1">IFERROR(__xludf.DUMMYFUNCTION("""COMPUTED_VALUE"""),45002.4283792129)</f>
        <v>45002.428379212899</v>
      </c>
      <c r="CC1109" s="1" t="str">
        <f ca="1">IFERROR(__xludf.DUMMYFUNCTION("""COMPUTED_VALUE"""),"युग ऋषि की अमर वाणी भाग २ : Rare Book")</f>
        <v>युग ऋषि की अमर वाणी भाग २ : Rare Book</v>
      </c>
      <c r="CD1109" s="3" t="str">
        <f ca="1">IFERROR(__xludf.DUMMYFUNCTION("""COMPUTED_VALUE"""),"https://vicharkrantibooks.org/productdetail?book_name=HINP1060_YUG_RUSHI_KI_AMAR_VANI_BHAG_2_xxyyyy&amp;product_id=1625")</f>
        <v>https://vicharkrantibooks.org/productdetail?book_name=HINP1060_YUG_RUSHI_KI_AMAR_VANI_BHAG_2_xxyyyy&amp;product_id=1625</v>
      </c>
      <c r="CE1109" s="1" t="str">
        <f ca="1">IFERROR(__xludf.DUMMYFUNCTION("""COMPUTED_VALUE"""),"Audiobook : युग ऋषि की अमर वाणी भाग २ : Rare Book : purnima.bharadwaj.24@gmail.com : Recorded")</f>
        <v>Audiobook : युग ऋषि की अमर वाणी भाग २ : Rare Book : purnima.bharadwaj.24@gmail.com : Recorded</v>
      </c>
      <c r="CF1109" s="1" t="str">
        <f ca="1">IFERROR(__xludf.DUMMYFUNCTION("""COMPUTED_VALUE"""),"#N/A")</f>
        <v>#N/A</v>
      </c>
      <c r="CG1109" s="1" t="str">
        <f ca="1">IFERROR(__xludf.DUMMYFUNCTION("""COMPUTED_VALUE"""),"Adarniya पूर्णिमा भारद्वाज  ji युग ऋषि की अमर वाणी भाग २ : Rare Book : Allocated on 07-Mar-23 Contact Number  9415389032")</f>
        <v>Adarniya पूर्णिमा भारद्वाज  ji युग ऋषि की अमर वाणी भाग २ : Rare Book : Allocated on 07-Mar-23 Contact Number  9415389032</v>
      </c>
      <c r="CH1109" s="1"/>
      <c r="CI1109" s="1"/>
    </row>
    <row r="1110" spans="1:87" x14ac:dyDescent="0.25">
      <c r="A1110" s="5">
        <f ca="1">IFERROR(__xludf.DUMMYFUNCTION("""COMPUTED_VALUE"""),44992.3111043865)</f>
        <v>44992.311104386499</v>
      </c>
      <c r="B1110" s="1" t="str">
        <f ca="1">IFERROR(__xludf.DUMMYFUNCTION("""COMPUTED_VALUE"""),"anshu14.singh@yahoo.in")</f>
        <v>anshu14.singh@yahoo.in</v>
      </c>
      <c r="C1110" s="1" t="str">
        <f ca="1">IFERROR(__xludf.DUMMYFUNCTION("""COMPUTED_VALUE"""),"Anshu singh")</f>
        <v>Anshu singh</v>
      </c>
      <c r="D1110" s="1">
        <f ca="1">IFERROR(__xludf.DUMMYFUNCTION("""COMPUTED_VALUE"""),9977301575)</f>
        <v>9977301575</v>
      </c>
      <c r="E1110" s="1" t="str">
        <f ca="1">IFERROR(__xludf.DUMMYFUNCTION("""COMPUTED_VALUE"""),"Yes")</f>
        <v>Yes</v>
      </c>
      <c r="F1110" s="1" t="str">
        <f ca="1">IFERROR(__xludf.DUMMYFUNCTION("""COMPUTED_VALUE"""),"हिन्दी")</f>
        <v>हिन्दी</v>
      </c>
      <c r="G1110" s="1" t="str">
        <f ca="1">IFERROR(__xludf.DUMMYFUNCTION("""COMPUTED_VALUE"""),"अध्यात्म, धर्म एवं दर्शन")</f>
        <v>अध्यात्म, धर्म एवं दर्शन</v>
      </c>
      <c r="H1110" s="1" t="str">
        <f ca="1">IFERROR(__xludf.DUMMYFUNCTION("""COMPUTED_VALUE"""),"अध्यात्म, धर्म एवं आस्तिकता")</f>
        <v>अध्यात्म, धर्म एवं आस्तिकता</v>
      </c>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f ca="1">IFERROR(__xludf.DUMMYFUNCTION("""COMPUTED_VALUE"""),9)</f>
        <v>9</v>
      </c>
      <c r="BX1110" s="1">
        <f ca="1">IFERROR(__xludf.DUMMYFUNCTION("""COMPUTED_VALUE"""),5)</f>
        <v>5</v>
      </c>
      <c r="BY1110" s="1">
        <f ca="1">IFERROR(__xludf.DUMMYFUNCTION("""COMPUTED_VALUE"""),4)</f>
        <v>4</v>
      </c>
      <c r="BZ1110" s="1">
        <f ca="1">IFERROR(__xludf.DUMMYFUNCTION("""COMPUTED_VALUE"""),0)</f>
        <v>0</v>
      </c>
      <c r="CA1110" s="1" t="str">
        <f ca="1">IFERROR(__xludf.DUMMYFUNCTION("""COMPUTED_VALUE"""),"Yes")</f>
        <v>Yes</v>
      </c>
      <c r="CB1110" s="5">
        <f ca="1">IFERROR(__xludf.DUMMYFUNCTION("""COMPUTED_VALUE"""),45002.3111043865)</f>
        <v>45002.311104386499</v>
      </c>
      <c r="CC1110" s="1" t="str">
        <f ca="1">IFERROR(__xludf.DUMMYFUNCTION("""COMPUTED_VALUE"""),"आस्तिकता और उपासना जीवन का अनिवार्य अंग : Rare Book")</f>
        <v>आस्तिकता और उपासना जीवन का अनिवार्य अंग : Rare Book</v>
      </c>
      <c r="CD1110" s="3" t="str">
        <f ca="1">IFERROR(__xludf.DUMMYFUNCTION("""COMPUTED_VALUE"""),"https://vicharkrantibooks.org/productdetail?book_name=HINP0083_ASTIKATA_AUR_UPASANA_JIVAN_KA_ANIVARY_ANG_xxyyyy&amp;product_id=648")</f>
        <v>https://vicharkrantibooks.org/productdetail?book_name=HINP0083_ASTIKATA_AUR_UPASANA_JIVAN_KA_ANIVARY_ANG_xxyyyy&amp;product_id=648</v>
      </c>
      <c r="CE1110" s="1" t="str">
        <f ca="1">IFERROR(__xludf.DUMMYFUNCTION("""COMPUTED_VALUE"""),"Audiobook : आस्तिकता और उपासना जीवन का अनिवार्य अंग : Rare Book : anshu14.singh@yahoo.in : Recorded")</f>
        <v>Audiobook : आस्तिकता और उपासना जीवन का अनिवार्य अंग : Rare Book : anshu14.singh@yahoo.in : Recorded</v>
      </c>
      <c r="CF1110" s="1" t="str">
        <f ca="1">IFERROR(__xludf.DUMMYFUNCTION("""COMPUTED_VALUE"""),"Audiobook : आस्तिकता और उपासना जीवन का अनिवार्य अंग : Rare Book : anshu14.singh@yahoo.in : Recorded")</f>
        <v>Audiobook : आस्तिकता और उपासना जीवन का अनिवार्य अंग : Rare Book : anshu14.singh@yahoo.in : Recorded</v>
      </c>
      <c r="CG1110" s="1" t="str">
        <f ca="1">IFERROR(__xludf.DUMMYFUNCTION("""COMPUTED_VALUE"""),"Adarniya Anshu singh ji आस्तिकता और उपासना जीवन का अनिवार्य अंग : Rare Book : Allocated on 07-Mar-23 Contact Number  9977301575")</f>
        <v>Adarniya Anshu singh ji आस्तिकता और उपासना जीवन का अनिवार्य अंग : Rare Book : Allocated on 07-Mar-23 Contact Number  9977301575</v>
      </c>
      <c r="CH1110" s="1"/>
      <c r="CI1110" s="1"/>
    </row>
    <row r="1111" spans="1:87" x14ac:dyDescent="0.25">
      <c r="A1111" s="5">
        <f ca="1">IFERROR(__xludf.DUMMYFUNCTION("""COMPUTED_VALUE"""),44991.8188943865)</f>
        <v>44991.818894386503</v>
      </c>
      <c r="B1111" s="1" t="str">
        <f ca="1">IFERROR(__xludf.DUMMYFUNCTION("""COMPUTED_VALUE"""),"satishkumar75.sk10@gmail.com")</f>
        <v>satishkumar75.sk10@gmail.com</v>
      </c>
      <c r="C1111" s="1" t="str">
        <f ca="1">IFERROR(__xludf.DUMMYFUNCTION("""COMPUTED_VALUE"""),"Satish Kumar ")</f>
        <v xml:space="preserve">Satish Kumar </v>
      </c>
      <c r="D1111" s="1">
        <f ca="1">IFERROR(__xludf.DUMMYFUNCTION("""COMPUTED_VALUE"""),8082770813)</f>
        <v>8082770813</v>
      </c>
      <c r="E1111" s="1" t="str">
        <f ca="1">IFERROR(__xludf.DUMMYFUNCTION("""COMPUTED_VALUE"""),"Yes")</f>
        <v>Yes</v>
      </c>
      <c r="F1111" s="1" t="str">
        <f ca="1">IFERROR(__xludf.DUMMYFUNCTION("""COMPUTED_VALUE"""),"हिन्दी")</f>
        <v>हिन्दी</v>
      </c>
      <c r="G1111" s="1" t="str">
        <f ca="1">IFERROR(__xludf.DUMMYFUNCTION("""COMPUTED_VALUE"""),"जीवन प्रबंध")</f>
        <v>जीवन प्रबंध</v>
      </c>
      <c r="H1111" s="1"/>
      <c r="I1111" s="1"/>
      <c r="J1111" s="1"/>
      <c r="K1111" s="1"/>
      <c r="L1111" s="1" t="str">
        <f ca="1">IFERROR(__xludf.DUMMYFUNCTION("""COMPUTED_VALUE"""),"जीवन साधना")</f>
        <v>जीवन साधना</v>
      </c>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f ca="1">IFERROR(__xludf.DUMMYFUNCTION("""COMPUTED_VALUE"""),4)</f>
        <v>4</v>
      </c>
      <c r="BX1111" s="1">
        <f ca="1">IFERROR(__xludf.DUMMYFUNCTION("""COMPUTED_VALUE"""),4)</f>
        <v>4</v>
      </c>
      <c r="BY1111" s="1">
        <f ca="1">IFERROR(__xludf.DUMMYFUNCTION("""COMPUTED_VALUE"""),1)</f>
        <v>1</v>
      </c>
      <c r="BZ1111" s="1">
        <f ca="1">IFERROR(__xludf.DUMMYFUNCTION("""COMPUTED_VALUE"""),0)</f>
        <v>0</v>
      </c>
      <c r="CA1111" s="1" t="str">
        <f ca="1">IFERROR(__xludf.DUMMYFUNCTION("""COMPUTED_VALUE"""),"Yes")</f>
        <v>Yes</v>
      </c>
      <c r="CB1111" s="5">
        <f ca="1">IFERROR(__xludf.DUMMYFUNCTION("""COMPUTED_VALUE"""),45001.8188943865)</f>
        <v>45001.818894386503</v>
      </c>
      <c r="CC1111" s="1" t="str">
        <f ca="1">IFERROR(__xludf.DUMMYFUNCTION("""COMPUTED_VALUE"""),"ऋषि चिंतन के सान्निध्य में ०४ (पोकेट) : H_SJ_28_4")</f>
        <v>ऋषि चिंतन के सान्निध्य में ०४ (पोकेट) : H_SJ_28_4</v>
      </c>
      <c r="CD1111" s="3" t="str">
        <f ca="1">IFERROR(__xludf.DUMMYFUNCTION("""COMPUTED_VALUE"""),"https://vicharkrantibooks.org/productdetail?book_name=HINP0715_RUSHI_CHINTAN_KE_SANIDHYA_MEIN_04_(POCKET)_xxyyyy&amp;product_id=1280")</f>
        <v>https://vicharkrantibooks.org/productdetail?book_name=HINP0715_RUSHI_CHINTAN_KE_SANIDHYA_MEIN_04_(POCKET)_xxyyyy&amp;product_id=1280</v>
      </c>
      <c r="CE1111" s="1" t="str">
        <f ca="1">IFERROR(__xludf.DUMMYFUNCTION("""COMPUTED_VALUE"""),"Audiobook : ऋषि चिंतन के सान्निध्य में ०४ (पोकेट) : H_SJ_28_4 : satishkumar75.sk10@gmail.com : Recorded")</f>
        <v>Audiobook : ऋषि चिंतन के सान्निध्य में ०४ (पोकेट) : H_SJ_28_4 : satishkumar75.sk10@gmail.com : Recorded</v>
      </c>
      <c r="CF1111" s="1" t="str">
        <f ca="1">IFERROR(__xludf.DUMMYFUNCTION("""COMPUTED_VALUE"""),"Audiobook : ऋषि चिंतन के सान्निध्य में ०४ (पोकेट) : H_SJ_28_4 : satishkumar75.sk10@gmail.com : Recorded")</f>
        <v>Audiobook : ऋषि चिंतन के सान्निध्य में ०४ (पोकेट) : H_SJ_28_4 : satishkumar75.sk10@gmail.com : Recorded</v>
      </c>
      <c r="CG1111" s="1" t="str">
        <f ca="1">IFERROR(__xludf.DUMMYFUNCTION("""COMPUTED_VALUE"""),"Adarniya Satish Kumar  ji ऋषि चिंतन के सान्निध्य में ०४ (पोकेट) : H_SJ_28_4 : Allocated on 06-Mar-23 Contact Number  8082770813")</f>
        <v>Adarniya Satish Kumar  ji ऋषि चिंतन के सान्निध्य में ०४ (पोकेट) : H_SJ_28_4 : Allocated on 06-Mar-23 Contact Number  8082770813</v>
      </c>
      <c r="CH1111" s="1"/>
      <c r="CI1111" s="1"/>
    </row>
    <row r="1112" spans="1:87" x14ac:dyDescent="0.25">
      <c r="A1112" s="5">
        <f ca="1">IFERROR(__xludf.DUMMYFUNCTION("""COMPUTED_VALUE"""),44991.3989887615)</f>
        <v>44991.398988761503</v>
      </c>
      <c r="B1112" s="1" t="str">
        <f ca="1">IFERROR(__xludf.DUMMYFUNCTION("""COMPUTED_VALUE"""),"csprasad108@gmail.com")</f>
        <v>csprasad108@gmail.com</v>
      </c>
      <c r="C1112" s="1" t="str">
        <f ca="1">IFERROR(__xludf.DUMMYFUNCTION("""COMPUTED_VALUE"""),"Kumkum prasad")</f>
        <v>Kumkum prasad</v>
      </c>
      <c r="D1112" s="1">
        <f ca="1">IFERROR(__xludf.DUMMYFUNCTION("""COMPUTED_VALUE"""),7978055621)</f>
        <v>7978055621</v>
      </c>
      <c r="E1112" s="1" t="str">
        <f ca="1">IFERROR(__xludf.DUMMYFUNCTION("""COMPUTED_VALUE"""),"Yes")</f>
        <v>Yes</v>
      </c>
      <c r="F1112" s="1" t="str">
        <f ca="1">IFERROR(__xludf.DUMMYFUNCTION("""COMPUTED_VALUE"""),"हिन्दी")</f>
        <v>हिन्दी</v>
      </c>
      <c r="G1112" s="1" t="str">
        <f ca="1">IFERROR(__xludf.DUMMYFUNCTION("""COMPUTED_VALUE"""),"संस्कार, कर्मकाण्ड, पाठ, पूजा, गीत-संगीत")</f>
        <v>संस्कार, कर्मकाण्ड, पाठ, पूजा, गीत-संगीत</v>
      </c>
      <c r="H1112" s="1"/>
      <c r="I1112" s="1"/>
      <c r="J1112" s="1"/>
      <c r="K1112" s="1"/>
      <c r="L1112" s="1"/>
      <c r="M1112" s="1"/>
      <c r="N1112" s="1"/>
      <c r="O1112" s="1"/>
      <c r="P1112" s="1"/>
      <c r="Q1112" s="1"/>
      <c r="R1112" s="1"/>
      <c r="S1112" s="1"/>
      <c r="T1112" s="1"/>
      <c r="U1112" s="1"/>
      <c r="V1112" s="1"/>
      <c r="W1112" s="1" t="str">
        <f ca="1">IFERROR(__xludf.DUMMYFUNCTION("""COMPUTED_VALUE"""),"पाठ, पूजा, चालीसा, प्रार्थना,")</f>
        <v>पाठ, पूजा, चालीसा, प्रार्थना,</v>
      </c>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t="str">
        <f ca="1">IFERROR(__xludf.DUMMYFUNCTION("""COMPUTED_VALUE"""),"गायत्री चालीसा")</f>
        <v>गायत्री चालीसा</v>
      </c>
      <c r="BI1112" s="1"/>
      <c r="BJ1112" s="1"/>
      <c r="BK1112" s="1"/>
      <c r="BL1112" s="1"/>
      <c r="BM1112" s="1"/>
      <c r="BN1112" s="1"/>
      <c r="BO1112" s="1"/>
      <c r="BP1112" s="1"/>
      <c r="BQ1112" s="1"/>
      <c r="BR1112" s="1"/>
      <c r="BS1112" s="1"/>
      <c r="BT1112" s="1"/>
      <c r="BU1112" s="1"/>
      <c r="BV1112" s="1"/>
      <c r="BW1112" s="1">
        <f ca="1">IFERROR(__xludf.DUMMYFUNCTION("""COMPUTED_VALUE"""),52)</f>
        <v>52</v>
      </c>
      <c r="BX1112" s="1">
        <f ca="1">IFERROR(__xludf.DUMMYFUNCTION("""COMPUTED_VALUE"""),54)</f>
        <v>54</v>
      </c>
      <c r="BY1112" s="1">
        <f ca="1">IFERROR(__xludf.DUMMYFUNCTION("""COMPUTED_VALUE"""),3)</f>
        <v>3</v>
      </c>
      <c r="BZ1112" s="1">
        <f ca="1">IFERROR(__xludf.DUMMYFUNCTION("""COMPUTED_VALUE"""),24)</f>
        <v>24</v>
      </c>
      <c r="CA1112" s="1" t="str">
        <f ca="1">IFERROR(__xludf.DUMMYFUNCTION("""COMPUTED_VALUE"""),"Yes")</f>
        <v>Yes</v>
      </c>
      <c r="CB1112" s="5">
        <f ca="1">IFERROR(__xludf.DUMMYFUNCTION("""COMPUTED_VALUE"""),45001.3989887615)</f>
        <v>45001.398988761503</v>
      </c>
      <c r="CC1112" s="1" t="str">
        <f ca="1">IFERROR(__xludf.DUMMYFUNCTION("""COMPUTED_VALUE"""),"युग ऋषि की प्रेरणा और हमारे क्रियाकलाप : Rare Book")</f>
        <v>युग ऋषि की प्रेरणा और हमारे क्रियाकलाप : Rare Book</v>
      </c>
      <c r="CD1112" s="3" t="str">
        <f ca="1">IFERROR(__xludf.DUMMYFUNCTION("""COMPUTED_VALUE"""),"https://vicharkrantibooks.org/productdetail?book_name=HINP1069_YUGRUSHI_KI_PRERANA_AUR_HAMARE_KRIYAKALAP_xxyyyy&amp;product_id=1634")</f>
        <v>https://vicharkrantibooks.org/productdetail?book_name=HINP1069_YUGRUSHI_KI_PRERANA_AUR_HAMARE_KRIYAKALAP_xxyyyy&amp;product_id=1634</v>
      </c>
      <c r="CE1112" s="1" t="str">
        <f ca="1">IFERROR(__xludf.DUMMYFUNCTION("""COMPUTED_VALUE"""),"Audiobook : युग ऋषि की प्रेरणा और हमारे क्रियाकलाप : Rare Book : csprasad108@gmail.com : Recorded")</f>
        <v>Audiobook : युग ऋषि की प्रेरणा और हमारे क्रियाकलाप : Rare Book : csprasad108@gmail.com : Recorded</v>
      </c>
      <c r="CF1112" s="1" t="str">
        <f ca="1">IFERROR(__xludf.DUMMYFUNCTION("""COMPUTED_VALUE"""),"Audiobook : युग ऋषि की प्रेरणा और हमारे क्रियाकलाप : Rare Book : csprasad108@gmail.com : Recorded")</f>
        <v>Audiobook : युग ऋषि की प्रेरणा और हमारे क्रियाकलाप : Rare Book : csprasad108@gmail.com : Recorded</v>
      </c>
      <c r="CG1112" s="1" t="str">
        <f ca="1">IFERROR(__xludf.DUMMYFUNCTION("""COMPUTED_VALUE"""),"Adarniya Kumkum prasad ji युग ऋषि की प्रेरणा और हमारे क्रियाकलाप : Rare Book : Allocated on 06-Mar-23 Contact Number  7978055621")</f>
        <v>Adarniya Kumkum prasad ji युग ऋषि की प्रेरणा और हमारे क्रियाकलाप : Rare Book : Allocated on 06-Mar-23 Contact Number  7978055621</v>
      </c>
      <c r="CH1112" s="1"/>
      <c r="CI1112" s="1"/>
    </row>
    <row r="1113" spans="1:87" x14ac:dyDescent="0.25">
      <c r="A1113" s="5">
        <f ca="1">IFERROR(__xludf.DUMMYFUNCTION("""COMPUTED_VALUE"""),44990.5670726851)</f>
        <v>44990.567072685102</v>
      </c>
      <c r="B1113" s="1" t="str">
        <f ca="1">IFERROR(__xludf.DUMMYFUNCTION("""COMPUTED_VALUE"""),"amijig2000@gmail.com")</f>
        <v>amijig2000@gmail.com</v>
      </c>
      <c r="C1113" s="1" t="str">
        <f ca="1">IFERROR(__xludf.DUMMYFUNCTION("""COMPUTED_VALUE"""),"Ami Thakkar")</f>
        <v>Ami Thakkar</v>
      </c>
      <c r="D1113" s="1" t="str">
        <f ca="1">IFERROR(__xludf.DUMMYFUNCTION("""COMPUTED_VALUE"""),"09638182390")</f>
        <v>09638182390</v>
      </c>
      <c r="E1113" s="1" t="str">
        <f ca="1">IFERROR(__xludf.DUMMYFUNCTION("""COMPUTED_VALUE"""),"Yes")</f>
        <v>Yes</v>
      </c>
      <c r="F1113" s="1" t="str">
        <f ca="1">IFERROR(__xludf.DUMMYFUNCTION("""COMPUTED_VALUE"""),"हिन्दी or English")</f>
        <v>हिन्दी or English</v>
      </c>
      <c r="G1113" s="1" t="str">
        <f ca="1">IFERROR(__xludf.DUMMYFUNCTION("""COMPUTED_VALUE"""),"व्यक्ति निर्माण, युवा/विद्यार्थी एवं शिक्षक")</f>
        <v>व्यक्ति निर्माण, युवा/विद्यार्थी एवं शिक्षक</v>
      </c>
      <c r="H1113" s="1"/>
      <c r="I1113" s="1"/>
      <c r="J1113" s="1"/>
      <c r="K1113" s="1"/>
      <c r="L1113" s="1"/>
      <c r="M1113" s="1"/>
      <c r="N1113" s="1"/>
      <c r="O1113" s="1"/>
      <c r="P1113" s="1"/>
      <c r="Q1113" s="1"/>
      <c r="R1113" s="1"/>
      <c r="S1113" s="1"/>
      <c r="T1113" s="1" t="str">
        <f ca="1">IFERROR(__xludf.DUMMYFUNCTION("""COMPUTED_VALUE"""),"व्यक्तित्व परिष्कार")</f>
        <v>व्यक्तित्व परिष्कार</v>
      </c>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f ca="1">IFERROR(__xludf.DUMMYFUNCTION("""COMPUTED_VALUE"""),1)</f>
        <v>1</v>
      </c>
      <c r="BX1113" s="1">
        <f ca="1">IFERROR(__xludf.DUMMYFUNCTION("""COMPUTED_VALUE"""),0)</f>
        <v>0</v>
      </c>
      <c r="BY1113" s="1">
        <f ca="1">IFERROR(__xludf.DUMMYFUNCTION("""COMPUTED_VALUE"""),1)</f>
        <v>1</v>
      </c>
      <c r="BZ1113" s="1">
        <f ca="1">IFERROR(__xludf.DUMMYFUNCTION("""COMPUTED_VALUE"""),0)</f>
        <v>0</v>
      </c>
      <c r="CA1113" s="1" t="str">
        <f ca="1">IFERROR(__xludf.DUMMYFUNCTION("""COMPUTED_VALUE"""),"Yes")</f>
        <v>Yes</v>
      </c>
      <c r="CB1113" s="5">
        <f ca="1">IFERROR(__xludf.DUMMYFUNCTION("""COMPUTED_VALUE"""),45000.5670726851)</f>
        <v>45000.567072685102</v>
      </c>
      <c r="CC1113" s="2" t="str">
        <f ca="1">IFERROR(__xludf.DUMMYFUNCTION("""COMPUTED_VALUE"""),"In The Angelic Light Of Rishi Thoughts 3 : EP_70_3")</f>
        <v>In The Angelic Light Of Rishi Thoughts 3 : EP_70_3</v>
      </c>
      <c r="CD1113" s="3" t="str">
        <f ca="1">IFERROR(__xludf.DUMMYFUNCTION("""COMPUTED_VALUE"""),"https://vicharkrantibooks.org/productdetail?book_name=ENGP0714_IN_THE_ANGELIC_LIGHT_OF_RISHI_THOUGHTS_3_xxyyyy&amp;product_id=3462")</f>
        <v>https://vicharkrantibooks.org/productdetail?book_name=ENGP0714_IN_THE_ANGELIC_LIGHT_OF_RISHI_THOUGHTS_3_xxyyyy&amp;product_id=3462</v>
      </c>
      <c r="CE1113" s="1" t="str">
        <f ca="1">IFERROR(__xludf.DUMMYFUNCTION("""COMPUTED_VALUE"""),"Audiobook : In The Angelic Light Of Rishi Thoughts 3 : EP_70_3 : amijig2000@gmail.com : Recorded")</f>
        <v>Audiobook : In The Angelic Light Of Rishi Thoughts 3 : EP_70_3 : amijig2000@gmail.com : Recorded</v>
      </c>
      <c r="CF1113" s="1" t="str">
        <f ca="1">IFERROR(__xludf.DUMMYFUNCTION("""COMPUTED_VALUE"""),"#N/A")</f>
        <v>#N/A</v>
      </c>
      <c r="CG1113" s="1" t="str">
        <f ca="1">IFERROR(__xludf.DUMMYFUNCTION("""COMPUTED_VALUE"""),"Adarniya Ami Thakkar ji In The Angelic Light Of Rishi Thoughts 3 : EP_70_3 : Allocated on 05-Mar-23 Contact Number  09638182390")</f>
        <v>Adarniya Ami Thakkar ji In The Angelic Light Of Rishi Thoughts 3 : EP_70_3 : Allocated on 05-Mar-23 Contact Number  09638182390</v>
      </c>
      <c r="CH1113" s="1"/>
      <c r="CI1113" s="1"/>
    </row>
    <row r="1114" spans="1:87" x14ac:dyDescent="0.25">
      <c r="A1114" s="5">
        <f ca="1">IFERROR(__xludf.DUMMYFUNCTION("""COMPUTED_VALUE"""),44990.2407486226)</f>
        <v>44990.2407486226</v>
      </c>
      <c r="B1114" s="1" t="str">
        <f ca="1">IFERROR(__xludf.DUMMYFUNCTION("""COMPUTED_VALUE"""),"jamunashukla17@gmail.com")</f>
        <v>jamunashukla17@gmail.com</v>
      </c>
      <c r="C1114" s="1" t="str">
        <f ca="1">IFERROR(__xludf.DUMMYFUNCTION("""COMPUTED_VALUE"""),"Smt J S Shukla ")</f>
        <v xml:space="preserve">Smt J S Shukla </v>
      </c>
      <c r="D1114" s="1">
        <f ca="1">IFERROR(__xludf.DUMMYFUNCTION("""COMPUTED_VALUE"""),8390353167)</f>
        <v>8390353167</v>
      </c>
      <c r="E1114" s="1" t="str">
        <f ca="1">IFERROR(__xludf.DUMMYFUNCTION("""COMPUTED_VALUE"""),"Yes")</f>
        <v>Yes</v>
      </c>
      <c r="F1114" s="1" t="str">
        <f ca="1">IFERROR(__xludf.DUMMYFUNCTION("""COMPUTED_VALUE"""),"हिन्दी")</f>
        <v>हिन्दी</v>
      </c>
      <c r="G1114" s="1" t="str">
        <f ca="1">IFERROR(__xludf.DUMMYFUNCTION("""COMPUTED_VALUE"""),"अध्यात्म, धर्म एवं दर्शन")</f>
        <v>अध्यात्म, धर्म एवं दर्शन</v>
      </c>
      <c r="H1114" s="1" t="str">
        <f ca="1">IFERROR(__xludf.DUMMYFUNCTION("""COMPUTED_VALUE"""),"साधना")</f>
        <v>साधना</v>
      </c>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f ca="1">IFERROR(__xludf.DUMMYFUNCTION("""COMPUTED_VALUE"""),53)</f>
        <v>53</v>
      </c>
      <c r="BX1114" s="1">
        <f ca="1">IFERROR(__xludf.DUMMYFUNCTION("""COMPUTED_VALUE"""),53)</f>
        <v>53</v>
      </c>
      <c r="BY1114" s="1">
        <f ca="1">IFERROR(__xludf.DUMMYFUNCTION("""COMPUTED_VALUE"""),9)</f>
        <v>9</v>
      </c>
      <c r="BZ1114" s="1">
        <f ca="1">IFERROR(__xludf.DUMMYFUNCTION("""COMPUTED_VALUE"""),25)</f>
        <v>25</v>
      </c>
      <c r="CA1114" s="1" t="str">
        <f ca="1">IFERROR(__xludf.DUMMYFUNCTION("""COMPUTED_VALUE"""),"Yes")</f>
        <v>Yes</v>
      </c>
      <c r="CB1114" s="5">
        <f ca="1">IFERROR(__xludf.DUMMYFUNCTION("""COMPUTED_VALUE"""),45000.2407486226)</f>
        <v>45000.2407486226</v>
      </c>
      <c r="CC1114" s="1" t="str">
        <f ca="1">IFERROR(__xludf.DUMMYFUNCTION("""COMPUTED_VALUE"""),"आस्तिकता आध्यात्मिकता धार्मिकता त्रिपदा की तीन दिव्य प्रेरणाऐं : Rare Book")</f>
        <v>आस्तिकता आध्यात्मिकता धार्मिकता त्रिपदा की तीन दिव्य प्रेरणाऐं : Rare Book</v>
      </c>
      <c r="CD1114" s="3" t="str">
        <f ca="1">IFERROR(__xludf.DUMMYFUNCTION("""COMPUTED_VALUE"""),"https://vicharkrantibooks.org/productdetail?book_name=HINP0081_ASTIKATA_ADHYATMIKATA_DHARMIKATA_TRIPADA_KI_TIN_DIVY_PRERANAEN_xx1982&amp;product_id=646")</f>
        <v>https://vicharkrantibooks.org/productdetail?book_name=HINP0081_ASTIKATA_ADHYATMIKATA_DHARMIKATA_TRIPADA_KI_TIN_DIVY_PRERANAEN_xx1982&amp;product_id=646</v>
      </c>
      <c r="CE1114" s="1" t="str">
        <f ca="1">IFERROR(__xludf.DUMMYFUNCTION("""COMPUTED_VALUE"""),"Audiobook : आस्तिकता आध्यात्मिकता धार्मिकता त्रिपदा की तीन दिव्य प्रेरणाऐं : Rare Book : jamunashukla17@gmail.com : Recorded")</f>
        <v>Audiobook : आस्तिकता आध्यात्मिकता धार्मिकता त्रिपदा की तीन दिव्य प्रेरणाऐं : Rare Book : jamunashukla17@gmail.com : Recorded</v>
      </c>
      <c r="CF1114" s="1" t="str">
        <f ca="1">IFERROR(__xludf.DUMMYFUNCTION("""COMPUTED_VALUE"""),"Audiobook : आस्तिकता आध्यात्मिकता धार्मिकता त्रिपदा की तीन दिव्य प्रेरणाऐं : Rare Book : jamunashukla17@gmail.com : Recorded")</f>
        <v>Audiobook : आस्तिकता आध्यात्मिकता धार्मिकता त्रिपदा की तीन दिव्य प्रेरणाऐं : Rare Book : jamunashukla17@gmail.com : Recorded</v>
      </c>
      <c r="CG1114" s="1" t="str">
        <f ca="1">IFERROR(__xludf.DUMMYFUNCTION("""COMPUTED_VALUE"""),"Adarniya Smt J S Shukla  ji आस्तिकता आध्यात्मिकता धार्मिकता त्रिपदा की तीन दिव्य प्रेरणाऐं : Rare Book : Allocated on 05-Mar-23 Contact Number  8390353167")</f>
        <v>Adarniya Smt J S Shukla  ji आस्तिकता आध्यात्मिकता धार्मिकता त्रिपदा की तीन दिव्य प्रेरणाऐं : Rare Book : Allocated on 05-Mar-23 Contact Number  8390353167</v>
      </c>
      <c r="CH1114" s="1"/>
      <c r="CI1114" s="1"/>
    </row>
    <row r="1115" spans="1:87" x14ac:dyDescent="0.25">
      <c r="A1115" s="5">
        <f ca="1">IFERROR(__xludf.DUMMYFUNCTION("""COMPUTED_VALUE"""),44987.6723021643)</f>
        <v>44987.672302164297</v>
      </c>
      <c r="B1115" s="1" t="str">
        <f ca="1">IFERROR(__xludf.DUMMYFUNCTION("""COMPUTED_VALUE"""),"rbbansalriya@gmail.com")</f>
        <v>rbbansalriya@gmail.com</v>
      </c>
      <c r="C1115" s="1" t="str">
        <f ca="1">IFERROR(__xludf.DUMMYFUNCTION("""COMPUTED_VALUE"""),"Riya bansal ")</f>
        <v xml:space="preserve">Riya bansal </v>
      </c>
      <c r="D1115" s="1">
        <f ca="1">IFERROR(__xludf.DUMMYFUNCTION("""COMPUTED_VALUE"""),9176361023)</f>
        <v>9176361023</v>
      </c>
      <c r="E1115" s="1" t="str">
        <f ca="1">IFERROR(__xludf.DUMMYFUNCTION("""COMPUTED_VALUE"""),"Yes")</f>
        <v>Yes</v>
      </c>
      <c r="F1115" s="1" t="str">
        <f ca="1">IFERROR(__xludf.DUMMYFUNCTION("""COMPUTED_VALUE"""),"हिन्दी")</f>
        <v>हिन्दी</v>
      </c>
      <c r="G1115" s="1" t="str">
        <f ca="1">IFERROR(__xludf.DUMMYFUNCTION("""COMPUTED_VALUE"""),"जीवन प्रबंध")</f>
        <v>जीवन प्रबंध</v>
      </c>
      <c r="H1115" s="1"/>
      <c r="I1115" s="1"/>
      <c r="J1115" s="1"/>
      <c r="K1115" s="1"/>
      <c r="L1115" s="1" t="str">
        <f ca="1">IFERROR(__xludf.DUMMYFUNCTION("""COMPUTED_VALUE"""),"मानव जीवन की गरिमा")</f>
        <v>मानव जीवन की गरिमा</v>
      </c>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f ca="1">IFERROR(__xludf.DUMMYFUNCTION("""COMPUTED_VALUE"""),54)</f>
        <v>54</v>
      </c>
      <c r="BX1115" s="1">
        <f ca="1">IFERROR(__xludf.DUMMYFUNCTION("""COMPUTED_VALUE"""),55)</f>
        <v>55</v>
      </c>
      <c r="BY1115" s="1">
        <f ca="1">IFERROR(__xludf.DUMMYFUNCTION("""COMPUTED_VALUE"""),9)</f>
        <v>9</v>
      </c>
      <c r="BZ1115" s="1">
        <f ca="1">IFERROR(__xludf.DUMMYFUNCTION("""COMPUTED_VALUE"""),43)</f>
        <v>43</v>
      </c>
      <c r="CA1115" s="1" t="str">
        <f ca="1">IFERROR(__xludf.DUMMYFUNCTION("""COMPUTED_VALUE"""),"Yes")</f>
        <v>Yes</v>
      </c>
      <c r="CB1115" s="5">
        <f ca="1">IFERROR(__xludf.DUMMYFUNCTION("""COMPUTED_VALUE"""),44997.6723021643)</f>
        <v>44997.672302164297</v>
      </c>
      <c r="CC1115" s="1" t="str">
        <f ca="1">IFERROR(__xludf.DUMMYFUNCTION("""COMPUTED_VALUE"""),"जीवन व्यवसाय में ईश्वर की साझेदारी : Rare Book")</f>
        <v>जीवन व्यवसाय में ईश्वर की साझेदारी : Rare Book</v>
      </c>
      <c r="CD1115" s="3" t="str">
        <f ca="1">IFERROR(__xludf.DUMMYFUNCTION("""COMPUTED_VALUE"""),"https://vicharkrantibooks.org/productdetail?book_name=HINP0398_JIVAN_VYAVASAY_MEIN_ISHWAR_KI_SAZEDARI_xx1978&amp;product_id=963")</f>
        <v>https://vicharkrantibooks.org/productdetail?book_name=HINP0398_JIVAN_VYAVASAY_MEIN_ISHWAR_KI_SAZEDARI_xx1978&amp;product_id=963</v>
      </c>
      <c r="CE1115" s="1" t="str">
        <f ca="1">IFERROR(__xludf.DUMMYFUNCTION("""COMPUTED_VALUE"""),"Audiobook : जीवन व्यवसाय में ईश्वर की साझेदारी : Rare Book : rbbansalriya@gmail.com : Recorded")</f>
        <v>Audiobook : जीवन व्यवसाय में ईश्वर की साझेदारी : Rare Book : rbbansalriya@gmail.com : Recorded</v>
      </c>
      <c r="CF1115" s="1" t="str">
        <f ca="1">IFERROR(__xludf.DUMMYFUNCTION("""COMPUTED_VALUE"""),"Audiobook : जीवन व्यवसाय में ईश्वर की साझेदारी : Rare Book : rbbansalriya@gmail.com : Recorded")</f>
        <v>Audiobook : जीवन व्यवसाय में ईश्वर की साझेदारी : Rare Book : rbbansalriya@gmail.com : Recorded</v>
      </c>
      <c r="CG1115" s="1" t="str">
        <f ca="1">IFERROR(__xludf.DUMMYFUNCTION("""COMPUTED_VALUE"""),"Adarniya Riya bansal  ji जीवन व्यवसाय में ईश्वर की साझेदारी : Rare Book : Allocated on 02-Mar-23 Contact Number  9176361023")</f>
        <v>Adarniya Riya bansal  ji जीवन व्यवसाय में ईश्वर की साझेदारी : Rare Book : Allocated on 02-Mar-23 Contact Number  9176361023</v>
      </c>
      <c r="CH1115" s="1"/>
      <c r="CI1115" s="1"/>
    </row>
    <row r="1116" spans="1:87" x14ac:dyDescent="0.25">
      <c r="A1116" s="5">
        <f ca="1">IFERROR(__xludf.DUMMYFUNCTION("""COMPUTED_VALUE"""),44985.2955929976)</f>
        <v>44985.295592997601</v>
      </c>
      <c r="B1116" s="1" t="str">
        <f ca="1">IFERROR(__xludf.DUMMYFUNCTION("""COMPUTED_VALUE"""),"csprasad108@gmail.com")</f>
        <v>csprasad108@gmail.com</v>
      </c>
      <c r="C1116" s="1" t="str">
        <f ca="1">IFERROR(__xludf.DUMMYFUNCTION("""COMPUTED_VALUE"""),"Kumkum prasad")</f>
        <v>Kumkum prasad</v>
      </c>
      <c r="D1116" s="1">
        <f ca="1">IFERROR(__xludf.DUMMYFUNCTION("""COMPUTED_VALUE"""),7978055621)</f>
        <v>7978055621</v>
      </c>
      <c r="E1116" s="1" t="str">
        <f ca="1">IFERROR(__xludf.DUMMYFUNCTION("""COMPUTED_VALUE"""),"Yes")</f>
        <v>Yes</v>
      </c>
      <c r="F1116" s="1" t="str">
        <f ca="1">IFERROR(__xludf.DUMMYFUNCTION("""COMPUTED_VALUE"""),"हिन्दी")</f>
        <v>हिन्दी</v>
      </c>
      <c r="G1116" s="1" t="str">
        <f ca="1">IFERROR(__xludf.DUMMYFUNCTION("""COMPUTED_VALUE"""),"संस्कार, कर्मकाण्ड, पाठ, पूजा, गीत-संगीत")</f>
        <v>संस्कार, कर्मकाण्ड, पाठ, पूजा, गीत-संगीत</v>
      </c>
      <c r="H1116" s="1"/>
      <c r="I1116" s="1"/>
      <c r="J1116" s="1"/>
      <c r="K1116" s="1"/>
      <c r="L1116" s="1"/>
      <c r="M1116" s="1"/>
      <c r="N1116" s="1"/>
      <c r="O1116" s="1"/>
      <c r="P1116" s="1"/>
      <c r="Q1116" s="1"/>
      <c r="R1116" s="1"/>
      <c r="S1116" s="1"/>
      <c r="T1116" s="1"/>
      <c r="U1116" s="1"/>
      <c r="V1116" s="1"/>
      <c r="W1116" s="1" t="str">
        <f ca="1">IFERROR(__xludf.DUMMYFUNCTION("""COMPUTED_VALUE"""),"पर्व-त्यौहार, कर्मकाण्ड")</f>
        <v>पर्व-त्यौहार, कर्मकाण्ड</v>
      </c>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t="str">
        <f ca="1">IFERROR(__xludf.DUMMYFUNCTION("""COMPUTED_VALUE"""),"कर्मकांड नहीं भावना प्रधान")</f>
        <v>कर्मकांड नहीं भावना प्रधान</v>
      </c>
      <c r="BH1116" s="1"/>
      <c r="BI1116" s="1"/>
      <c r="BJ1116" s="1"/>
      <c r="BK1116" s="1"/>
      <c r="BL1116" s="1"/>
      <c r="BM1116" s="1"/>
      <c r="BN1116" s="1"/>
      <c r="BO1116" s="1"/>
      <c r="BP1116" s="1"/>
      <c r="BQ1116" s="1"/>
      <c r="BR1116" s="1"/>
      <c r="BS1116" s="1"/>
      <c r="BT1116" s="1"/>
      <c r="BU1116" s="1"/>
      <c r="BV1116" s="1"/>
      <c r="BW1116" s="1">
        <f ca="1">IFERROR(__xludf.DUMMYFUNCTION("""COMPUTED_VALUE"""),52)</f>
        <v>52</v>
      </c>
      <c r="BX1116" s="1">
        <f ca="1">IFERROR(__xludf.DUMMYFUNCTION("""COMPUTED_VALUE"""),54)</f>
        <v>54</v>
      </c>
      <c r="BY1116" s="1">
        <f ca="1">IFERROR(__xludf.DUMMYFUNCTION("""COMPUTED_VALUE"""),3)</f>
        <v>3</v>
      </c>
      <c r="BZ1116" s="1">
        <f ca="1">IFERROR(__xludf.DUMMYFUNCTION("""COMPUTED_VALUE"""),24)</f>
        <v>24</v>
      </c>
      <c r="CA1116" s="1" t="str">
        <f ca="1">IFERROR(__xludf.DUMMYFUNCTION("""COMPUTED_VALUE"""),"Yes")</f>
        <v>Yes</v>
      </c>
      <c r="CB1116" s="5">
        <f ca="1">IFERROR(__xludf.DUMMYFUNCTION("""COMPUTED_VALUE"""),44995.2955929976)</f>
        <v>44995.295592997601</v>
      </c>
      <c r="CC1116" s="1" t="str">
        <f ca="1">IFERROR(__xludf.DUMMYFUNCTION("""COMPUTED_VALUE"""),"कैसा होगा आने वाला युग : Rare Book")</f>
        <v>कैसा होगा आने वाला युग : Rare Book</v>
      </c>
      <c r="CD1116" s="3" t="str">
        <f ca="1">IFERROR(__xludf.DUMMYFUNCTION("""COMPUTED_VALUE"""),"https://vicharkrantibooks.org/productdetail?book_name=HINP0410_KAISA_HOGA_ANE_VALA_YUG_xxyyyy&amp;product_id=975")</f>
        <v>https://vicharkrantibooks.org/productdetail?book_name=HINP0410_KAISA_HOGA_ANE_VALA_YUG_xxyyyy&amp;product_id=975</v>
      </c>
      <c r="CE1116" s="1" t="str">
        <f ca="1">IFERROR(__xludf.DUMMYFUNCTION("""COMPUTED_VALUE"""),"Audiobook : कैसा होगा आने वाला युग : Rare Book : csprasad108@gmail.com : Recorded")</f>
        <v>Audiobook : कैसा होगा आने वाला युग : Rare Book : csprasad108@gmail.com : Recorded</v>
      </c>
      <c r="CF1116" s="1" t="str">
        <f ca="1">IFERROR(__xludf.DUMMYFUNCTION("""COMPUTED_VALUE"""),"Audiobook : कैसा होगा आने वाला युग : Rare Book : csprasad108@gmail.com : Recorded")</f>
        <v>Audiobook : कैसा होगा आने वाला युग : Rare Book : csprasad108@gmail.com : Recorded</v>
      </c>
      <c r="CG1116" s="1" t="str">
        <f ca="1">IFERROR(__xludf.DUMMYFUNCTION("""COMPUTED_VALUE"""),"Adarniya Kumkum prasad ji कैसा होगा आने वाला युग : Rare Book : Allocated on 28-Feb-23 Contact Number  7978055621")</f>
        <v>Adarniya Kumkum prasad ji कैसा होगा आने वाला युग : Rare Book : Allocated on 28-Feb-23 Contact Number  7978055621</v>
      </c>
      <c r="CH1116" s="1"/>
      <c r="CI1116" s="1"/>
    </row>
    <row r="1117" spans="1:87" x14ac:dyDescent="0.25">
      <c r="A1117" s="5">
        <f ca="1">IFERROR(__xludf.DUMMYFUNCTION("""COMPUTED_VALUE"""),44983.9146857754)</f>
        <v>44983.914685775402</v>
      </c>
      <c r="B1117" s="1" t="str">
        <f ca="1">IFERROR(__xludf.DUMMYFUNCTION("""COMPUTED_VALUE"""),"vandana15rastogi@gmail.com")</f>
        <v>vandana15rastogi@gmail.com</v>
      </c>
      <c r="C1117" s="1" t="str">
        <f ca="1">IFERROR(__xludf.DUMMYFUNCTION("""COMPUTED_VALUE"""),"Vandana Rastogi")</f>
        <v>Vandana Rastogi</v>
      </c>
      <c r="D1117" s="1">
        <f ca="1">IFERROR(__xludf.DUMMYFUNCTION("""COMPUTED_VALUE"""),9359528684)</f>
        <v>9359528684</v>
      </c>
      <c r="E1117" s="1" t="str">
        <f ca="1">IFERROR(__xludf.DUMMYFUNCTION("""COMPUTED_VALUE"""),"Yes")</f>
        <v>Yes</v>
      </c>
      <c r="F1117" s="1" t="str">
        <f ca="1">IFERROR(__xludf.DUMMYFUNCTION("""COMPUTED_VALUE"""),"हिन्दी")</f>
        <v>हिन्दी</v>
      </c>
      <c r="G1117" s="1" t="str">
        <f ca="1">IFERROR(__xludf.DUMMYFUNCTION("""COMPUTED_VALUE"""),"युग परिवर्तन-विचार क्रांति")</f>
        <v>युग परिवर्तन-विचार क्रांति</v>
      </c>
      <c r="H1117" s="1"/>
      <c r="I1117" s="1"/>
      <c r="J1117" s="1"/>
      <c r="K1117" s="1"/>
      <c r="L1117" s="1"/>
      <c r="M1117" s="1"/>
      <c r="N1117" s="1"/>
      <c r="O1117" s="1"/>
      <c r="P1117" s="1"/>
      <c r="Q1117" s="1" t="str">
        <f ca="1">IFERROR(__xludf.DUMMYFUNCTION("""COMPUTED_VALUE"""),"विचार क्रांति")</f>
        <v>विचार क्रांति</v>
      </c>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f ca="1">IFERROR(__xludf.DUMMYFUNCTION("""COMPUTED_VALUE"""),33)</f>
        <v>33</v>
      </c>
      <c r="BX1117" s="1">
        <f ca="1">IFERROR(__xludf.DUMMYFUNCTION("""COMPUTED_VALUE"""),19)</f>
        <v>19</v>
      </c>
      <c r="BY1117" s="1">
        <f ca="1">IFERROR(__xludf.DUMMYFUNCTION("""COMPUTED_VALUE"""),17)</f>
        <v>17</v>
      </c>
      <c r="BZ1117" s="1">
        <f ca="1">IFERROR(__xludf.DUMMYFUNCTION("""COMPUTED_VALUE"""),14)</f>
        <v>14</v>
      </c>
      <c r="CA1117" s="1" t="str">
        <f ca="1">IFERROR(__xludf.DUMMYFUNCTION("""COMPUTED_VALUE"""),"Yes")</f>
        <v>Yes</v>
      </c>
      <c r="CB1117" s="5">
        <f ca="1">IFERROR(__xludf.DUMMYFUNCTION("""COMPUTED_VALUE"""),44993.9146857754)</f>
        <v>44993.914685775402</v>
      </c>
      <c r="CC1117" s="1" t="str">
        <f ca="1">IFERROR(__xludf.DUMMYFUNCTION("""COMPUTED_VALUE"""),"आनंद की गंगोत्री अपने ही अंतराल में : H_JS_44")</f>
        <v>आनंद की गंगोत्री अपने ही अंतराल में : H_JS_44</v>
      </c>
      <c r="CD1117" s="3" t="str">
        <f ca="1">IFERROR(__xludf.DUMMYFUNCTION("""COMPUTED_VALUE"""),"https://vicharkrantibooks.org/productdetail?book_name=HINP0040_ANAND_KI_GANGOTRI_APANE_HI_ANTARAL_MEIN_xx1981&amp;product_id=605")</f>
        <v>https://vicharkrantibooks.org/productdetail?book_name=HINP0040_ANAND_KI_GANGOTRI_APANE_HI_ANTARAL_MEIN_xx1981&amp;product_id=605</v>
      </c>
      <c r="CE1117" s="1" t="str">
        <f ca="1">IFERROR(__xludf.DUMMYFUNCTION("""COMPUTED_VALUE"""),"Audiobook : आनंद की गंगोत्री अपने ही अंतराल में : H_JS_44 : vandana15rastogi@gmail.com : Recorded")</f>
        <v>Audiobook : आनंद की गंगोत्री अपने ही अंतराल में : H_JS_44 : vandana15rastogi@gmail.com : Recorded</v>
      </c>
      <c r="CF1117" s="1" t="str">
        <f ca="1">IFERROR(__xludf.DUMMYFUNCTION("""COMPUTED_VALUE"""),"#N/A")</f>
        <v>#N/A</v>
      </c>
      <c r="CG1117" s="1" t="str">
        <f ca="1">IFERROR(__xludf.DUMMYFUNCTION("""COMPUTED_VALUE"""),"Adarniya Vandana Rastogi ji आनंद की गंगोत्री अपने ही अंतराल में : H_JS_44 : Allocated on 26-Feb-23 Contact Number  9359528684")</f>
        <v>Adarniya Vandana Rastogi ji आनंद की गंगोत्री अपने ही अंतराल में : H_JS_44 : Allocated on 26-Feb-23 Contact Number  9359528684</v>
      </c>
      <c r="CH1117" s="1"/>
      <c r="CI1117" s="1"/>
    </row>
    <row r="1118" spans="1:87" x14ac:dyDescent="0.25">
      <c r="A1118" s="5">
        <f ca="1">IFERROR(__xludf.DUMMYFUNCTION("""COMPUTED_VALUE"""),44983.0009581712)</f>
        <v>44983.0009581712</v>
      </c>
      <c r="B1118" s="1" t="str">
        <f ca="1">IFERROR(__xludf.DUMMYFUNCTION("""COMPUTED_VALUE"""),"richasharma310575@gmail.com")</f>
        <v>richasharma310575@gmail.com</v>
      </c>
      <c r="C1118" s="1" t="str">
        <f ca="1">IFERROR(__xludf.DUMMYFUNCTION("""COMPUTED_VALUE"""),"Richa Sharma ")</f>
        <v xml:space="preserve">Richa Sharma </v>
      </c>
      <c r="D1118" s="1">
        <f ca="1">IFERROR(__xludf.DUMMYFUNCTION("""COMPUTED_VALUE"""),9479664049)</f>
        <v>9479664049</v>
      </c>
      <c r="E1118" s="1" t="str">
        <f ca="1">IFERROR(__xludf.DUMMYFUNCTION("""COMPUTED_VALUE"""),"Yes")</f>
        <v>Yes</v>
      </c>
      <c r="F1118" s="1" t="str">
        <f ca="1">IFERROR(__xludf.DUMMYFUNCTION("""COMPUTED_VALUE"""),"हिन्दी")</f>
        <v>हिन्दी</v>
      </c>
      <c r="G1118" s="1" t="str">
        <f ca="1">IFERROR(__xludf.DUMMYFUNCTION("""COMPUTED_VALUE"""),"भारतीय संस्कृति")</f>
        <v>भारतीय संस्कृति</v>
      </c>
      <c r="H1118" s="1"/>
      <c r="I1118" s="1"/>
      <c r="J1118" s="1"/>
      <c r="K1118" s="1"/>
      <c r="L1118" s="1"/>
      <c r="M1118" s="1"/>
      <c r="N1118" s="1"/>
      <c r="O1118" s="1" t="str">
        <f ca="1">IFERROR(__xludf.DUMMYFUNCTION("""COMPUTED_VALUE"""),"यज्ञ")</f>
        <v>यज्ञ</v>
      </c>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f ca="1">IFERROR(__xludf.DUMMYFUNCTION("""COMPUTED_VALUE"""),23)</f>
        <v>23</v>
      </c>
      <c r="BX1118" s="1">
        <f ca="1">IFERROR(__xludf.DUMMYFUNCTION("""COMPUTED_VALUE"""),28)</f>
        <v>28</v>
      </c>
      <c r="BY1118" s="1">
        <f ca="1">IFERROR(__xludf.DUMMYFUNCTION("""COMPUTED_VALUE"""),2)</f>
        <v>2</v>
      </c>
      <c r="BZ1118" s="1">
        <f ca="1">IFERROR(__xludf.DUMMYFUNCTION("""COMPUTED_VALUE"""),24)</f>
        <v>24</v>
      </c>
      <c r="CA1118" s="1" t="str">
        <f ca="1">IFERROR(__xludf.DUMMYFUNCTION("""COMPUTED_VALUE"""),"Yes")</f>
        <v>Yes</v>
      </c>
      <c r="CB1118" s="5">
        <f ca="1">IFERROR(__xludf.DUMMYFUNCTION("""COMPUTED_VALUE"""),44993.0009581712)</f>
        <v>44993.0009581712</v>
      </c>
      <c r="CC1118" s="1" t="str">
        <f ca="1">IFERROR(__xludf.DUMMYFUNCTION("""COMPUTED_VALUE"""),"गायत्री उपासना क्यों करें ? : Rare Book")</f>
        <v>गायत्री उपासना क्यों करें ? : Rare Book</v>
      </c>
      <c r="CD1118" s="3" t="str">
        <f ca="1">IFERROR(__xludf.DUMMYFUNCTION("""COMPUTED_VALUE"""),"https://vicharkrantibooks.org/productdetail?book_name=HINP0298_GAYATRI_UPASANA_KYON_KARE_xxyyyy&amp;product_id=863")</f>
        <v>https://vicharkrantibooks.org/productdetail?book_name=HINP0298_GAYATRI_UPASANA_KYON_KARE_xxyyyy&amp;product_id=863</v>
      </c>
      <c r="CE1118" s="1" t="str">
        <f ca="1">IFERROR(__xludf.DUMMYFUNCTION("""COMPUTED_VALUE"""),"Audiobook : गायत्री उपासना क्यों करें ? : Rare Book : richasharma310575@gmail.com : Recorded")</f>
        <v>Audiobook : गायत्री उपासना क्यों करें ? : Rare Book : richasharma310575@gmail.com : Recorded</v>
      </c>
      <c r="CF1118" s="1" t="str">
        <f ca="1">IFERROR(__xludf.DUMMYFUNCTION("""COMPUTED_VALUE"""),"Audiobook : गायत्री उपासना क्यों करें ? : Rare Book : richasharma310575@gmail.com : Recorded")</f>
        <v>Audiobook : गायत्री उपासना क्यों करें ? : Rare Book : richasharma310575@gmail.com : Recorded</v>
      </c>
      <c r="CG1118" s="1" t="str">
        <f ca="1">IFERROR(__xludf.DUMMYFUNCTION("""COMPUTED_VALUE"""),"Adarniya Richa Sharma  ji गायत्री उपासना क्यों करें ? : Rare Book : Allocated on 26-Feb-23 Contact Number  9479664049")</f>
        <v>Adarniya Richa Sharma  ji गायत्री उपासना क्यों करें ? : Rare Book : Allocated on 26-Feb-23 Contact Number  9479664049</v>
      </c>
      <c r="CH1118" s="1"/>
      <c r="CI1118" s="1"/>
    </row>
    <row r="1119" spans="1:87" x14ac:dyDescent="0.25">
      <c r="A1119" s="5">
        <f ca="1">IFERROR(__xludf.DUMMYFUNCTION("""COMPUTED_VALUE"""),44981.93820875)</f>
        <v>44981.938208749998</v>
      </c>
      <c r="B1119" s="1" t="str">
        <f ca="1">IFERROR(__xludf.DUMMYFUNCTION("""COMPUTED_VALUE"""),"rashmi0363@gmail.com")</f>
        <v>rashmi0363@gmail.com</v>
      </c>
      <c r="C1119" s="1" t="str">
        <f ca="1">IFERROR(__xludf.DUMMYFUNCTION("""COMPUTED_VALUE"""),"Rashmi Sinha ")</f>
        <v xml:space="preserve">Rashmi Sinha </v>
      </c>
      <c r="D1119" s="1">
        <f ca="1">IFERROR(__xludf.DUMMYFUNCTION("""COMPUTED_VALUE"""),9212688575)</f>
        <v>9212688575</v>
      </c>
      <c r="E1119" s="1" t="str">
        <f ca="1">IFERROR(__xludf.DUMMYFUNCTION("""COMPUTED_VALUE"""),"No")</f>
        <v>No</v>
      </c>
      <c r="F1119" s="1" t="str">
        <f ca="1">IFERROR(__xludf.DUMMYFUNCTION("""COMPUTED_VALUE"""),"हिन्दी")</f>
        <v>हिन्दी</v>
      </c>
      <c r="G1119" s="1" t="str">
        <f ca="1">IFERROR(__xludf.DUMMYFUNCTION("""COMPUTED_VALUE"""),"समग्र स्वास्थ्य")</f>
        <v>समग्र स्वास्थ्य</v>
      </c>
      <c r="H1119" s="1"/>
      <c r="I1119" s="1"/>
      <c r="J1119" s="1"/>
      <c r="K1119" s="1"/>
      <c r="L1119" s="1"/>
      <c r="M1119" s="1"/>
      <c r="N1119" s="1"/>
      <c r="O1119" s="1"/>
      <c r="P1119" s="1"/>
      <c r="Q1119" s="1"/>
      <c r="R1119" s="1"/>
      <c r="S1119" s="1"/>
      <c r="T1119" s="1"/>
      <c r="U1119" s="1" t="str">
        <f ca="1">IFERROR(__xludf.DUMMYFUNCTION("""COMPUTED_VALUE"""),"मानसिक स्वास्थ्य")</f>
        <v>मानसिक स्वास्थ्य</v>
      </c>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f ca="1">IFERROR(__xludf.DUMMYFUNCTION("""COMPUTED_VALUE"""),8)</f>
        <v>8</v>
      </c>
      <c r="BX1119" s="1">
        <f ca="1">IFERROR(__xludf.DUMMYFUNCTION("""COMPUTED_VALUE"""),11)</f>
        <v>11</v>
      </c>
      <c r="BY1119" s="1">
        <f ca="1">IFERROR(__xludf.DUMMYFUNCTION("""COMPUTED_VALUE"""),1)</f>
        <v>1</v>
      </c>
      <c r="BZ1119" s="1">
        <f ca="1">IFERROR(__xludf.DUMMYFUNCTION("""COMPUTED_VALUE"""),5)</f>
        <v>5</v>
      </c>
      <c r="CA1119" s="1" t="str">
        <f ca="1">IFERROR(__xludf.DUMMYFUNCTION("""COMPUTED_VALUE"""),"Yes")</f>
        <v>Yes</v>
      </c>
      <c r="CB1119" s="5">
        <f ca="1">IFERROR(__xludf.DUMMYFUNCTION("""COMPUTED_VALUE"""),44991.93820875)</f>
        <v>44991.938208749998</v>
      </c>
      <c r="CC1119" s="1" t="str">
        <f ca="1">IFERROR(__xludf.DUMMYFUNCTION("""COMPUTED_VALUE"""),"In The Angelic Light Of Rishi Thoughts 6 : EP_70_6")</f>
        <v>In The Angelic Light Of Rishi Thoughts 6 : EP_70_6</v>
      </c>
      <c r="CD1119" s="3" t="str">
        <f ca="1">IFERROR(__xludf.DUMMYFUNCTION("""COMPUTED_VALUE"""),"https://vicharkrantibooks.org/productdetail?book_name=ENGP0717_IN_THE_ANGELIC_LIGHT_OF_RISHI_THOUGHTS_6_xxyyyy&amp;product_id=3465")</f>
        <v>https://vicharkrantibooks.org/productdetail?book_name=ENGP0717_IN_THE_ANGELIC_LIGHT_OF_RISHI_THOUGHTS_6_xxyyyy&amp;product_id=3465</v>
      </c>
      <c r="CE1119" s="1" t="str">
        <f ca="1">IFERROR(__xludf.DUMMYFUNCTION("""COMPUTED_VALUE"""),"Audiobook : In The Angelic Light Of Rishi Thoughts 6 : EP_70_6 : rashmi0363@gmail.com : Recorded")</f>
        <v>Audiobook : In The Angelic Light Of Rishi Thoughts 6 : EP_70_6 : rashmi0363@gmail.com : Recorded</v>
      </c>
      <c r="CF1119" s="1" t="str">
        <f ca="1">IFERROR(__xludf.DUMMYFUNCTION("""COMPUTED_VALUE"""),"Audiobook : In The Angelic Light Of Rishi Thoughts 6 : EP_70_6 : rashmi0363@gmail.com : Recorded")</f>
        <v>Audiobook : In The Angelic Light Of Rishi Thoughts 6 : EP_70_6 : rashmi0363@gmail.com : Recorded</v>
      </c>
      <c r="CG1119" s="1" t="str">
        <f ca="1">IFERROR(__xludf.DUMMYFUNCTION("""COMPUTED_VALUE"""),"Adarniya Rashmi Sinha  ji In The Angelic Light Of Rishi Thoughts 6 : EP_70_6 : Allocated on 24-Feb-23 Contact Number  9212688575")</f>
        <v>Adarniya Rashmi Sinha  ji In The Angelic Light Of Rishi Thoughts 6 : EP_70_6 : Allocated on 24-Feb-23 Contact Number  9212688575</v>
      </c>
      <c r="CH1119" s="1"/>
      <c r="CI1119" s="1"/>
    </row>
    <row r="1120" spans="1:87" x14ac:dyDescent="0.25">
      <c r="A1120" s="5">
        <f ca="1">IFERROR(__xludf.DUMMYFUNCTION("""COMPUTED_VALUE"""),44981.8292467361)</f>
        <v>44981.829246736103</v>
      </c>
      <c r="B1120" s="1" t="str">
        <f ca="1">IFERROR(__xludf.DUMMYFUNCTION("""COMPUTED_VALUE"""),"pratibha.jojare@gmail.com")</f>
        <v>pratibha.jojare@gmail.com</v>
      </c>
      <c r="C1120" s="1" t="str">
        <f ca="1">IFERROR(__xludf.DUMMYFUNCTION("""COMPUTED_VALUE"""),"Pratibha subhash kulthe")</f>
        <v>Pratibha subhash kulthe</v>
      </c>
      <c r="D1120" s="1">
        <f ca="1">IFERROR(__xludf.DUMMYFUNCTION("""COMPUTED_VALUE"""),9096621395)</f>
        <v>9096621395</v>
      </c>
      <c r="E1120" s="1" t="str">
        <f ca="1">IFERROR(__xludf.DUMMYFUNCTION("""COMPUTED_VALUE"""),"Yes")</f>
        <v>Yes</v>
      </c>
      <c r="F1120" s="1" t="str">
        <f ca="1">IFERROR(__xludf.DUMMYFUNCTION("""COMPUTED_VALUE"""),"हिन्दी")</f>
        <v>हिन्दी</v>
      </c>
      <c r="G1120" s="1" t="str">
        <f ca="1">IFERROR(__xludf.DUMMYFUNCTION("""COMPUTED_VALUE"""),"अध्यात्म, धर्म एवं दर्शन")</f>
        <v>अध्यात्म, धर्म एवं दर्शन</v>
      </c>
      <c r="H1120" s="1" t="str">
        <f ca="1">IFERROR(__xludf.DUMMYFUNCTION("""COMPUTED_VALUE"""),"अध्यात्म, धर्म एवं आस्तिकता")</f>
        <v>अध्यात्म, धर्म एवं आस्तिकता</v>
      </c>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f ca="1">IFERROR(__xludf.DUMMYFUNCTION("""COMPUTED_VALUE"""),2)</f>
        <v>2</v>
      </c>
      <c r="BX1120" s="1">
        <f ca="1">IFERROR(__xludf.DUMMYFUNCTION("""COMPUTED_VALUE"""),0)</f>
        <v>0</v>
      </c>
      <c r="BY1120" s="1">
        <f ca="1">IFERROR(__xludf.DUMMYFUNCTION("""COMPUTED_VALUE"""),2)</f>
        <v>2</v>
      </c>
      <c r="BZ1120" s="1">
        <f ca="1">IFERROR(__xludf.DUMMYFUNCTION("""COMPUTED_VALUE"""),0)</f>
        <v>0</v>
      </c>
      <c r="CA1120" s="1" t="str">
        <f ca="1">IFERROR(__xludf.DUMMYFUNCTION("""COMPUTED_VALUE"""),"Yes")</f>
        <v>Yes</v>
      </c>
      <c r="CB1120" s="5">
        <f ca="1">IFERROR(__xludf.DUMMYFUNCTION("""COMPUTED_VALUE"""),44991.8292467361)</f>
        <v>44991.829246736103</v>
      </c>
      <c r="CC1120" s="1" t="str">
        <f ca="1">IFERROR(__xludf.DUMMYFUNCTION("""COMPUTED_VALUE"""),"आस्तिकता आध्यात्मिकता और धार्मिकता : Rare Book")</f>
        <v>आस्तिकता आध्यात्मिकता और धार्मिकता : Rare Book</v>
      </c>
      <c r="CD1120" s="3" t="str">
        <f ca="1">IFERROR(__xludf.DUMMYFUNCTION("""COMPUTED_VALUE"""),"https://vicharkrantibooks.org/productdetail?book_name=HINP0080_ASTIKATA_ADHYATMIKATA_AUR_DHARMIKATA_xx1980&amp;product_id=645")</f>
        <v>https://vicharkrantibooks.org/productdetail?book_name=HINP0080_ASTIKATA_ADHYATMIKATA_AUR_DHARMIKATA_xx1980&amp;product_id=645</v>
      </c>
      <c r="CE1120" s="1" t="str">
        <f ca="1">IFERROR(__xludf.DUMMYFUNCTION("""COMPUTED_VALUE"""),"Audiobook : आस्तिकता आध्यात्मिकता और धार्मिकता : Rare Book : pratibha.jojare@gmail.com : Recorded")</f>
        <v>Audiobook : आस्तिकता आध्यात्मिकता और धार्मिकता : Rare Book : pratibha.jojare@gmail.com : Recorded</v>
      </c>
      <c r="CF1120" s="1" t="str">
        <f ca="1">IFERROR(__xludf.DUMMYFUNCTION("""COMPUTED_VALUE"""),"#N/A")</f>
        <v>#N/A</v>
      </c>
      <c r="CG1120" s="1" t="str">
        <f ca="1">IFERROR(__xludf.DUMMYFUNCTION("""COMPUTED_VALUE"""),"Adarniya Pratibha subhash kulthe ji आस्तिकता आध्यात्मिकता और धार्मिकता : Rare Book : Allocated on 24-Feb-23 Contact Number  9096621395")</f>
        <v>Adarniya Pratibha subhash kulthe ji आस्तिकता आध्यात्मिकता और धार्मिकता : Rare Book : Allocated on 24-Feb-23 Contact Number  9096621395</v>
      </c>
      <c r="CH1120" s="1"/>
      <c r="CI1120" s="1"/>
    </row>
    <row r="1121" spans="1:87" x14ac:dyDescent="0.25">
      <c r="A1121" s="5">
        <f ca="1">IFERROR(__xludf.DUMMYFUNCTION("""COMPUTED_VALUE"""),44981.4867412847)</f>
        <v>44981.486741284702</v>
      </c>
      <c r="B1121" s="1" t="str">
        <f ca="1">IFERROR(__xludf.DUMMYFUNCTION("""COMPUTED_VALUE"""),"csprasad108@gmail.com")</f>
        <v>csprasad108@gmail.com</v>
      </c>
      <c r="C1121" s="1" t="str">
        <f ca="1">IFERROR(__xludf.DUMMYFUNCTION("""COMPUTED_VALUE"""),"Kumkum prasad")</f>
        <v>Kumkum prasad</v>
      </c>
      <c r="D1121" s="1">
        <f ca="1">IFERROR(__xludf.DUMMYFUNCTION("""COMPUTED_VALUE"""),7978055621)</f>
        <v>7978055621</v>
      </c>
      <c r="E1121" s="1" t="str">
        <f ca="1">IFERROR(__xludf.DUMMYFUNCTION("""COMPUTED_VALUE"""),"Yes")</f>
        <v>Yes</v>
      </c>
      <c r="F1121" s="1" t="str">
        <f ca="1">IFERROR(__xludf.DUMMYFUNCTION("""COMPUTED_VALUE"""),"हिन्दी")</f>
        <v>हिन्दी</v>
      </c>
      <c r="G1121" s="1" t="str">
        <f ca="1">IFERROR(__xludf.DUMMYFUNCTION("""COMPUTED_VALUE"""),"संस्कार, कर्मकाण्ड, पाठ, पूजा, गीत-संगीत")</f>
        <v>संस्कार, कर्मकाण्ड, पाठ, पूजा, गीत-संगीत</v>
      </c>
      <c r="H1121" s="1"/>
      <c r="I1121" s="1"/>
      <c r="J1121" s="1"/>
      <c r="K1121" s="1"/>
      <c r="L1121" s="1"/>
      <c r="M1121" s="1"/>
      <c r="N1121" s="1"/>
      <c r="O1121" s="1"/>
      <c r="P1121" s="1"/>
      <c r="Q1121" s="1"/>
      <c r="R1121" s="1"/>
      <c r="S1121" s="1"/>
      <c r="T1121" s="1"/>
      <c r="U1121" s="1"/>
      <c r="V1121" s="1"/>
      <c r="W1121" s="1" t="str">
        <f ca="1">IFERROR(__xludf.DUMMYFUNCTION("""COMPUTED_VALUE"""),"पर्व-त्यौहार, कर्मकाण्ड")</f>
        <v>पर्व-त्यौहार, कर्मकाण्ड</v>
      </c>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t="str">
        <f ca="1">IFERROR(__xludf.DUMMYFUNCTION("""COMPUTED_VALUE"""),"कर्मकांड की प्रेरणाओं में छिपा अध्यात्म")</f>
        <v>कर्मकांड की प्रेरणाओं में छिपा अध्यात्म</v>
      </c>
      <c r="BH1121" s="1"/>
      <c r="BI1121" s="1"/>
      <c r="BJ1121" s="1"/>
      <c r="BK1121" s="1"/>
      <c r="BL1121" s="1"/>
      <c r="BM1121" s="1"/>
      <c r="BN1121" s="1"/>
      <c r="BO1121" s="1"/>
      <c r="BP1121" s="1"/>
      <c r="BQ1121" s="1"/>
      <c r="BR1121" s="1"/>
      <c r="BS1121" s="1"/>
      <c r="BT1121" s="1"/>
      <c r="BU1121" s="1"/>
      <c r="BV1121" s="1"/>
      <c r="BW1121" s="1">
        <f ca="1">IFERROR(__xludf.DUMMYFUNCTION("""COMPUTED_VALUE"""),52)</f>
        <v>52</v>
      </c>
      <c r="BX1121" s="1">
        <f ca="1">IFERROR(__xludf.DUMMYFUNCTION("""COMPUTED_VALUE"""),54)</f>
        <v>54</v>
      </c>
      <c r="BY1121" s="1">
        <f ca="1">IFERROR(__xludf.DUMMYFUNCTION("""COMPUTED_VALUE"""),3)</f>
        <v>3</v>
      </c>
      <c r="BZ1121" s="1">
        <f ca="1">IFERROR(__xludf.DUMMYFUNCTION("""COMPUTED_VALUE"""),24)</f>
        <v>24</v>
      </c>
      <c r="CA1121" s="1" t="str">
        <f ca="1">IFERROR(__xludf.DUMMYFUNCTION("""COMPUTED_VALUE"""),"Yes")</f>
        <v>Yes</v>
      </c>
      <c r="CB1121" s="5">
        <f ca="1">IFERROR(__xludf.DUMMYFUNCTION("""COMPUTED_VALUE"""),44991.4867412847)</f>
        <v>44991.486741284702</v>
      </c>
      <c r="CC1121" s="1" t="str">
        <f ca="1">IFERROR(__xludf.DUMMYFUNCTION("""COMPUTED_VALUE"""),"आस्तिकता अपनाने में ही कल्याण : Rare Book")</f>
        <v>आस्तिकता अपनाने में ही कल्याण : Rare Book</v>
      </c>
      <c r="CD1121" s="3" t="str">
        <f ca="1">IFERROR(__xludf.DUMMYFUNCTION("""COMPUTED_VALUE"""),"https://vicharkrantibooks.org/productdetail?book_name=HINP0082_ASTIKATA_APANANE_MEIN_HI_KALYAN_xxyyyy&amp;product_id=647")</f>
        <v>https://vicharkrantibooks.org/productdetail?book_name=HINP0082_ASTIKATA_APANANE_MEIN_HI_KALYAN_xxyyyy&amp;product_id=647</v>
      </c>
      <c r="CE1121" s="1" t="str">
        <f ca="1">IFERROR(__xludf.DUMMYFUNCTION("""COMPUTED_VALUE"""),"Audiobook : आस्तिकता अपनाने में ही कल्याण : Rare Book : csprasad108@gmail.com : Recorded")</f>
        <v>Audiobook : आस्तिकता अपनाने में ही कल्याण : Rare Book : csprasad108@gmail.com : Recorded</v>
      </c>
      <c r="CF1121" s="1" t="str">
        <f ca="1">IFERROR(__xludf.DUMMYFUNCTION("""COMPUTED_VALUE"""),"Audiobook : आस्तिकता अपनाने में ही कल्याण : Rare Book : csprasad108@gmail.com : Recorded")</f>
        <v>Audiobook : आस्तिकता अपनाने में ही कल्याण : Rare Book : csprasad108@gmail.com : Recorded</v>
      </c>
      <c r="CG1121" s="1" t="str">
        <f ca="1">IFERROR(__xludf.DUMMYFUNCTION("""COMPUTED_VALUE"""),"Adarniya Kumkum prasad ji आस्तिकता अपनाने में ही कल्याण : Rare Book : Allocated on 24-Feb-23 Contact Number  7978055621")</f>
        <v>Adarniya Kumkum prasad ji आस्तिकता अपनाने में ही कल्याण : Rare Book : Allocated on 24-Feb-23 Contact Number  7978055621</v>
      </c>
      <c r="CH1121" s="1"/>
      <c r="CI1121" s="1"/>
    </row>
    <row r="1122" spans="1:87" x14ac:dyDescent="0.25">
      <c r="A1122" s="5">
        <f ca="1">IFERROR(__xludf.DUMMYFUNCTION("""COMPUTED_VALUE"""),44979.93479353)</f>
        <v>44979.934793530003</v>
      </c>
      <c r="B1122" s="1" t="str">
        <f ca="1">IFERROR(__xludf.DUMMYFUNCTION("""COMPUTED_VALUE"""),"vandana15rastogi@gmail.com")</f>
        <v>vandana15rastogi@gmail.com</v>
      </c>
      <c r="C1122" s="1" t="str">
        <f ca="1">IFERROR(__xludf.DUMMYFUNCTION("""COMPUTED_VALUE"""),"Vandana Rastogi")</f>
        <v>Vandana Rastogi</v>
      </c>
      <c r="D1122" s="1">
        <f ca="1">IFERROR(__xludf.DUMMYFUNCTION("""COMPUTED_VALUE"""),9359528684)</f>
        <v>9359528684</v>
      </c>
      <c r="E1122" s="1" t="str">
        <f ca="1">IFERROR(__xludf.DUMMYFUNCTION("""COMPUTED_VALUE"""),"Yes")</f>
        <v>Yes</v>
      </c>
      <c r="F1122" s="1" t="str">
        <f ca="1">IFERROR(__xludf.DUMMYFUNCTION("""COMPUTED_VALUE"""),"हिन्दी")</f>
        <v>हिन्दी</v>
      </c>
      <c r="G1122" s="1" t="str">
        <f ca="1">IFERROR(__xludf.DUMMYFUNCTION("""COMPUTED_VALUE"""),"युग परिवर्तन-विचार क्रांति")</f>
        <v>युग परिवर्तन-विचार क्रांति</v>
      </c>
      <c r="H1122" s="1"/>
      <c r="I1122" s="1"/>
      <c r="J1122" s="1"/>
      <c r="K1122" s="1"/>
      <c r="L1122" s="1"/>
      <c r="M1122" s="1"/>
      <c r="N1122" s="1"/>
      <c r="O1122" s="1"/>
      <c r="P1122" s="1"/>
      <c r="Q1122" s="1" t="str">
        <f ca="1">IFERROR(__xludf.DUMMYFUNCTION("""COMPUTED_VALUE"""),"युग निर्माण योजना एवं युग परिवर्तन")</f>
        <v>युग निर्माण योजना एवं युग परिवर्तन</v>
      </c>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f ca="1">IFERROR(__xludf.DUMMYFUNCTION("""COMPUTED_VALUE"""),33)</f>
        <v>33</v>
      </c>
      <c r="BX1122" s="1">
        <f ca="1">IFERROR(__xludf.DUMMYFUNCTION("""COMPUTED_VALUE"""),19)</f>
        <v>19</v>
      </c>
      <c r="BY1122" s="1">
        <f ca="1">IFERROR(__xludf.DUMMYFUNCTION("""COMPUTED_VALUE"""),17)</f>
        <v>17</v>
      </c>
      <c r="BZ1122" s="1">
        <f ca="1">IFERROR(__xludf.DUMMYFUNCTION("""COMPUTED_VALUE"""),14)</f>
        <v>14</v>
      </c>
      <c r="CA1122" s="1" t="str">
        <f ca="1">IFERROR(__xludf.DUMMYFUNCTION("""COMPUTED_VALUE"""),"Yes")</f>
        <v>Yes</v>
      </c>
      <c r="CB1122" s="5">
        <f ca="1">IFERROR(__xludf.DUMMYFUNCTION("""COMPUTED_VALUE"""),44989.93479353)</f>
        <v>44989.934793530003</v>
      </c>
      <c r="CC1122" s="1" t="str">
        <f ca="1">IFERROR(__xludf.DUMMYFUNCTION("""COMPUTED_VALUE"""),"और भी तरीके हैं, ज्ञानयज्ञ के : Rare Book")</f>
        <v>और भी तरीके हैं, ज्ञानयज्ञ के : Rare Book</v>
      </c>
      <c r="CD1122" s="3" t="str">
        <f ca="1">IFERROR(__xludf.DUMMYFUNCTION("""COMPUTED_VALUE"""),"https://vicharkrantibooks.org/productdetail?book_name=HINP0112_AUR_BHI_TARIKE_HAIN_GYANAYAGY_KE_xxyyyy&amp;product_id=677")</f>
        <v>https://vicharkrantibooks.org/productdetail?book_name=HINP0112_AUR_BHI_TARIKE_HAIN_GYANAYAGY_KE_xxyyyy&amp;product_id=677</v>
      </c>
      <c r="CE1122" s="1" t="str">
        <f ca="1">IFERROR(__xludf.DUMMYFUNCTION("""COMPUTED_VALUE"""),"Audiobook : और भी तरीके हैं, ज्ञानयज्ञ के : Rare Book : vandana15rastogi@gmail.com : Recorded")</f>
        <v>Audiobook : और भी तरीके हैं, ज्ञानयज्ञ के : Rare Book : vandana15rastogi@gmail.com : Recorded</v>
      </c>
      <c r="CF1122" s="1" t="str">
        <f ca="1">IFERROR(__xludf.DUMMYFUNCTION("""COMPUTED_VALUE"""),"Audiobook : और भी तरीके हैं, ज्ञानयज्ञ के : Rare Book : vandana15rastogi@gmail.com : Recorded")</f>
        <v>Audiobook : और भी तरीके हैं, ज्ञानयज्ञ के : Rare Book : vandana15rastogi@gmail.com : Recorded</v>
      </c>
      <c r="CG1122" s="1" t="str">
        <f ca="1">IFERROR(__xludf.DUMMYFUNCTION("""COMPUTED_VALUE"""),"Adarniya Vandana Rastogi ji और भी तरीके हैं, ज्ञानयज्ञ के : Rare Book : Allocated on 22-Feb-23 Contact Number  9359528684")</f>
        <v>Adarniya Vandana Rastogi ji और भी तरीके हैं, ज्ञानयज्ञ के : Rare Book : Allocated on 22-Feb-23 Contact Number  9359528684</v>
      </c>
      <c r="CH1122" s="1"/>
      <c r="CI1122" s="1"/>
    </row>
    <row r="1123" spans="1:87" x14ac:dyDescent="0.25">
      <c r="A1123" s="5">
        <f ca="1">IFERROR(__xludf.DUMMYFUNCTION("""COMPUTED_VALUE"""),44979.8604673958)</f>
        <v>44979.860467395803</v>
      </c>
      <c r="B1123" s="1" t="str">
        <f ca="1">IFERROR(__xludf.DUMMYFUNCTION("""COMPUTED_VALUE"""),"jamunashukla17@gmail.com")</f>
        <v>jamunashukla17@gmail.com</v>
      </c>
      <c r="C1123" s="1" t="str">
        <f ca="1">IFERROR(__xludf.DUMMYFUNCTION("""COMPUTED_VALUE"""),"Smt J S Shukla ")</f>
        <v xml:space="preserve">Smt J S Shukla </v>
      </c>
      <c r="D1123" s="1">
        <f ca="1">IFERROR(__xludf.DUMMYFUNCTION("""COMPUTED_VALUE"""),8390353167)</f>
        <v>8390353167</v>
      </c>
      <c r="E1123" s="1" t="str">
        <f ca="1">IFERROR(__xludf.DUMMYFUNCTION("""COMPUTED_VALUE"""),"Yes")</f>
        <v>Yes</v>
      </c>
      <c r="F1123" s="1" t="str">
        <f ca="1">IFERROR(__xludf.DUMMYFUNCTION("""COMPUTED_VALUE"""),"हिन्दी")</f>
        <v>हिन्दी</v>
      </c>
      <c r="G1123" s="1" t="str">
        <f ca="1">IFERROR(__xludf.DUMMYFUNCTION("""COMPUTED_VALUE"""),"जीवन प्रबंध")</f>
        <v>जीवन प्रबंध</v>
      </c>
      <c r="H1123" s="1"/>
      <c r="I1123" s="1"/>
      <c r="J1123" s="1"/>
      <c r="K1123" s="1"/>
      <c r="L1123" s="1" t="str">
        <f ca="1">IFERROR(__xludf.DUMMYFUNCTION("""COMPUTED_VALUE"""),"मानव जीवन की गरिमा")</f>
        <v>मानव जीवन की गरिमा</v>
      </c>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f ca="1">IFERROR(__xludf.DUMMYFUNCTION("""COMPUTED_VALUE"""),53)</f>
        <v>53</v>
      </c>
      <c r="BX1123" s="1">
        <f ca="1">IFERROR(__xludf.DUMMYFUNCTION("""COMPUTED_VALUE"""),53)</f>
        <v>53</v>
      </c>
      <c r="BY1123" s="1">
        <f ca="1">IFERROR(__xludf.DUMMYFUNCTION("""COMPUTED_VALUE"""),9)</f>
        <v>9</v>
      </c>
      <c r="BZ1123" s="1">
        <f ca="1">IFERROR(__xludf.DUMMYFUNCTION("""COMPUTED_VALUE"""),25)</f>
        <v>25</v>
      </c>
      <c r="CA1123" s="1" t="str">
        <f ca="1">IFERROR(__xludf.DUMMYFUNCTION("""COMPUTED_VALUE"""),"Yes")</f>
        <v>Yes</v>
      </c>
      <c r="CB1123" s="5">
        <f ca="1">IFERROR(__xludf.DUMMYFUNCTION("""COMPUTED_VALUE"""),44989.8604673958)</f>
        <v>44989.860467395803</v>
      </c>
      <c r="CC1123" s="1" t="str">
        <f ca="1">IFERROR(__xludf.DUMMYFUNCTION("""COMPUTED_VALUE"""),"जीवन निर्माण के १४ स्वर्णिम सूत्र : Rare Book")</f>
        <v>जीवन निर्माण के १४ स्वर्णिम सूत्र : Rare Book</v>
      </c>
      <c r="CD1123" s="3" t="str">
        <f ca="1">IFERROR(__xludf.DUMMYFUNCTION("""COMPUTED_VALUE"""),"https://vicharkrantibooks.org/productdetail?book_name=HINR0661_JIVAN_SADHANA_KE_14_SWARNIM_SUTR_2nd1976&amp;product_id=2346")</f>
        <v>https://vicharkrantibooks.org/productdetail?book_name=HINR0661_JIVAN_SADHANA_KE_14_SWARNIM_SUTR_2nd1976&amp;product_id=2346</v>
      </c>
      <c r="CE1123" s="1" t="str">
        <f ca="1">IFERROR(__xludf.DUMMYFUNCTION("""COMPUTED_VALUE"""),"Audiobook : जीवन निर्माण के १४ स्वर्णिम सूत्र : Rare Book : jamunashukla17@gmail.com : Recorded")</f>
        <v>Audiobook : जीवन निर्माण के १४ स्वर्णिम सूत्र : Rare Book : jamunashukla17@gmail.com : Recorded</v>
      </c>
      <c r="CF1123" s="1" t="str">
        <f ca="1">IFERROR(__xludf.DUMMYFUNCTION("""COMPUTED_VALUE"""),"Audiobook : जीवन निर्माण के १४ स्वर्णिम सूत्र : Rare Book : jamunashukla17@gmail.com : Recorded")</f>
        <v>Audiobook : जीवन निर्माण के १४ स्वर्णिम सूत्र : Rare Book : jamunashukla17@gmail.com : Recorded</v>
      </c>
      <c r="CG1123" s="1" t="str">
        <f ca="1">IFERROR(__xludf.DUMMYFUNCTION("""COMPUTED_VALUE"""),"Adarniya Smt J S Shukla  ji जीवन निर्माण के १४ स्वर्णिम सूत्र : Rare Book : Allocated on 22-Feb-23 Contact Number  8390353167")</f>
        <v>Adarniya Smt J S Shukla  ji जीवन निर्माण के १४ स्वर्णिम सूत्र : Rare Book : Allocated on 22-Feb-23 Contact Number  8390353167</v>
      </c>
      <c r="CH1123" s="1"/>
      <c r="CI1123" s="1"/>
    </row>
    <row r="1124" spans="1:87" x14ac:dyDescent="0.25">
      <c r="A1124" s="5">
        <f ca="1">IFERROR(__xludf.DUMMYFUNCTION("""COMPUTED_VALUE"""),44979.4070698495)</f>
        <v>44979.407069849498</v>
      </c>
      <c r="B1124" s="1" t="str">
        <f ca="1">IFERROR(__xludf.DUMMYFUNCTION("""COMPUTED_VALUE"""),"sbdswati@gmail.com")</f>
        <v>sbdswati@gmail.com</v>
      </c>
      <c r="C1124" s="1" t="str">
        <f ca="1">IFERROR(__xludf.DUMMYFUNCTION("""COMPUTED_VALUE"""),"Swati Srivastava")</f>
        <v>Swati Srivastava</v>
      </c>
      <c r="D1124" s="1">
        <f ca="1">IFERROR(__xludf.DUMMYFUNCTION("""COMPUTED_VALUE"""),6397862188)</f>
        <v>6397862188</v>
      </c>
      <c r="E1124" s="1" t="str">
        <f ca="1">IFERROR(__xludf.DUMMYFUNCTION("""COMPUTED_VALUE"""),"Yes")</f>
        <v>Yes</v>
      </c>
      <c r="F1124" s="1" t="str">
        <f ca="1">IFERROR(__xludf.DUMMYFUNCTION("""COMPUTED_VALUE"""),"हिन्दी")</f>
        <v>हिन्दी</v>
      </c>
      <c r="G1124" s="1" t="str">
        <f ca="1">IFERROR(__xludf.DUMMYFUNCTION("""COMPUTED_VALUE"""),"राष्ट्र निर्माण")</f>
        <v>राष्ट्र निर्माण</v>
      </c>
      <c r="H1124" s="1"/>
      <c r="I1124" s="1"/>
      <c r="J1124" s="1"/>
      <c r="K1124" s="1"/>
      <c r="L1124" s="1"/>
      <c r="M1124" s="1"/>
      <c r="N1124" s="1"/>
      <c r="O1124" s="1"/>
      <c r="P1124" s="1"/>
      <c r="Q1124" s="1"/>
      <c r="R1124" s="1" t="str">
        <f ca="1">IFERROR(__xludf.DUMMYFUNCTION("""COMPUTED_VALUE"""),"सार्थक एवं समग्र शिक्षा")</f>
        <v>सार्थक एवं समग्र शिक्षा</v>
      </c>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f ca="1">IFERROR(__xludf.DUMMYFUNCTION("""COMPUTED_VALUE"""),10)</f>
        <v>10</v>
      </c>
      <c r="BX1124" s="1">
        <f ca="1">IFERROR(__xludf.DUMMYFUNCTION("""COMPUTED_VALUE"""),12)</f>
        <v>12</v>
      </c>
      <c r="BY1124" s="1">
        <f ca="1">IFERROR(__xludf.DUMMYFUNCTION("""COMPUTED_VALUE"""),2)</f>
        <v>2</v>
      </c>
      <c r="BZ1124" s="1">
        <f ca="1">IFERROR(__xludf.DUMMYFUNCTION("""COMPUTED_VALUE"""),1)</f>
        <v>1</v>
      </c>
      <c r="CA1124" s="1" t="str">
        <f ca="1">IFERROR(__xludf.DUMMYFUNCTION("""COMPUTED_VALUE"""),"Yes")</f>
        <v>Yes</v>
      </c>
      <c r="CB1124" s="5">
        <f ca="1">IFERROR(__xludf.DUMMYFUNCTION("""COMPUTED_VALUE"""),44989.4070698495)</f>
        <v>44989.407069849498</v>
      </c>
      <c r="CC1124" s="1" t="str">
        <f ca="1">IFERROR(__xludf.DUMMYFUNCTION("""COMPUTED_VALUE"""),"आर्थिक चिंताओं का समाधान : Rare Book")</f>
        <v>आर्थिक चिंताओं का समाधान : Rare Book</v>
      </c>
      <c r="CD1124" s="3" t="str">
        <f ca="1">IFERROR(__xludf.DUMMYFUNCTION("""COMPUTED_VALUE"""),"https://vicharkrantibooks.org/productdetail?book_name=HINP0072_ARTHIK_CHINTAON_KA_SAMADHAN_xxyyyy&amp;product_id=637")</f>
        <v>https://vicharkrantibooks.org/productdetail?book_name=HINP0072_ARTHIK_CHINTAON_KA_SAMADHAN_xxyyyy&amp;product_id=637</v>
      </c>
      <c r="CE1124" s="1" t="str">
        <f ca="1">IFERROR(__xludf.DUMMYFUNCTION("""COMPUTED_VALUE"""),"Audiobook : आर्थिक चिंताओं का समाधान : Rare Book : sbdswati@gmail.com : Recorded")</f>
        <v>Audiobook : आर्थिक चिंताओं का समाधान : Rare Book : sbdswati@gmail.com : Recorded</v>
      </c>
      <c r="CF1124" s="1" t="str">
        <f ca="1">IFERROR(__xludf.DUMMYFUNCTION("""COMPUTED_VALUE"""),"Audiobook : आर्थिक चिंताओं का समाधान : Rare Book : sbdswati@gmail.com : Recorded")</f>
        <v>Audiobook : आर्थिक चिंताओं का समाधान : Rare Book : sbdswati@gmail.com : Recorded</v>
      </c>
      <c r="CG1124" s="1" t="str">
        <f ca="1">IFERROR(__xludf.DUMMYFUNCTION("""COMPUTED_VALUE"""),"Adarniya Swati Srivastava ji आर्थिक चिंताओं का समाधान : Rare Book : Allocated on 22-Feb-23 Contact Number  6397862188")</f>
        <v>Adarniya Swati Srivastava ji आर्थिक चिंताओं का समाधान : Rare Book : Allocated on 22-Feb-23 Contact Number  6397862188</v>
      </c>
      <c r="CH1124" s="1"/>
      <c r="CI1124" s="1"/>
    </row>
    <row r="1125" spans="1:87" x14ac:dyDescent="0.25">
      <c r="A1125" s="5">
        <f ca="1">IFERROR(__xludf.DUMMYFUNCTION("""COMPUTED_VALUE"""),44978.6393242708)</f>
        <v>44978.6393242708</v>
      </c>
      <c r="B1125" s="1" t="str">
        <f ca="1">IFERROR(__xludf.DUMMYFUNCTION("""COMPUTED_VALUE"""),"rbbansalriya@gmail.com")</f>
        <v>rbbansalriya@gmail.com</v>
      </c>
      <c r="C1125" s="1" t="str">
        <f ca="1">IFERROR(__xludf.DUMMYFUNCTION("""COMPUTED_VALUE"""),"Riya bansal")</f>
        <v>Riya bansal</v>
      </c>
      <c r="D1125" s="1">
        <f ca="1">IFERROR(__xludf.DUMMYFUNCTION("""COMPUTED_VALUE"""),9176361023)</f>
        <v>9176361023</v>
      </c>
      <c r="E1125" s="1" t="str">
        <f ca="1">IFERROR(__xludf.DUMMYFUNCTION("""COMPUTED_VALUE"""),"Yes")</f>
        <v>Yes</v>
      </c>
      <c r="F1125" s="1" t="str">
        <f ca="1">IFERROR(__xludf.DUMMYFUNCTION("""COMPUTED_VALUE"""),"हिन्दी")</f>
        <v>हिन्दी</v>
      </c>
      <c r="G1125" s="1" t="str">
        <f ca="1">IFERROR(__xludf.DUMMYFUNCTION("""COMPUTED_VALUE"""),"अध्यात्म, धर्म एवं दर्शन")</f>
        <v>अध्यात्म, धर्म एवं दर्शन</v>
      </c>
      <c r="H1125" s="1" t="str">
        <f ca="1">IFERROR(__xludf.DUMMYFUNCTION("""COMPUTED_VALUE"""),"अध्यात्म, धर्म एवं आस्तिकता")</f>
        <v>अध्यात्म, धर्म एवं आस्तिकता</v>
      </c>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f ca="1">IFERROR(__xludf.DUMMYFUNCTION("""COMPUTED_VALUE"""),54)</f>
        <v>54</v>
      </c>
      <c r="BX1125" s="1">
        <f ca="1">IFERROR(__xludf.DUMMYFUNCTION("""COMPUTED_VALUE"""),55)</f>
        <v>55</v>
      </c>
      <c r="BY1125" s="1">
        <f ca="1">IFERROR(__xludf.DUMMYFUNCTION("""COMPUTED_VALUE"""),9)</f>
        <v>9</v>
      </c>
      <c r="BZ1125" s="1">
        <f ca="1">IFERROR(__xludf.DUMMYFUNCTION("""COMPUTED_VALUE"""),43)</f>
        <v>43</v>
      </c>
      <c r="CA1125" s="1" t="str">
        <f ca="1">IFERROR(__xludf.DUMMYFUNCTION("""COMPUTED_VALUE"""),"Yes")</f>
        <v>Yes</v>
      </c>
      <c r="CB1125" s="5">
        <f ca="1">IFERROR(__xludf.DUMMYFUNCTION("""COMPUTED_VALUE"""),44988.6393242708)</f>
        <v>44988.6393242708</v>
      </c>
      <c r="CC1125" s="1" t="str">
        <f ca="1">IFERROR(__xludf.DUMMYFUNCTION("""COMPUTED_VALUE"""),"आस्तिकता अपनाने में ही कल्याण : Rare Book")</f>
        <v>आस्तिकता अपनाने में ही कल्याण : Rare Book</v>
      </c>
      <c r="CD1125" s="3" t="str">
        <f ca="1">IFERROR(__xludf.DUMMYFUNCTION("""COMPUTED_VALUE"""),"https://vicharkrantibooks.org/productdetail?book_name=HINP0082_ASTIKATA_APANANE_MEIN_HI_KALYAN_xxyyyy&amp;product_id=647")</f>
        <v>https://vicharkrantibooks.org/productdetail?book_name=HINP0082_ASTIKATA_APANANE_MEIN_HI_KALYAN_xxyyyy&amp;product_id=647</v>
      </c>
      <c r="CE1125" s="1" t="str">
        <f ca="1">IFERROR(__xludf.DUMMYFUNCTION("""COMPUTED_VALUE"""),"Audiobook : आस्तिकता अपनाने में ही कल्याण : Rare Book : rbbansalriya@gmail.com : Recorded")</f>
        <v>Audiobook : आस्तिकता अपनाने में ही कल्याण : Rare Book : rbbansalriya@gmail.com : Recorded</v>
      </c>
      <c r="CF1125" s="1" t="str">
        <f ca="1">IFERROR(__xludf.DUMMYFUNCTION("""COMPUTED_VALUE"""),"Audiobook : आस्तिकता अपनाने में ही कल्याण : Rare Book : rbbansalriya@gmail.com : Recorded")</f>
        <v>Audiobook : आस्तिकता अपनाने में ही कल्याण : Rare Book : rbbansalriya@gmail.com : Recorded</v>
      </c>
      <c r="CG1125" s="1" t="str">
        <f ca="1">IFERROR(__xludf.DUMMYFUNCTION("""COMPUTED_VALUE"""),"Adarniya Riya bansal ji आस्तिकता अपनाने में ही कल्याण : Rare Book : Allocated on 21-Feb-23 Contact Number  9176361023")</f>
        <v>Adarniya Riya bansal ji आस्तिकता अपनाने में ही कल्याण : Rare Book : Allocated on 21-Feb-23 Contact Number  9176361023</v>
      </c>
      <c r="CH1125" s="1"/>
      <c r="CI1125" s="1"/>
    </row>
    <row r="1126" spans="1:87" x14ac:dyDescent="0.25">
      <c r="A1126" s="5">
        <f ca="1">IFERROR(__xludf.DUMMYFUNCTION("""COMPUTED_VALUE"""),44978.3585747916)</f>
        <v>44978.3585747916</v>
      </c>
      <c r="B1126" s="1" t="str">
        <f ca="1">IFERROR(__xludf.DUMMYFUNCTION("""COMPUTED_VALUE"""),"csprasad108@gmail.com")</f>
        <v>csprasad108@gmail.com</v>
      </c>
      <c r="C1126" s="1" t="str">
        <f ca="1">IFERROR(__xludf.DUMMYFUNCTION("""COMPUTED_VALUE"""),"Kumkum prasad")</f>
        <v>Kumkum prasad</v>
      </c>
      <c r="D1126" s="1">
        <f ca="1">IFERROR(__xludf.DUMMYFUNCTION("""COMPUTED_VALUE"""),7978955621)</f>
        <v>7978955621</v>
      </c>
      <c r="E1126" s="1" t="str">
        <f ca="1">IFERROR(__xludf.DUMMYFUNCTION("""COMPUTED_VALUE"""),"Yes")</f>
        <v>Yes</v>
      </c>
      <c r="F1126" s="1" t="str">
        <f ca="1">IFERROR(__xludf.DUMMYFUNCTION("""COMPUTED_VALUE"""),"हिन्दी")</f>
        <v>हिन्दी</v>
      </c>
      <c r="G1126" s="1" t="str">
        <f ca="1">IFERROR(__xludf.DUMMYFUNCTION("""COMPUTED_VALUE"""),"संस्कार, कर्मकाण्ड, पाठ, पूजा, गीत-संगीत")</f>
        <v>संस्कार, कर्मकाण्ड, पाठ, पूजा, गीत-संगीत</v>
      </c>
      <c r="H1126" s="1"/>
      <c r="I1126" s="1"/>
      <c r="J1126" s="1"/>
      <c r="K1126" s="1"/>
      <c r="L1126" s="1"/>
      <c r="M1126" s="1"/>
      <c r="N1126" s="1"/>
      <c r="O1126" s="1"/>
      <c r="P1126" s="1"/>
      <c r="Q1126" s="1"/>
      <c r="R1126" s="1"/>
      <c r="S1126" s="1"/>
      <c r="T1126" s="1"/>
      <c r="U1126" s="1"/>
      <c r="V1126" s="1"/>
      <c r="W1126" s="1" t="str">
        <f ca="1">IFERROR(__xludf.DUMMYFUNCTION("""COMPUTED_VALUE"""),"पर्व-त्यौहार, कर्मकाण्ड")</f>
        <v>पर्व-त्यौहार, कर्मकाण्ड</v>
      </c>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t="str">
        <f ca="1">IFERROR(__xludf.DUMMYFUNCTION("""COMPUTED_VALUE"""),"कर्मकांड की प्रेरणाओं में छिपा अध्यात्म")</f>
        <v>कर्मकांड की प्रेरणाओं में छिपा अध्यात्म</v>
      </c>
      <c r="BH1126" s="1"/>
      <c r="BI1126" s="1"/>
      <c r="BJ1126" s="1"/>
      <c r="BK1126" s="1"/>
      <c r="BL1126" s="1"/>
      <c r="BM1126" s="1"/>
      <c r="BN1126" s="1"/>
      <c r="BO1126" s="1"/>
      <c r="BP1126" s="1"/>
      <c r="BQ1126" s="1"/>
      <c r="BR1126" s="1"/>
      <c r="BS1126" s="1"/>
      <c r="BT1126" s="1"/>
      <c r="BU1126" s="1"/>
      <c r="BV1126" s="1"/>
      <c r="BW1126" s="1">
        <f ca="1">IFERROR(__xludf.DUMMYFUNCTION("""COMPUTED_VALUE"""),52)</f>
        <v>52</v>
      </c>
      <c r="BX1126" s="1">
        <f ca="1">IFERROR(__xludf.DUMMYFUNCTION("""COMPUTED_VALUE"""),54)</f>
        <v>54</v>
      </c>
      <c r="BY1126" s="1">
        <f ca="1">IFERROR(__xludf.DUMMYFUNCTION("""COMPUTED_VALUE"""),3)</f>
        <v>3</v>
      </c>
      <c r="BZ1126" s="1">
        <f ca="1">IFERROR(__xludf.DUMMYFUNCTION("""COMPUTED_VALUE"""),24)</f>
        <v>24</v>
      </c>
      <c r="CA1126" s="1" t="str">
        <f ca="1">IFERROR(__xludf.DUMMYFUNCTION("""COMPUTED_VALUE"""),"Yes")</f>
        <v>Yes</v>
      </c>
      <c r="CB1126" s="5">
        <f ca="1">IFERROR(__xludf.DUMMYFUNCTION("""COMPUTED_VALUE"""),44988.3585747916)</f>
        <v>44988.3585747916</v>
      </c>
      <c r="CC1126" s="1" t="str">
        <f ca="1">IFERROR(__xludf.DUMMYFUNCTION("""COMPUTED_VALUE"""),"ज्ञानघट और नवयुग का जीवन दर्शन : Rare Book")</f>
        <v>ज्ञानघट और नवयुग का जीवन दर्शन : Rare Book</v>
      </c>
      <c r="CD1126" s="3" t="str">
        <f ca="1">IFERROR(__xludf.DUMMYFUNCTION("""COMPUTED_VALUE"""),"https://vicharkrantibooks.org/productdetail?book_name=HINP0325_GYANAGHAT_AUR_NAVAYUG_KA_JIVAN_DARSHAN_xxyyyy&amp;product_id=890")</f>
        <v>https://vicharkrantibooks.org/productdetail?book_name=HINP0325_GYANAGHAT_AUR_NAVAYUG_KA_JIVAN_DARSHAN_xxyyyy&amp;product_id=890</v>
      </c>
      <c r="CE1126" s="1" t="str">
        <f ca="1">IFERROR(__xludf.DUMMYFUNCTION("""COMPUTED_VALUE"""),"Audiobook : ज्ञानघट और नवयुग का जीवन दर्शन : Rare Book : csprasad108@gmail.com : Recorded")</f>
        <v>Audiobook : ज्ञानघट और नवयुग का जीवन दर्शन : Rare Book : csprasad108@gmail.com : Recorded</v>
      </c>
      <c r="CF1126" s="1" t="str">
        <f ca="1">IFERROR(__xludf.DUMMYFUNCTION("""COMPUTED_VALUE"""),"Audiobook : ज्ञानघट और नवयुग का जीवन दर्शन : Rare Book : csprasad108@gmail.com : Recorded")</f>
        <v>Audiobook : ज्ञानघट और नवयुग का जीवन दर्शन : Rare Book : csprasad108@gmail.com : Recorded</v>
      </c>
      <c r="CG1126" s="1" t="str">
        <f ca="1">IFERROR(__xludf.DUMMYFUNCTION("""COMPUTED_VALUE"""),"Adarniya Kumkum prasad ji ज्ञानघट और नवयुग का जीवन दर्शन : Rare Book : Allocated on 21-Feb-23 Contact Number  7978955621")</f>
        <v>Adarniya Kumkum prasad ji ज्ञानघट और नवयुग का जीवन दर्शन : Rare Book : Allocated on 21-Feb-23 Contact Number  7978955621</v>
      </c>
      <c r="CH1126" s="1"/>
      <c r="CI1126" s="1"/>
    </row>
    <row r="1127" spans="1:87" x14ac:dyDescent="0.25">
      <c r="A1127" s="5">
        <f ca="1">IFERROR(__xludf.DUMMYFUNCTION("""COMPUTED_VALUE"""),44976.5138003819)</f>
        <v>44976.513800381901</v>
      </c>
      <c r="B1127" s="1" t="str">
        <f ca="1">IFERROR(__xludf.DUMMYFUNCTION("""COMPUTED_VALUE"""),"csprasad108@gmail.com")</f>
        <v>csprasad108@gmail.com</v>
      </c>
      <c r="C1127" s="1" t="str">
        <f ca="1">IFERROR(__xludf.DUMMYFUNCTION("""COMPUTED_VALUE"""),"Kumkum prasad")</f>
        <v>Kumkum prasad</v>
      </c>
      <c r="D1127" s="1">
        <f ca="1">IFERROR(__xludf.DUMMYFUNCTION("""COMPUTED_VALUE"""),7978055621)</f>
        <v>7978055621</v>
      </c>
      <c r="E1127" s="1" t="str">
        <f ca="1">IFERROR(__xludf.DUMMYFUNCTION("""COMPUTED_VALUE"""),"Yes")</f>
        <v>Yes</v>
      </c>
      <c r="F1127" s="1" t="str">
        <f ca="1">IFERROR(__xludf.DUMMYFUNCTION("""COMPUTED_VALUE"""),"हिन्दी")</f>
        <v>हिन्दी</v>
      </c>
      <c r="G1127" s="1" t="str">
        <f ca="1">IFERROR(__xludf.DUMMYFUNCTION("""COMPUTED_VALUE"""),"संस्कार, कर्मकाण्ड, पाठ, पूजा, गीत-संगीत")</f>
        <v>संस्कार, कर्मकाण्ड, पाठ, पूजा, गीत-संगीत</v>
      </c>
      <c r="H1127" s="1"/>
      <c r="I1127" s="1"/>
      <c r="J1127" s="1"/>
      <c r="K1127" s="1"/>
      <c r="L1127" s="1"/>
      <c r="M1127" s="1"/>
      <c r="N1127" s="1"/>
      <c r="O1127" s="1"/>
      <c r="P1127" s="1"/>
      <c r="Q1127" s="1"/>
      <c r="R1127" s="1"/>
      <c r="S1127" s="1"/>
      <c r="T1127" s="1"/>
      <c r="U1127" s="1"/>
      <c r="V1127" s="1"/>
      <c r="W1127" s="1" t="str">
        <f ca="1">IFERROR(__xludf.DUMMYFUNCTION("""COMPUTED_VALUE"""),"पर्व-त्यौहार, कर्मकाण्ड")</f>
        <v>पर्व-त्यौहार, कर्मकाण्ड</v>
      </c>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t="str">
        <f ca="1">IFERROR(__xludf.DUMMYFUNCTION("""COMPUTED_VALUE"""),"कर्मकांड की प्रेरणाओं में छिपा अध्यात्म")</f>
        <v>कर्मकांड की प्रेरणाओं में छिपा अध्यात्म</v>
      </c>
      <c r="BH1127" s="1"/>
      <c r="BI1127" s="1"/>
      <c r="BJ1127" s="1"/>
      <c r="BK1127" s="1"/>
      <c r="BL1127" s="1"/>
      <c r="BM1127" s="1"/>
      <c r="BN1127" s="1"/>
      <c r="BO1127" s="1"/>
      <c r="BP1127" s="1"/>
      <c r="BQ1127" s="1"/>
      <c r="BR1127" s="1"/>
      <c r="BS1127" s="1"/>
      <c r="BT1127" s="1"/>
      <c r="BU1127" s="1"/>
      <c r="BV1127" s="1"/>
      <c r="BW1127" s="1">
        <f ca="1">IFERROR(__xludf.DUMMYFUNCTION("""COMPUTED_VALUE"""),52)</f>
        <v>52</v>
      </c>
      <c r="BX1127" s="1">
        <f ca="1">IFERROR(__xludf.DUMMYFUNCTION("""COMPUTED_VALUE"""),54)</f>
        <v>54</v>
      </c>
      <c r="BY1127" s="1">
        <f ca="1">IFERROR(__xludf.DUMMYFUNCTION("""COMPUTED_VALUE"""),3)</f>
        <v>3</v>
      </c>
      <c r="BZ1127" s="1">
        <f ca="1">IFERROR(__xludf.DUMMYFUNCTION("""COMPUTED_VALUE"""),24)</f>
        <v>24</v>
      </c>
      <c r="CA1127" s="1" t="str">
        <f ca="1">IFERROR(__xludf.DUMMYFUNCTION("""COMPUTED_VALUE"""),"Yes")</f>
        <v>Yes</v>
      </c>
      <c r="CB1127" s="5">
        <f ca="1">IFERROR(__xludf.DUMMYFUNCTION("""COMPUTED_VALUE"""),44986.5138003819)</f>
        <v>44986.513800381901</v>
      </c>
      <c r="CC1127" s="1" t="str">
        <f ca="1">IFERROR(__xludf.DUMMYFUNCTION("""COMPUTED_VALUE"""),"गायत्री उपासना के पांच चरण : Rare Book")</f>
        <v>गायत्री उपासना के पांच चरण : Rare Book</v>
      </c>
      <c r="CD1127" s="3" t="str">
        <f ca="1">IFERROR(__xludf.DUMMYFUNCTION("""COMPUTED_VALUE"""),"https://vicharkrantibooks.org/productdetail?book_name=HINP0296_GAYATRI_UPASANA_KE_PANCH_CHARAN_xx1979&amp;product_id=861")</f>
        <v>https://vicharkrantibooks.org/productdetail?book_name=HINP0296_GAYATRI_UPASANA_KE_PANCH_CHARAN_xx1979&amp;product_id=861</v>
      </c>
      <c r="CE1127" s="1" t="str">
        <f ca="1">IFERROR(__xludf.DUMMYFUNCTION("""COMPUTED_VALUE"""),"Audiobook : गायत्री उपासना के पांच चरण : Rare Book : csprasad108@gmail.com : Recorded")</f>
        <v>Audiobook : गायत्री उपासना के पांच चरण : Rare Book : csprasad108@gmail.com : Recorded</v>
      </c>
      <c r="CF1127" s="1" t="str">
        <f ca="1">IFERROR(__xludf.DUMMYFUNCTION("""COMPUTED_VALUE"""),"Audiobook : गायत्री उपासना के पांच चरण : Rare Book : csprasad108@gmail.com : Recorded")</f>
        <v>Audiobook : गायत्री उपासना के पांच चरण : Rare Book : csprasad108@gmail.com : Recorded</v>
      </c>
      <c r="CG1127" s="1" t="str">
        <f ca="1">IFERROR(__xludf.DUMMYFUNCTION("""COMPUTED_VALUE"""),"Adarniya Kumkum prasad ji गायत्री उपासना के पांच चरण : Rare Book : Allocated on 19-Feb-23 Contact Number  7978055621")</f>
        <v>Adarniya Kumkum prasad ji गायत्री उपासना के पांच चरण : Rare Book : Allocated on 19-Feb-23 Contact Number  7978055621</v>
      </c>
      <c r="CH1127" s="1"/>
      <c r="CI1127" s="1"/>
    </row>
    <row r="1128" spans="1:87" x14ac:dyDescent="0.25">
      <c r="A1128" s="5">
        <f ca="1">IFERROR(__xludf.DUMMYFUNCTION("""COMPUTED_VALUE"""),44975.6617008564)</f>
        <v>44975.661700856399</v>
      </c>
      <c r="B1128" s="1" t="str">
        <f ca="1">IFERROR(__xludf.DUMMYFUNCTION("""COMPUTED_VALUE"""),"rbbansalriya@gmail.com")</f>
        <v>rbbansalriya@gmail.com</v>
      </c>
      <c r="C1128" s="1" t="str">
        <f ca="1">IFERROR(__xludf.DUMMYFUNCTION("""COMPUTED_VALUE"""),"Riya bansal ")</f>
        <v xml:space="preserve">Riya bansal </v>
      </c>
      <c r="D1128" s="1">
        <f ca="1">IFERROR(__xludf.DUMMYFUNCTION("""COMPUTED_VALUE"""),9176361023)</f>
        <v>9176361023</v>
      </c>
      <c r="E1128" s="1" t="str">
        <f ca="1">IFERROR(__xludf.DUMMYFUNCTION("""COMPUTED_VALUE"""),"Yes")</f>
        <v>Yes</v>
      </c>
      <c r="F1128" s="1" t="str">
        <f ca="1">IFERROR(__xludf.DUMMYFUNCTION("""COMPUTED_VALUE"""),"हिन्दी")</f>
        <v>हिन्दी</v>
      </c>
      <c r="G1128" s="1" t="str">
        <f ca="1">IFERROR(__xludf.DUMMYFUNCTION("""COMPUTED_VALUE"""),"अध्यात्म, धर्म एवं दर्शन")</f>
        <v>अध्यात्म, धर्म एवं दर्शन</v>
      </c>
      <c r="H1128" s="1" t="str">
        <f ca="1">IFERROR(__xludf.DUMMYFUNCTION("""COMPUTED_VALUE"""),"अध्यात्म, धर्म एवं आस्तिकता")</f>
        <v>अध्यात्म, धर्म एवं आस्तिकता</v>
      </c>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f ca="1">IFERROR(__xludf.DUMMYFUNCTION("""COMPUTED_VALUE"""),54)</f>
        <v>54</v>
      </c>
      <c r="BX1128" s="1">
        <f ca="1">IFERROR(__xludf.DUMMYFUNCTION("""COMPUTED_VALUE"""),55)</f>
        <v>55</v>
      </c>
      <c r="BY1128" s="1">
        <f ca="1">IFERROR(__xludf.DUMMYFUNCTION("""COMPUTED_VALUE"""),9)</f>
        <v>9</v>
      </c>
      <c r="BZ1128" s="1">
        <f ca="1">IFERROR(__xludf.DUMMYFUNCTION("""COMPUTED_VALUE"""),43)</f>
        <v>43</v>
      </c>
      <c r="CA1128" s="1" t="str">
        <f ca="1">IFERROR(__xludf.DUMMYFUNCTION("""COMPUTED_VALUE"""),"Yes")</f>
        <v>Yes</v>
      </c>
      <c r="CB1128" s="5">
        <f ca="1">IFERROR(__xludf.DUMMYFUNCTION("""COMPUTED_VALUE"""),44985.6617008564)</f>
        <v>44985.661700856399</v>
      </c>
      <c r="CC1128" s="1" t="str">
        <f ca="1">IFERROR(__xludf.DUMMYFUNCTION("""COMPUTED_VALUE"""),"आपत्तिकाल का अध्यात्म : H_JS_02")</f>
        <v>आपत्तिकाल का अध्यात्म : H_JS_02</v>
      </c>
      <c r="CD1128" s="3" t="str">
        <f ca="1">IFERROR(__xludf.DUMMYFUNCTION("""COMPUTED_VALUE"""),"https://vicharkrantibooks.org/productdetail?book_name=HINP0070_APATTIKAL_KA_ADHYATM_xx2011&amp;product_id=635")</f>
        <v>https://vicharkrantibooks.org/productdetail?book_name=HINP0070_APATTIKAL_KA_ADHYATM_xx2011&amp;product_id=635</v>
      </c>
      <c r="CE1128" s="1" t="str">
        <f ca="1">IFERROR(__xludf.DUMMYFUNCTION("""COMPUTED_VALUE"""),"Audiobook : आपत्तिकाल का अध्यात्म : H_JS_02 : rbbansalriya@gmail.com : Recorded")</f>
        <v>Audiobook : आपत्तिकाल का अध्यात्म : H_JS_02 : rbbansalriya@gmail.com : Recorded</v>
      </c>
      <c r="CF1128" s="1" t="str">
        <f ca="1">IFERROR(__xludf.DUMMYFUNCTION("""COMPUTED_VALUE"""),"Audiobook : आपत्तिकाल का अध्यात्म : H_JS_02 : rbbansalriya@gmail.com : Recorded")</f>
        <v>Audiobook : आपत्तिकाल का अध्यात्म : H_JS_02 : rbbansalriya@gmail.com : Recorded</v>
      </c>
      <c r="CG1128" s="1" t="str">
        <f ca="1">IFERROR(__xludf.DUMMYFUNCTION("""COMPUTED_VALUE"""),"Adarniya Riya bansal  ji आपत्तिकाल का अध्यात्म : H_JS_02 : Allocated on 18-Feb-23 Contact Number  9176361023")</f>
        <v>Adarniya Riya bansal  ji आपत्तिकाल का अध्यात्म : H_JS_02 : Allocated on 18-Feb-23 Contact Number  9176361023</v>
      </c>
      <c r="CH1128" s="1"/>
      <c r="CI1128" s="1"/>
    </row>
    <row r="1129" spans="1:87" x14ac:dyDescent="0.25">
      <c r="A1129" s="5">
        <f ca="1">IFERROR(__xludf.DUMMYFUNCTION("""COMPUTED_VALUE"""),44975.4365025925)</f>
        <v>44975.4365025925</v>
      </c>
      <c r="B1129" s="1" t="str">
        <f ca="1">IFERROR(__xludf.DUMMYFUNCTION("""COMPUTED_VALUE"""),"sbdswati@gmail.com")</f>
        <v>sbdswati@gmail.com</v>
      </c>
      <c r="C1129" s="1" t="str">
        <f ca="1">IFERROR(__xludf.DUMMYFUNCTION("""COMPUTED_VALUE"""),"Swati Srivastava ")</f>
        <v xml:space="preserve">Swati Srivastava </v>
      </c>
      <c r="D1129" s="1">
        <f ca="1">IFERROR(__xludf.DUMMYFUNCTION("""COMPUTED_VALUE"""),6397862188)</f>
        <v>6397862188</v>
      </c>
      <c r="E1129" s="1" t="str">
        <f ca="1">IFERROR(__xludf.DUMMYFUNCTION("""COMPUTED_VALUE"""),"Yes")</f>
        <v>Yes</v>
      </c>
      <c r="F1129" s="1" t="str">
        <f ca="1">IFERROR(__xludf.DUMMYFUNCTION("""COMPUTED_VALUE"""),"हिन्दी")</f>
        <v>हिन्दी</v>
      </c>
      <c r="G1129" s="1" t="str">
        <f ca="1">IFERROR(__xludf.DUMMYFUNCTION("""COMPUTED_VALUE"""),"जीवन प्रबंध")</f>
        <v>जीवन प्रबंध</v>
      </c>
      <c r="H1129" s="1"/>
      <c r="I1129" s="1"/>
      <c r="J1129" s="1"/>
      <c r="K1129" s="1"/>
      <c r="L1129" s="1" t="str">
        <f ca="1">IFERROR(__xludf.DUMMYFUNCTION("""COMPUTED_VALUE"""),"जीवन साधना")</f>
        <v>जीवन साधना</v>
      </c>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f ca="1">IFERROR(__xludf.DUMMYFUNCTION("""COMPUTED_VALUE"""),10)</f>
        <v>10</v>
      </c>
      <c r="BX1129" s="1">
        <f ca="1">IFERROR(__xludf.DUMMYFUNCTION("""COMPUTED_VALUE"""),12)</f>
        <v>12</v>
      </c>
      <c r="BY1129" s="1">
        <f ca="1">IFERROR(__xludf.DUMMYFUNCTION("""COMPUTED_VALUE"""),2)</f>
        <v>2</v>
      </c>
      <c r="BZ1129" s="1">
        <f ca="1">IFERROR(__xludf.DUMMYFUNCTION("""COMPUTED_VALUE"""),1)</f>
        <v>1</v>
      </c>
      <c r="CA1129" s="1" t="str">
        <f ca="1">IFERROR(__xludf.DUMMYFUNCTION("""COMPUTED_VALUE"""),"Yes")</f>
        <v>Yes</v>
      </c>
      <c r="CB1129" s="5">
        <f ca="1">IFERROR(__xludf.DUMMYFUNCTION("""COMPUTED_VALUE"""),44985.4365025925)</f>
        <v>44985.4365025925</v>
      </c>
      <c r="CC1129" s="1" t="str">
        <f ca="1">IFERROR(__xludf.DUMMYFUNCTION("""COMPUTED_VALUE"""),"जीवन देवता की अनिवार्य साधना : H_JS_95")</f>
        <v>जीवन देवता की अनिवार्य साधना : H_JS_95</v>
      </c>
      <c r="CD1129" s="3" t="str">
        <f ca="1">IFERROR(__xludf.DUMMYFUNCTION("""COMPUTED_VALUE"""),"https://vicharkrantibooks.org/productdetail?book_name=HINP0386_JIVAN_DEVATA_KI_ANIVARY_SADHANA_xx2011&amp;product_id=951")</f>
        <v>https://vicharkrantibooks.org/productdetail?book_name=HINP0386_JIVAN_DEVATA_KI_ANIVARY_SADHANA_xx2011&amp;product_id=951</v>
      </c>
      <c r="CE1129" s="1" t="str">
        <f ca="1">IFERROR(__xludf.DUMMYFUNCTION("""COMPUTED_VALUE"""),"Audiobook : जीवन देवता की अनिवार्य साधना : H_JS_95 : sbdswati@gmail.com : Recorded")</f>
        <v>Audiobook : जीवन देवता की अनिवार्य साधना : H_JS_95 : sbdswati@gmail.com : Recorded</v>
      </c>
      <c r="CF1129" s="1" t="str">
        <f ca="1">IFERROR(__xludf.DUMMYFUNCTION("""COMPUTED_VALUE"""),"Audiobook : जीवन देवता की अनिवार्य साधना : H_JS_95 : sbdswati@gmail.com : Recorded")</f>
        <v>Audiobook : जीवन देवता की अनिवार्य साधना : H_JS_95 : sbdswati@gmail.com : Recorded</v>
      </c>
      <c r="CG1129" s="1" t="str">
        <f ca="1">IFERROR(__xludf.DUMMYFUNCTION("""COMPUTED_VALUE"""),"Adarniya Swati Srivastava  ji जीवन देवता की अनिवार्य साधना : H_JS_95 : Allocated on 18-Feb-23 Contact Number  6397862188")</f>
        <v>Adarniya Swati Srivastava  ji जीवन देवता की अनिवार्य साधना : H_JS_95 : Allocated on 18-Feb-23 Contact Number  6397862188</v>
      </c>
      <c r="CH1129" s="1"/>
      <c r="CI1129" s="1"/>
    </row>
    <row r="1130" spans="1:87" x14ac:dyDescent="0.25">
      <c r="A1130" s="5">
        <f ca="1">IFERROR(__xludf.DUMMYFUNCTION("""COMPUTED_VALUE"""),44973.8621329282)</f>
        <v>44973.862132928203</v>
      </c>
      <c r="B1130" s="1" t="str">
        <f ca="1">IFERROR(__xludf.DUMMYFUNCTION("""COMPUTED_VALUE"""),"rbbansalriya@gmail.com")</f>
        <v>rbbansalriya@gmail.com</v>
      </c>
      <c r="C1130" s="1" t="str">
        <f ca="1">IFERROR(__xludf.DUMMYFUNCTION("""COMPUTED_VALUE"""),"Riya bansal ")</f>
        <v xml:space="preserve">Riya bansal </v>
      </c>
      <c r="D1130" s="1">
        <f ca="1">IFERROR(__xludf.DUMMYFUNCTION("""COMPUTED_VALUE"""),9176361023)</f>
        <v>9176361023</v>
      </c>
      <c r="E1130" s="1" t="str">
        <f ca="1">IFERROR(__xludf.DUMMYFUNCTION("""COMPUTED_VALUE"""),"Yes")</f>
        <v>Yes</v>
      </c>
      <c r="F1130" s="1" t="str">
        <f ca="1">IFERROR(__xludf.DUMMYFUNCTION("""COMPUTED_VALUE"""),"हिन्दी")</f>
        <v>हिन्दी</v>
      </c>
      <c r="G1130" s="1" t="str">
        <f ca="1">IFERROR(__xludf.DUMMYFUNCTION("""COMPUTED_VALUE"""),"अध्यात्म, धर्म एवं दर्शन")</f>
        <v>अध्यात्म, धर्म एवं दर्शन</v>
      </c>
      <c r="H1130" s="1" t="str">
        <f ca="1">IFERROR(__xludf.DUMMYFUNCTION("""COMPUTED_VALUE"""),"आत्मज्ञान एवं आत्मनिर्माण")</f>
        <v>आत्मज्ञान एवं आत्मनिर्माण</v>
      </c>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f ca="1">IFERROR(__xludf.DUMMYFUNCTION("""COMPUTED_VALUE"""),54)</f>
        <v>54</v>
      </c>
      <c r="BX1130" s="1">
        <f ca="1">IFERROR(__xludf.DUMMYFUNCTION("""COMPUTED_VALUE"""),55)</f>
        <v>55</v>
      </c>
      <c r="BY1130" s="1">
        <f ca="1">IFERROR(__xludf.DUMMYFUNCTION("""COMPUTED_VALUE"""),9)</f>
        <v>9</v>
      </c>
      <c r="BZ1130" s="1">
        <f ca="1">IFERROR(__xludf.DUMMYFUNCTION("""COMPUTED_VALUE"""),43)</f>
        <v>43</v>
      </c>
      <c r="CA1130" s="1" t="str">
        <f ca="1">IFERROR(__xludf.DUMMYFUNCTION("""COMPUTED_VALUE"""),"Yes")</f>
        <v>Yes</v>
      </c>
      <c r="CB1130" s="5">
        <f ca="1">IFERROR(__xludf.DUMMYFUNCTION("""COMPUTED_VALUE"""),44983.8621329282)</f>
        <v>44983.862132928203</v>
      </c>
      <c r="CC1130" s="1" t="str">
        <f ca="1">IFERROR(__xludf.DUMMYFUNCTION("""COMPUTED_VALUE"""),"आध्यात्मिकता व्यवहार में उतरे : Rare Book")</f>
        <v>आध्यात्मिकता व्यवहार में उतरे : Rare Book</v>
      </c>
      <c r="CD1130" s="3" t="str">
        <f ca="1">IFERROR(__xludf.DUMMYFUNCTION("""COMPUTED_VALUE"""),"https://vicharkrantibooks.org/productdetail?book_name=HINP0027_ADHYATMIKATA_VYAVAHAR_MEIN_UTARE_xx1982&amp;product_id=592")</f>
        <v>https://vicharkrantibooks.org/productdetail?book_name=HINP0027_ADHYATMIKATA_VYAVAHAR_MEIN_UTARE_xx1982&amp;product_id=592</v>
      </c>
      <c r="CE1130" s="1" t="str">
        <f ca="1">IFERROR(__xludf.DUMMYFUNCTION("""COMPUTED_VALUE"""),"Audiobook : आध्यात्मिकता व्यवहार में उतरे : Rare Book : rbbansalriya@gmail.com : Recorded")</f>
        <v>Audiobook : आध्यात्मिकता व्यवहार में उतरे : Rare Book : rbbansalriya@gmail.com : Recorded</v>
      </c>
      <c r="CF1130" s="1" t="str">
        <f ca="1">IFERROR(__xludf.DUMMYFUNCTION("""COMPUTED_VALUE"""),"Audiobook : आध्यात्मिकता व्यवहार में उतरे : Rare Book : rbbansalriya@gmail.com : Recorded")</f>
        <v>Audiobook : आध्यात्मिकता व्यवहार में उतरे : Rare Book : rbbansalriya@gmail.com : Recorded</v>
      </c>
      <c r="CG1130" s="1" t="str">
        <f ca="1">IFERROR(__xludf.DUMMYFUNCTION("""COMPUTED_VALUE"""),"Adarniya Riya bansal  ji आध्यात्मिकता व्यवहार में उतरे : Rare Book : Allocated on 16-Feb-23 Contact Number  9176361023")</f>
        <v>Adarniya Riya bansal  ji आध्यात्मिकता व्यवहार में उतरे : Rare Book : Allocated on 16-Feb-23 Contact Number  9176361023</v>
      </c>
      <c r="CH1130" s="1"/>
      <c r="CI1130" s="1"/>
    </row>
    <row r="1131" spans="1:87" x14ac:dyDescent="0.25">
      <c r="A1131" s="5">
        <f ca="1">IFERROR(__xludf.DUMMYFUNCTION("""COMPUTED_VALUE"""),44973.4102368518)</f>
        <v>44973.4102368518</v>
      </c>
      <c r="B1131" s="1" t="str">
        <f ca="1">IFERROR(__xludf.DUMMYFUNCTION("""COMPUTED_VALUE"""),"sbdswati@gmail.com")</f>
        <v>sbdswati@gmail.com</v>
      </c>
      <c r="C1131" s="1" t="str">
        <f ca="1">IFERROR(__xludf.DUMMYFUNCTION("""COMPUTED_VALUE"""),"Swati Srivastava ")</f>
        <v xml:space="preserve">Swati Srivastava </v>
      </c>
      <c r="D1131" s="1">
        <f ca="1">IFERROR(__xludf.DUMMYFUNCTION("""COMPUTED_VALUE"""),6397862188)</f>
        <v>6397862188</v>
      </c>
      <c r="E1131" s="1" t="str">
        <f ca="1">IFERROR(__xludf.DUMMYFUNCTION("""COMPUTED_VALUE"""),"Yes")</f>
        <v>Yes</v>
      </c>
      <c r="F1131" s="1" t="str">
        <f ca="1">IFERROR(__xludf.DUMMYFUNCTION("""COMPUTED_VALUE"""),"हिन्दी")</f>
        <v>हिन्दी</v>
      </c>
      <c r="G1131" s="1" t="str">
        <f ca="1">IFERROR(__xludf.DUMMYFUNCTION("""COMPUTED_VALUE"""),"समाज निर्माण")</f>
        <v>समाज निर्माण</v>
      </c>
      <c r="H1131" s="1"/>
      <c r="I1131" s="1"/>
      <c r="J1131" s="1"/>
      <c r="K1131" s="1"/>
      <c r="L1131" s="1"/>
      <c r="M1131" s="1"/>
      <c r="N1131" s="1"/>
      <c r="O1131" s="1"/>
      <c r="P1131" s="1"/>
      <c r="Q1131" s="1"/>
      <c r="R1131" s="1"/>
      <c r="S1131" s="1"/>
      <c r="T1131" s="1"/>
      <c r="U1131" s="1"/>
      <c r="V1131" s="1" t="str">
        <f ca="1">IFERROR(__xludf.DUMMYFUNCTION("""COMPUTED_VALUE"""),"नारी सशक्तिकरण")</f>
        <v>नारी सशक्तिकरण</v>
      </c>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f ca="1">IFERROR(__xludf.DUMMYFUNCTION("""COMPUTED_VALUE"""),10)</f>
        <v>10</v>
      </c>
      <c r="BX1131" s="1">
        <f ca="1">IFERROR(__xludf.DUMMYFUNCTION("""COMPUTED_VALUE"""),12)</f>
        <v>12</v>
      </c>
      <c r="BY1131" s="1">
        <f ca="1">IFERROR(__xludf.DUMMYFUNCTION("""COMPUTED_VALUE"""),2)</f>
        <v>2</v>
      </c>
      <c r="BZ1131" s="1">
        <f ca="1">IFERROR(__xludf.DUMMYFUNCTION("""COMPUTED_VALUE"""),1)</f>
        <v>1</v>
      </c>
      <c r="CA1131" s="1" t="str">
        <f ca="1">IFERROR(__xludf.DUMMYFUNCTION("""COMPUTED_VALUE"""),"Yes")</f>
        <v>Yes</v>
      </c>
      <c r="CB1131" s="5">
        <f ca="1">IFERROR(__xludf.DUMMYFUNCTION("""COMPUTED_VALUE"""),44983.4102368518)</f>
        <v>44983.4102368518</v>
      </c>
      <c r="CC1131" s="1" t="str">
        <f ca="1">IFERROR(__xludf.DUMMYFUNCTION("""COMPUTED_VALUE"""),"अपने आपको समाज का एक अभिन्न अंग मानेंगे और सबके हित में अपना हित समझेंगे : Rare Book")</f>
        <v>अपने आपको समाज का एक अभिन्न अंग मानेंगे और सबके हित में अपना हित समझेंगे : Rare Book</v>
      </c>
      <c r="CD1131" s="3" t="str">
        <f ca="1">IFERROR(__xludf.DUMMYFUNCTION("""COMPUTED_VALUE"""),"https://vicharkrantibooks.org/productdetail?book_name=HINP0061_APANE_APAKO_SAMAJ_KA_EK_ABHINN_ANG_MANENGE_AUR_SABAKE_HIT_MEIN_APANA_HIT_SAMAJHENGE_xxyyyy&amp;product_id=626")</f>
        <v>https://vicharkrantibooks.org/productdetail?book_name=HINP0061_APANE_APAKO_SAMAJ_KA_EK_ABHINN_ANG_MANENGE_AUR_SABAKE_HIT_MEIN_APANA_HIT_SAMAJHENGE_xxyyyy&amp;product_id=626</v>
      </c>
      <c r="CE1131" s="1" t="str">
        <f ca="1">IFERROR(__xludf.DUMMYFUNCTION("""COMPUTED_VALUE"""),"Audiobook : अपने आपको समाज का एक अभिन्न अंग मानेंगे और सबके हित में अपना हित समझेंगे : Rare Book : sbdswati@gmail.com : Recorded")</f>
        <v>Audiobook : अपने आपको समाज का एक अभिन्न अंग मानेंगे और सबके हित में अपना हित समझेंगे : Rare Book : sbdswati@gmail.com : Recorded</v>
      </c>
      <c r="CF1131" s="1" t="str">
        <f ca="1">IFERROR(__xludf.DUMMYFUNCTION("""COMPUTED_VALUE"""),"Audiobook : अपने आपको समाज का एक अभिन्न अंग मानेंगे और सबके हित में अपना हित समझेंगे : Rare Book : sbdswati@gmail.com : Recorded")</f>
        <v>Audiobook : अपने आपको समाज का एक अभिन्न अंग मानेंगे और सबके हित में अपना हित समझेंगे : Rare Book : sbdswati@gmail.com : Recorded</v>
      </c>
      <c r="CG1131" s="1" t="str">
        <f ca="1">IFERROR(__xludf.DUMMYFUNCTION("""COMPUTED_VALUE"""),"Adarniya Swati Srivastava  ji अपने आपको समाज का एक अभिन्न अंग मानेंगे और सबके हित में अपना हित समझेंगे : Rare Book : Allocated on 16-Feb-23 Contact Number  6397862188")</f>
        <v>Adarniya Swati Srivastava  ji अपने आपको समाज का एक अभिन्न अंग मानेंगे और सबके हित में अपना हित समझेंगे : Rare Book : Allocated on 16-Feb-23 Contact Number  6397862188</v>
      </c>
      <c r="CH1131" s="1"/>
      <c r="CI1131" s="1"/>
    </row>
    <row r="1132" spans="1:87" x14ac:dyDescent="0.25">
      <c r="A1132" s="5">
        <f ca="1">IFERROR(__xludf.DUMMYFUNCTION("""COMPUTED_VALUE"""),44973.0091426388)</f>
        <v>44973.009142638803</v>
      </c>
      <c r="B1132" s="1" t="str">
        <f ca="1">IFERROR(__xludf.DUMMYFUNCTION("""COMPUTED_VALUE"""),"thummarkrishna13@gmail.com")</f>
        <v>thummarkrishna13@gmail.com</v>
      </c>
      <c r="C1132" s="1" t="str">
        <f ca="1">IFERROR(__xludf.DUMMYFUNCTION("""COMPUTED_VALUE"""),"Krishna Thummar")</f>
        <v>Krishna Thummar</v>
      </c>
      <c r="D1132" s="1">
        <f ca="1">IFERROR(__xludf.DUMMYFUNCTION("""COMPUTED_VALUE"""),7359466066)</f>
        <v>7359466066</v>
      </c>
      <c r="E1132" s="1" t="str">
        <f ca="1">IFERROR(__xludf.DUMMYFUNCTION("""COMPUTED_VALUE"""),"No")</f>
        <v>No</v>
      </c>
      <c r="F1132" s="1" t="str">
        <f ca="1">IFERROR(__xludf.DUMMYFUNCTION("""COMPUTED_VALUE"""),"हिन्दी or English")</f>
        <v>हिन्दी or English</v>
      </c>
      <c r="G1132" s="1" t="str">
        <f ca="1">IFERROR(__xludf.DUMMYFUNCTION("""COMPUTED_VALUE"""),"समग्र स्वास्थ्य")</f>
        <v>समग्र स्वास्थ्य</v>
      </c>
      <c r="H1132" s="1"/>
      <c r="I1132" s="1"/>
      <c r="J1132" s="1"/>
      <c r="K1132" s="1"/>
      <c r="L1132" s="1"/>
      <c r="M1132" s="1"/>
      <c r="N1132" s="1"/>
      <c r="O1132" s="1"/>
      <c r="P1132" s="1"/>
      <c r="Q1132" s="1"/>
      <c r="R1132" s="1"/>
      <c r="S1132" s="1"/>
      <c r="T1132" s="1"/>
      <c r="U1132" s="1" t="str">
        <f ca="1">IFERROR(__xludf.DUMMYFUNCTION("""COMPUTED_VALUE"""),"मानसिक स्वास्थ्य")</f>
        <v>मानसिक स्वास्थ्य</v>
      </c>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f ca="1">IFERROR(__xludf.DUMMYFUNCTION("""COMPUTED_VALUE"""),2)</f>
        <v>2</v>
      </c>
      <c r="BX1132" s="1">
        <f ca="1">IFERROR(__xludf.DUMMYFUNCTION("""COMPUTED_VALUE"""),0)</f>
        <v>0</v>
      </c>
      <c r="BY1132" s="1">
        <f ca="1">IFERROR(__xludf.DUMMYFUNCTION("""COMPUTED_VALUE"""),2)</f>
        <v>2</v>
      </c>
      <c r="BZ1132" s="1">
        <f ca="1">IFERROR(__xludf.DUMMYFUNCTION("""COMPUTED_VALUE"""),0)</f>
        <v>0</v>
      </c>
      <c r="CA1132" s="1" t="str">
        <f ca="1">IFERROR(__xludf.DUMMYFUNCTION("""COMPUTED_VALUE"""),"Yes")</f>
        <v>Yes</v>
      </c>
      <c r="CB1132" s="5">
        <f ca="1">IFERROR(__xludf.DUMMYFUNCTION("""COMPUTED_VALUE"""),44983.0091426388)</f>
        <v>44983.009142638803</v>
      </c>
      <c r="CC1132" s="1" t="str">
        <f ca="1">IFERROR(__xludf.DUMMYFUNCTION("""COMPUTED_VALUE"""),"In The Angelic Light Of Rishi Thoughts 5 : EP_70_5")</f>
        <v>In The Angelic Light Of Rishi Thoughts 5 : EP_70_5</v>
      </c>
      <c r="CD1132" s="3" t="str">
        <f ca="1">IFERROR(__xludf.DUMMYFUNCTION("""COMPUTED_VALUE"""),"https://vicharkrantibooks.org/productdetail?book_name=ENGP0716_IN_THE_ANGELIC_LIGHT_OF_RISHI_THOUGHTS_5_xxyyyy&amp;product_id=3464")</f>
        <v>https://vicharkrantibooks.org/productdetail?book_name=ENGP0716_IN_THE_ANGELIC_LIGHT_OF_RISHI_THOUGHTS_5_xxyyyy&amp;product_id=3464</v>
      </c>
      <c r="CE1132" s="1" t="str">
        <f ca="1">IFERROR(__xludf.DUMMYFUNCTION("""COMPUTED_VALUE"""),"Audiobook : In The Angelic Light Of Rishi Thoughts 5 : EP_70_5 : thummarkrishna13@gmail.com : Recorded")</f>
        <v>Audiobook : In The Angelic Light Of Rishi Thoughts 5 : EP_70_5 : thummarkrishna13@gmail.com : Recorded</v>
      </c>
      <c r="CF1132" s="1" t="str">
        <f ca="1">IFERROR(__xludf.DUMMYFUNCTION("""COMPUTED_VALUE"""),"#N/A")</f>
        <v>#N/A</v>
      </c>
      <c r="CG1132" s="1" t="str">
        <f ca="1">IFERROR(__xludf.DUMMYFUNCTION("""COMPUTED_VALUE"""),"Adarniya Krishna Thummar ji In The Angelic Light Of Rishi Thoughts 5 : EP_70_5 : Allocated on 16-Feb-23 Contact Number  7359466066")</f>
        <v>Adarniya Krishna Thummar ji In The Angelic Light Of Rishi Thoughts 5 : EP_70_5 : Allocated on 16-Feb-23 Contact Number  7359466066</v>
      </c>
      <c r="CH1132" s="1"/>
      <c r="CI1132" s="1"/>
    </row>
    <row r="1133" spans="1:87" x14ac:dyDescent="0.25">
      <c r="A1133" s="5">
        <f ca="1">IFERROR(__xludf.DUMMYFUNCTION("""COMPUTED_VALUE"""),44972.8722866782)</f>
        <v>44972.872286678197</v>
      </c>
      <c r="B1133" s="1" t="str">
        <f ca="1">IFERROR(__xludf.DUMMYFUNCTION("""COMPUTED_VALUE"""),"madhu.shantikunj@gmail.com")</f>
        <v>madhu.shantikunj@gmail.com</v>
      </c>
      <c r="C1133" s="1" t="str">
        <f ca="1">IFERROR(__xludf.DUMMYFUNCTION("""COMPUTED_VALUE"""),"Madhu")</f>
        <v>Madhu</v>
      </c>
      <c r="D1133" s="1">
        <f ca="1">IFERROR(__xludf.DUMMYFUNCTION("""COMPUTED_VALUE"""),8527795223)</f>
        <v>8527795223</v>
      </c>
      <c r="E1133" s="1" t="str">
        <f ca="1">IFERROR(__xludf.DUMMYFUNCTION("""COMPUTED_VALUE"""),"Yes")</f>
        <v>Yes</v>
      </c>
      <c r="F1133" s="1" t="str">
        <f ca="1">IFERROR(__xludf.DUMMYFUNCTION("""COMPUTED_VALUE"""),"हिन्दी")</f>
        <v>हिन्दी</v>
      </c>
      <c r="G1133" s="1" t="str">
        <f ca="1">IFERROR(__xludf.DUMMYFUNCTION("""COMPUTED_VALUE"""),"परिवार निर्माण")</f>
        <v>परिवार निर्माण</v>
      </c>
      <c r="H1133" s="1"/>
      <c r="I1133" s="1"/>
      <c r="J1133" s="1"/>
      <c r="K1133" s="1"/>
      <c r="L1133" s="1"/>
      <c r="M1133" s="1" t="str">
        <f ca="1">IFERROR(__xludf.DUMMYFUNCTION("""COMPUTED_VALUE"""),"दाम्पत्य जीवन")</f>
        <v>दाम्पत्य जीवन</v>
      </c>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f ca="1">IFERROR(__xludf.DUMMYFUNCTION("""COMPUTED_VALUE"""),1)</f>
        <v>1</v>
      </c>
      <c r="BX1133" s="1">
        <f ca="1">IFERROR(__xludf.DUMMYFUNCTION("""COMPUTED_VALUE"""),0)</f>
        <v>0</v>
      </c>
      <c r="BY1133" s="1">
        <f ca="1">IFERROR(__xludf.DUMMYFUNCTION("""COMPUTED_VALUE"""),1)</f>
        <v>1</v>
      </c>
      <c r="BZ1133" s="1">
        <f ca="1">IFERROR(__xludf.DUMMYFUNCTION("""COMPUTED_VALUE"""),0)</f>
        <v>0</v>
      </c>
      <c r="CA1133" s="1" t="str">
        <f ca="1">IFERROR(__xludf.DUMMYFUNCTION("""COMPUTED_VALUE"""),"Yes")</f>
        <v>Yes</v>
      </c>
      <c r="CB1133" s="5">
        <f ca="1">IFERROR(__xludf.DUMMYFUNCTION("""COMPUTED_VALUE"""),44982.8722866782)</f>
        <v>44982.872286678197</v>
      </c>
      <c r="CC1133" s="1" t="str">
        <f ca="1">IFERROR(__xludf.DUMMYFUNCTION("""COMPUTED_VALUE"""),"परिवार को सुसंस्कारी कैसे बनाएँ ? : Rare Book")</f>
        <v>परिवार को सुसंस्कारी कैसे बनाएँ ? : Rare Book</v>
      </c>
      <c r="CD1133" s="3" t="str">
        <f ca="1">IFERROR(__xludf.DUMMYFUNCTION("""COMPUTED_VALUE"""),"https://vicharkrantibooks.org/productdetail?book_name=HINP0631_PARIWAR_KO_SUSANSKARI_KAISE_BANAEN_xxyyyy&amp;product_id=1196")</f>
        <v>https://vicharkrantibooks.org/productdetail?book_name=HINP0631_PARIWAR_KO_SUSANSKARI_KAISE_BANAEN_xxyyyy&amp;product_id=1196</v>
      </c>
      <c r="CE1133" s="1" t="str">
        <f ca="1">IFERROR(__xludf.DUMMYFUNCTION("""COMPUTED_VALUE"""),"Audiobook : परिवार को सुसंस्कारी कैसे बनाएँ ? : Rare Book : madhu.shantikunj@gmail.com : Recorded")</f>
        <v>Audiobook : परिवार को सुसंस्कारी कैसे बनाएँ ? : Rare Book : madhu.shantikunj@gmail.com : Recorded</v>
      </c>
      <c r="CF1133" s="1" t="str">
        <f ca="1">IFERROR(__xludf.DUMMYFUNCTION("""COMPUTED_VALUE"""),"#N/A")</f>
        <v>#N/A</v>
      </c>
      <c r="CG1133" s="1" t="str">
        <f ca="1">IFERROR(__xludf.DUMMYFUNCTION("""COMPUTED_VALUE"""),"Adarniya Madhu ji परिवार को सुसंस्कारी कैसे बनाएँ ? : Rare Book : Allocated on 15-Feb-23 Contact Number  8527795223")</f>
        <v>Adarniya Madhu ji परिवार को सुसंस्कारी कैसे बनाएँ ? : Rare Book : Allocated on 15-Feb-23 Contact Number  8527795223</v>
      </c>
      <c r="CH1133" s="1"/>
      <c r="CI1133" s="1"/>
    </row>
    <row r="1134" spans="1:87" x14ac:dyDescent="0.25">
      <c r="A1134" s="5">
        <f ca="1">IFERROR(__xludf.DUMMYFUNCTION("""COMPUTED_VALUE"""),44972.6365171064)</f>
        <v>44972.636517106403</v>
      </c>
      <c r="B1134" s="1" t="str">
        <f ca="1">IFERROR(__xludf.DUMMYFUNCTION("""COMPUTED_VALUE"""),"reema.ajmera@gmail.com")</f>
        <v>reema.ajmera@gmail.com</v>
      </c>
      <c r="C1134" s="1" t="str">
        <f ca="1">IFERROR(__xludf.DUMMYFUNCTION("""COMPUTED_VALUE"""),"reema ajmera")</f>
        <v>reema ajmera</v>
      </c>
      <c r="D1134" s="1" t="str">
        <f ca="1">IFERROR(__xludf.DUMMYFUNCTION("""COMPUTED_VALUE"""),"00447932398508")</f>
        <v>00447932398508</v>
      </c>
      <c r="E1134" s="1" t="str">
        <f ca="1">IFERROR(__xludf.DUMMYFUNCTION("""COMPUTED_VALUE"""),"No")</f>
        <v>No</v>
      </c>
      <c r="F1134" s="1" t="str">
        <f ca="1">IFERROR(__xludf.DUMMYFUNCTION("""COMPUTED_VALUE"""),"हिन्दी or English")</f>
        <v>हिन्दी or English</v>
      </c>
      <c r="G1134" s="1" t="str">
        <f ca="1">IFERROR(__xludf.DUMMYFUNCTION("""COMPUTED_VALUE"""),"परिवार निर्माण")</f>
        <v>परिवार निर्माण</v>
      </c>
      <c r="H1134" s="1"/>
      <c r="I1134" s="1"/>
      <c r="J1134" s="1"/>
      <c r="K1134" s="1"/>
      <c r="L1134" s="1"/>
      <c r="M1134" s="1" t="str">
        <f ca="1">IFERROR(__xludf.DUMMYFUNCTION("""COMPUTED_VALUE"""),"आनंदमय वृद्धावस्था")</f>
        <v>आनंदमय वृद्धावस्था</v>
      </c>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f ca="1">IFERROR(__xludf.DUMMYFUNCTION("""COMPUTED_VALUE"""),2)</f>
        <v>2</v>
      </c>
      <c r="BX1134" s="1">
        <f ca="1">IFERROR(__xludf.DUMMYFUNCTION("""COMPUTED_VALUE"""),0)</f>
        <v>0</v>
      </c>
      <c r="BY1134" s="1">
        <f ca="1">IFERROR(__xludf.DUMMYFUNCTION("""COMPUTED_VALUE"""),2)</f>
        <v>2</v>
      </c>
      <c r="BZ1134" s="1">
        <f ca="1">IFERROR(__xludf.DUMMYFUNCTION("""COMPUTED_VALUE"""),0)</f>
        <v>0</v>
      </c>
      <c r="CA1134" s="1" t="str">
        <f ca="1">IFERROR(__xludf.DUMMYFUNCTION("""COMPUTED_VALUE"""),"Yes")</f>
        <v>Yes</v>
      </c>
      <c r="CB1134" s="5">
        <f ca="1">IFERROR(__xludf.DUMMYFUNCTION("""COMPUTED_VALUE"""),44982.6365171064)</f>
        <v>44982.636517106403</v>
      </c>
      <c r="CC1134" s="1" t="str">
        <f ca="1">IFERROR(__xludf.DUMMYFUNCTION("""COMPUTED_VALUE"""),"In The Angelic Light Of Rishi Thoughts 4 : EP_70_4")</f>
        <v>In The Angelic Light Of Rishi Thoughts 4 : EP_70_4</v>
      </c>
      <c r="CD1134" s="3" t="str">
        <f ca="1">IFERROR(__xludf.DUMMYFUNCTION("""COMPUTED_VALUE"""),"https://vicharkrantibooks.org/productdetail?book_name=ENGP0715_IN_THE_ANGELIC_LIGHT_OF_RISHI_THOUGHTS_4_xxyyyy&amp;product_id=3463")</f>
        <v>https://vicharkrantibooks.org/productdetail?book_name=ENGP0715_IN_THE_ANGELIC_LIGHT_OF_RISHI_THOUGHTS_4_xxyyyy&amp;product_id=3463</v>
      </c>
      <c r="CE1134" s="1" t="str">
        <f ca="1">IFERROR(__xludf.DUMMYFUNCTION("""COMPUTED_VALUE"""),"Audiobook : In The Angelic Light Of Rishi Thoughts 4 : EP_70_4 : reema.ajmera@gmail.com : Recorded")</f>
        <v>Audiobook : In The Angelic Light Of Rishi Thoughts 4 : EP_70_4 : reema.ajmera@gmail.com : Recorded</v>
      </c>
      <c r="CF1134" s="1" t="str">
        <f ca="1">IFERROR(__xludf.DUMMYFUNCTION("""COMPUTED_VALUE"""),"#N/A")</f>
        <v>#N/A</v>
      </c>
      <c r="CG1134" s="1" t="str">
        <f ca="1">IFERROR(__xludf.DUMMYFUNCTION("""COMPUTED_VALUE"""),"Adarniya reema ajmera ji In The Angelic Light Of Rishi Thoughts 4 : EP_70_4 : Allocated on 15-Feb-23 Contact Number  00447932398508")</f>
        <v>Adarniya reema ajmera ji In The Angelic Light Of Rishi Thoughts 4 : EP_70_4 : Allocated on 15-Feb-23 Contact Number  00447932398508</v>
      </c>
      <c r="CH1134" s="1"/>
      <c r="CI1134" s="1"/>
    </row>
    <row r="1135" spans="1:87" x14ac:dyDescent="0.25">
      <c r="A1135" s="5">
        <f ca="1">IFERROR(__xludf.DUMMYFUNCTION("""COMPUTED_VALUE"""),44972.3719856944)</f>
        <v>44972.371985694401</v>
      </c>
      <c r="B1135" s="1" t="str">
        <f ca="1">IFERROR(__xludf.DUMMYFUNCTION("""COMPUTED_VALUE"""),"csprasad108@gmail.com")</f>
        <v>csprasad108@gmail.com</v>
      </c>
      <c r="C1135" s="1" t="str">
        <f ca="1">IFERROR(__xludf.DUMMYFUNCTION("""COMPUTED_VALUE"""),"Kumkum prasad")</f>
        <v>Kumkum prasad</v>
      </c>
      <c r="D1135" s="1">
        <f ca="1">IFERROR(__xludf.DUMMYFUNCTION("""COMPUTED_VALUE"""),7978055621)</f>
        <v>7978055621</v>
      </c>
      <c r="E1135" s="1" t="str">
        <f ca="1">IFERROR(__xludf.DUMMYFUNCTION("""COMPUTED_VALUE"""),"Yes")</f>
        <v>Yes</v>
      </c>
      <c r="F1135" s="1" t="str">
        <f ca="1">IFERROR(__xludf.DUMMYFUNCTION("""COMPUTED_VALUE"""),"हिन्दी")</f>
        <v>हिन्दी</v>
      </c>
      <c r="G1135" s="1" t="str">
        <f ca="1">IFERROR(__xludf.DUMMYFUNCTION("""COMPUTED_VALUE"""),"संस्कार, कर्मकाण्ड, पाठ, पूजा, गीत-संगीत")</f>
        <v>संस्कार, कर्मकाण्ड, पाठ, पूजा, गीत-संगीत</v>
      </c>
      <c r="H1135" s="1"/>
      <c r="I1135" s="1"/>
      <c r="J1135" s="1"/>
      <c r="K1135" s="1"/>
      <c r="L1135" s="1"/>
      <c r="M1135" s="1"/>
      <c r="N1135" s="1"/>
      <c r="O1135" s="1"/>
      <c r="P1135" s="1"/>
      <c r="Q1135" s="1"/>
      <c r="R1135" s="1"/>
      <c r="S1135" s="1"/>
      <c r="T1135" s="1"/>
      <c r="U1135" s="1"/>
      <c r="V1135" s="1"/>
      <c r="W1135" s="1" t="str">
        <f ca="1">IFERROR(__xludf.DUMMYFUNCTION("""COMPUTED_VALUE"""),"पर्व-त्यौहार, कर्मकाण्ड")</f>
        <v>पर्व-त्यौहार, कर्मकाण्ड</v>
      </c>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t="str">
        <f ca="1">IFERROR(__xludf.DUMMYFUNCTION("""COMPUTED_VALUE"""),"कर्मकांड नहीं भावना प्रधान")</f>
        <v>कर्मकांड नहीं भावना प्रधान</v>
      </c>
      <c r="BH1135" s="1"/>
      <c r="BI1135" s="1"/>
      <c r="BJ1135" s="1"/>
      <c r="BK1135" s="1"/>
      <c r="BL1135" s="1"/>
      <c r="BM1135" s="1"/>
      <c r="BN1135" s="1"/>
      <c r="BO1135" s="1"/>
      <c r="BP1135" s="1"/>
      <c r="BQ1135" s="1"/>
      <c r="BR1135" s="1"/>
      <c r="BS1135" s="1"/>
      <c r="BT1135" s="1"/>
      <c r="BU1135" s="1"/>
      <c r="BV1135" s="1"/>
      <c r="BW1135" s="1">
        <f ca="1">IFERROR(__xludf.DUMMYFUNCTION("""COMPUTED_VALUE"""),52)</f>
        <v>52</v>
      </c>
      <c r="BX1135" s="1">
        <f ca="1">IFERROR(__xludf.DUMMYFUNCTION("""COMPUTED_VALUE"""),54)</f>
        <v>54</v>
      </c>
      <c r="BY1135" s="1">
        <f ca="1">IFERROR(__xludf.DUMMYFUNCTION("""COMPUTED_VALUE"""),3)</f>
        <v>3</v>
      </c>
      <c r="BZ1135" s="1">
        <f ca="1">IFERROR(__xludf.DUMMYFUNCTION("""COMPUTED_VALUE"""),24)</f>
        <v>24</v>
      </c>
      <c r="CA1135" s="1" t="str">
        <f ca="1">IFERROR(__xludf.DUMMYFUNCTION("""COMPUTED_VALUE"""),"Yes")</f>
        <v>Yes</v>
      </c>
      <c r="CB1135" s="5">
        <f ca="1">IFERROR(__xludf.DUMMYFUNCTION("""COMPUTED_VALUE"""),44982.3719856944)</f>
        <v>44982.371985694401</v>
      </c>
      <c r="CC1135" s="1" t="str">
        <f ca="1">IFERROR(__xludf.DUMMYFUNCTION("""COMPUTED_VALUE"""),"आत्मविस्तार का शिक्षण परिवार रुपी पाठशाला में : Rare Book")</f>
        <v>आत्मविस्तार का शिक्षण परिवार रुपी पाठशाला में : Rare Book</v>
      </c>
      <c r="CD1135" s="3" t="str">
        <f ca="1">IFERROR(__xludf.DUMMYFUNCTION("""COMPUTED_VALUE"""),"https://vicharkrantibooks.org/productdetail?book_name=HINP0102_ATMAVISTAR_KA_PRASHIKSHAN_PARIWAR_RUPI_PATHASHALA_MEIN_xx1982&amp;product_id=667")</f>
        <v>https://vicharkrantibooks.org/productdetail?book_name=HINP0102_ATMAVISTAR_KA_PRASHIKSHAN_PARIWAR_RUPI_PATHASHALA_MEIN_xx1982&amp;product_id=667</v>
      </c>
      <c r="CE1135" s="1" t="str">
        <f ca="1">IFERROR(__xludf.DUMMYFUNCTION("""COMPUTED_VALUE"""),"Audiobook : आत्मविस्तार का शिक्षण परिवार रुपी पाठशाला में : Rare Book : csprasad108@gmail.com : Recorded")</f>
        <v>Audiobook : आत्मविस्तार का शिक्षण परिवार रुपी पाठशाला में : Rare Book : csprasad108@gmail.com : Recorded</v>
      </c>
      <c r="CF1135" s="1" t="str">
        <f ca="1">IFERROR(__xludf.DUMMYFUNCTION("""COMPUTED_VALUE"""),"Audiobook : आत्मविस्तार का शिक्षण परिवार रुपी पाठशाला में : Rare Book : csprasad108@gmail.com : Recorded")</f>
        <v>Audiobook : आत्मविस्तार का शिक्षण परिवार रुपी पाठशाला में : Rare Book : csprasad108@gmail.com : Recorded</v>
      </c>
      <c r="CG1135" s="1" t="str">
        <f ca="1">IFERROR(__xludf.DUMMYFUNCTION("""COMPUTED_VALUE"""),"Adarniya Kumkum prasad ji आत्मविस्तार का शिक्षण परिवार रुपी पाठशाला में : Rare Book : Allocated on 15-Feb-23 Contact Number  7978055621")</f>
        <v>Adarniya Kumkum prasad ji आत्मविस्तार का शिक्षण परिवार रुपी पाठशाला में : Rare Book : Allocated on 15-Feb-23 Contact Number  7978055621</v>
      </c>
      <c r="CH1135" s="1"/>
      <c r="CI1135" s="1"/>
    </row>
    <row r="1136" spans="1:87" x14ac:dyDescent="0.25">
      <c r="A1136" s="5">
        <f ca="1">IFERROR(__xludf.DUMMYFUNCTION("""COMPUTED_VALUE"""),44972.3349326736)</f>
        <v>44972.334932673599</v>
      </c>
      <c r="B1136" s="1" t="str">
        <f ca="1">IFERROR(__xludf.DUMMYFUNCTION("""COMPUTED_VALUE"""),"savita.dubey@gmail.com")</f>
        <v>savita.dubey@gmail.com</v>
      </c>
      <c r="C1136" s="1" t="str">
        <f ca="1">IFERROR(__xludf.DUMMYFUNCTION("""COMPUTED_VALUE"""),"Savita")</f>
        <v>Savita</v>
      </c>
      <c r="D1136" s="1">
        <f ca="1">IFERROR(__xludf.DUMMYFUNCTION("""COMPUTED_VALUE"""),4692640779)</f>
        <v>4692640779</v>
      </c>
      <c r="E1136" s="1" t="str">
        <f ca="1">IFERROR(__xludf.DUMMYFUNCTION("""COMPUTED_VALUE"""),"Yes")</f>
        <v>Yes</v>
      </c>
      <c r="F1136" s="1"/>
      <c r="G1136" s="1" t="str">
        <f ca="1">IFERROR(__xludf.DUMMYFUNCTION("""COMPUTED_VALUE"""),"जीवन प्रबंध")</f>
        <v>जीवन प्रबंध</v>
      </c>
      <c r="H1136" s="1"/>
      <c r="I1136" s="1"/>
      <c r="J1136" s="1"/>
      <c r="K1136" s="1"/>
      <c r="L1136" s="1" t="str">
        <f ca="1">IFERROR(__xludf.DUMMYFUNCTION("""COMPUTED_VALUE"""),"मन की शक्ति एवं मनोविज्ञान")</f>
        <v>मन की शक्ति एवं मनोविज्ञान</v>
      </c>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f ca="1">IFERROR(__xludf.DUMMYFUNCTION("""COMPUTED_VALUE"""),9)</f>
        <v>9</v>
      </c>
      <c r="BX1136" s="1">
        <f ca="1">IFERROR(__xludf.DUMMYFUNCTION("""COMPUTED_VALUE"""),10)</f>
        <v>10</v>
      </c>
      <c r="BY1136" s="1">
        <f ca="1">IFERROR(__xludf.DUMMYFUNCTION("""COMPUTED_VALUE"""),3)</f>
        <v>3</v>
      </c>
      <c r="BZ1136" s="1">
        <f ca="1">IFERROR(__xludf.DUMMYFUNCTION("""COMPUTED_VALUE"""),9)</f>
        <v>9</v>
      </c>
      <c r="CA1136" s="1" t="str">
        <f ca="1">IFERROR(__xludf.DUMMYFUNCTION("""COMPUTED_VALUE"""),"Yes")</f>
        <v>Yes</v>
      </c>
      <c r="CB1136" s="5">
        <f ca="1">IFERROR(__xludf.DUMMYFUNCTION("""COMPUTED_VALUE"""),44982.3349326736)</f>
        <v>44982.334932673599</v>
      </c>
      <c r="CC1136" s="1" t="str">
        <f ca="1">IFERROR(__xludf.DUMMYFUNCTION("""COMPUTED_VALUE"""),"जीवन को उत्कृष्ट बनाओ : Rare Book")</f>
        <v>जीवन को उत्कृष्ट बनाओ : Rare Book</v>
      </c>
      <c r="CD1136" s="3" t="str">
        <f ca="1">IFERROR(__xludf.DUMMYFUNCTION("""COMPUTED_VALUE"""),"https://vicharkrantibooks.org/productdetail?book_name=HINP0390_JIVAN_KO_UTKRUSHT_BANAO_xxyyyy&amp;product_id=955")</f>
        <v>https://vicharkrantibooks.org/productdetail?book_name=HINP0390_JIVAN_KO_UTKRUSHT_BANAO_xxyyyy&amp;product_id=955</v>
      </c>
      <c r="CE1136" s="1" t="str">
        <f ca="1">IFERROR(__xludf.DUMMYFUNCTION("""COMPUTED_VALUE"""),"Audiobook : जीवन को उत्कृष्ट बनाओ : Rare Book : savita.dubey@gmail.com : Recorded")</f>
        <v>Audiobook : जीवन को उत्कृष्ट बनाओ : Rare Book : savita.dubey@gmail.com : Recorded</v>
      </c>
      <c r="CF1136" s="1" t="str">
        <f ca="1">IFERROR(__xludf.DUMMYFUNCTION("""COMPUTED_VALUE"""),"#N/A")</f>
        <v>#N/A</v>
      </c>
      <c r="CG1136" s="1" t="str">
        <f ca="1">IFERROR(__xludf.DUMMYFUNCTION("""COMPUTED_VALUE"""),"Adarniya Savita ji जीवन को उत्कृष्ट बनाओ : Rare Book : Allocated on 15-Feb-23 Contact Number  4692640779")</f>
        <v>Adarniya Savita ji जीवन को उत्कृष्ट बनाओ : Rare Book : Allocated on 15-Feb-23 Contact Number  4692640779</v>
      </c>
      <c r="CH1136" s="1"/>
      <c r="CI1136" s="1"/>
    </row>
    <row r="1137" spans="1:87" x14ac:dyDescent="0.25">
      <c r="A1137" s="5">
        <f ca="1">IFERROR(__xludf.DUMMYFUNCTION("""COMPUTED_VALUE"""),44971.4613791782)</f>
        <v>44971.461379178203</v>
      </c>
      <c r="B1137" s="1" t="str">
        <f ca="1">IFERROR(__xludf.DUMMYFUNCTION("""COMPUTED_VALUE"""),"rbbansalriya@gmail.com")</f>
        <v>rbbansalriya@gmail.com</v>
      </c>
      <c r="C1137" s="1" t="str">
        <f ca="1">IFERROR(__xludf.DUMMYFUNCTION("""COMPUTED_VALUE"""),"Riya bansal ")</f>
        <v xml:space="preserve">Riya bansal </v>
      </c>
      <c r="D1137" s="1">
        <f ca="1">IFERROR(__xludf.DUMMYFUNCTION("""COMPUTED_VALUE"""),9176361023)</f>
        <v>9176361023</v>
      </c>
      <c r="E1137" s="1" t="str">
        <f ca="1">IFERROR(__xludf.DUMMYFUNCTION("""COMPUTED_VALUE"""),"Yes")</f>
        <v>Yes</v>
      </c>
      <c r="F1137" s="1" t="str">
        <f ca="1">IFERROR(__xludf.DUMMYFUNCTION("""COMPUTED_VALUE"""),"हिन्दी")</f>
        <v>हिन्दी</v>
      </c>
      <c r="G1137" s="1" t="str">
        <f ca="1">IFERROR(__xludf.DUMMYFUNCTION("""COMPUTED_VALUE"""),"अध्यात्म, धर्म एवं दर्शन")</f>
        <v>अध्यात्म, धर्म एवं दर्शन</v>
      </c>
      <c r="H1137" s="1" t="str">
        <f ca="1">IFERROR(__xludf.DUMMYFUNCTION("""COMPUTED_VALUE"""),"आत्मज्ञान एवं आत्मनिर्माण")</f>
        <v>आत्मज्ञान एवं आत्मनिर्माण</v>
      </c>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f ca="1">IFERROR(__xludf.DUMMYFUNCTION("""COMPUTED_VALUE"""),54)</f>
        <v>54</v>
      </c>
      <c r="BX1137" s="1">
        <f ca="1">IFERROR(__xludf.DUMMYFUNCTION("""COMPUTED_VALUE"""),55)</f>
        <v>55</v>
      </c>
      <c r="BY1137" s="1">
        <f ca="1">IFERROR(__xludf.DUMMYFUNCTION("""COMPUTED_VALUE"""),9)</f>
        <v>9</v>
      </c>
      <c r="BZ1137" s="1">
        <f ca="1">IFERROR(__xludf.DUMMYFUNCTION("""COMPUTED_VALUE"""),43)</f>
        <v>43</v>
      </c>
      <c r="CA1137" s="1" t="str">
        <f ca="1">IFERROR(__xludf.DUMMYFUNCTION("""COMPUTED_VALUE"""),"Yes")</f>
        <v>Yes</v>
      </c>
      <c r="CB1137" s="5">
        <f ca="1">IFERROR(__xludf.DUMMYFUNCTION("""COMPUTED_VALUE"""),44981.4613791782)</f>
        <v>44981.461379178203</v>
      </c>
      <c r="CC1137" s="1" t="str">
        <f ca="1">IFERROR(__xludf.DUMMYFUNCTION("""COMPUTED_VALUE"""),"आध्यात्मिकता का प्राण सदाचरण : Rare Book")</f>
        <v>आध्यात्मिकता का प्राण सदाचरण : Rare Book</v>
      </c>
      <c r="CD1137" s="3" t="str">
        <f ca="1">IFERROR(__xludf.DUMMYFUNCTION("""COMPUTED_VALUE"""),"https://vicharkrantibooks.org/productdetail?book_name=HINP0026_ADHYATMIKATA_KA_PRAN_SADACHARAN_xx1982&amp;product_id=591")</f>
        <v>https://vicharkrantibooks.org/productdetail?book_name=HINP0026_ADHYATMIKATA_KA_PRAN_SADACHARAN_xx1982&amp;product_id=591</v>
      </c>
      <c r="CE1137" s="1" t="str">
        <f ca="1">IFERROR(__xludf.DUMMYFUNCTION("""COMPUTED_VALUE"""),"Audiobook : आध्यात्मिकता का प्राण सदाचरण : Rare Book : rbbansalriya@gmail.com : Recorded")</f>
        <v>Audiobook : आध्यात्मिकता का प्राण सदाचरण : Rare Book : rbbansalriya@gmail.com : Recorded</v>
      </c>
      <c r="CF1137" s="1" t="str">
        <f ca="1">IFERROR(__xludf.DUMMYFUNCTION("""COMPUTED_VALUE"""),"#N/A")</f>
        <v>#N/A</v>
      </c>
      <c r="CG1137" s="1" t="str">
        <f ca="1">IFERROR(__xludf.DUMMYFUNCTION("""COMPUTED_VALUE"""),"Adarniya Riya bansal  ji आध्यात्मिकता का प्राण सदाचरण : Rare Book : Allocated on 14-Feb-23 Contact Number  9176361023")</f>
        <v>Adarniya Riya bansal  ji आध्यात्मिकता का प्राण सदाचरण : Rare Book : Allocated on 14-Feb-23 Contact Number  9176361023</v>
      </c>
      <c r="CH1137" s="1"/>
      <c r="CI1137" s="1"/>
    </row>
    <row r="1138" spans="1:87" x14ac:dyDescent="0.25">
      <c r="A1138" s="5">
        <f ca="1">IFERROR(__xludf.DUMMYFUNCTION("""COMPUTED_VALUE"""),44970.4863466782)</f>
        <v>44970.486346678197</v>
      </c>
      <c r="B1138" s="1" t="str">
        <f ca="1">IFERROR(__xludf.DUMMYFUNCTION("""COMPUTED_VALUE"""),"smitadubeyhere@gmail.com")</f>
        <v>smitadubeyhere@gmail.com</v>
      </c>
      <c r="C1138" s="1" t="str">
        <f ca="1">IFERROR(__xludf.DUMMYFUNCTION("""COMPUTED_VALUE"""),"Smita Dubey ")</f>
        <v xml:space="preserve">Smita Dubey </v>
      </c>
      <c r="D1138" s="1" t="str">
        <f ca="1">IFERROR(__xludf.DUMMYFUNCTION("""COMPUTED_VALUE"""),"92845 18176 ")</f>
        <v xml:space="preserve">92845 18176 </v>
      </c>
      <c r="E1138" s="1" t="str">
        <f ca="1">IFERROR(__xludf.DUMMYFUNCTION("""COMPUTED_VALUE"""),"Yes")</f>
        <v>Yes</v>
      </c>
      <c r="F1138" s="1" t="str">
        <f ca="1">IFERROR(__xludf.DUMMYFUNCTION("""COMPUTED_VALUE"""),"हिन्दी")</f>
        <v>हिन्दी</v>
      </c>
      <c r="G1138" s="1" t="str">
        <f ca="1">IFERROR(__xludf.DUMMYFUNCTION("""COMPUTED_VALUE"""),"गायत्री परिवार")</f>
        <v>गायत्री परिवार</v>
      </c>
      <c r="H1138" s="1"/>
      <c r="I1138" s="1"/>
      <c r="J1138" s="1" t="str">
        <f ca="1">IFERROR(__xludf.DUMMYFUNCTION("""COMPUTED_VALUE"""),"प्रमुख संस्थान, प्रकाशन एवं आंदोलन")</f>
        <v>प्रमुख संस्थान, प्रकाशन एवं आंदोलन</v>
      </c>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f ca="1">IFERROR(__xludf.DUMMYFUNCTION("""COMPUTED_VALUE"""),2)</f>
        <v>2</v>
      </c>
      <c r="BX1138" s="1">
        <f ca="1">IFERROR(__xludf.DUMMYFUNCTION("""COMPUTED_VALUE"""),6)</f>
        <v>6</v>
      </c>
      <c r="BY1138" s="1">
        <f ca="1">IFERROR(__xludf.DUMMYFUNCTION("""COMPUTED_VALUE"""),0)</f>
        <v>0</v>
      </c>
      <c r="BZ1138" s="1">
        <f ca="1">IFERROR(__xludf.DUMMYFUNCTION("""COMPUTED_VALUE"""),4)</f>
        <v>4</v>
      </c>
      <c r="CA1138" s="1" t="str">
        <f ca="1">IFERROR(__xludf.DUMMYFUNCTION("""COMPUTED_VALUE"""),"Yes")</f>
        <v>Yes</v>
      </c>
      <c r="CB1138" s="5">
        <f ca="1">IFERROR(__xludf.DUMMYFUNCTION("""COMPUTED_VALUE"""),44980.4863466782)</f>
        <v>44980.486346678197</v>
      </c>
      <c r="CC1138" s="1" t="str">
        <f ca="1">IFERROR(__xludf.DUMMYFUNCTION("""COMPUTED_VALUE"""),"महाकाल का घोंसला शांतिकुंज : H_SC_09")</f>
        <v>महाकाल का घोंसला शांतिकुंज : H_SC_09</v>
      </c>
      <c r="CD1138" s="3" t="str">
        <f ca="1">IFERROR(__xludf.DUMMYFUNCTION("""COMPUTED_VALUE"""),"https://vicharkrantibooks.org/productdetail?book_name=HINP0465_MAHAKAL_KA_GHONSALA_SHANTIKUNJ_xxyyyy&amp;product_id=1030")</f>
        <v>https://vicharkrantibooks.org/productdetail?book_name=HINP0465_MAHAKAL_KA_GHONSALA_SHANTIKUNJ_xxyyyy&amp;product_id=1030</v>
      </c>
      <c r="CE1138" s="1" t="str">
        <f ca="1">IFERROR(__xludf.DUMMYFUNCTION("""COMPUTED_VALUE"""),"Audiobook : महाकाल का घोंसला शांतिकुंज : H_SC_09 : smitadubeyhere@gmail.com : Recorded")</f>
        <v>Audiobook : महाकाल का घोंसला शांतिकुंज : H_SC_09 : smitadubeyhere@gmail.com : Recorded</v>
      </c>
      <c r="CF1138" s="1" t="str">
        <f ca="1">IFERROR(__xludf.DUMMYFUNCTION("""COMPUTED_VALUE"""),"Audiobook : महाकाल का घोंसला शांतिकुंज : H_SC_09 : smitadubeyhere@gmail.com : Recorded")</f>
        <v>Audiobook : महाकाल का घोंसला शांतिकुंज : H_SC_09 : smitadubeyhere@gmail.com : Recorded</v>
      </c>
      <c r="CG1138" s="1" t="str">
        <f ca="1">IFERROR(__xludf.DUMMYFUNCTION("""COMPUTED_VALUE"""),"Adarniya Smita Dubey  ji महाकाल का घोंसला शांतिकुंज : H_SC_09 : Allocated on 13-Feb-23 Contact Number  92845 18176 ")</f>
        <v xml:space="preserve">Adarniya Smita Dubey  ji महाकाल का घोंसला शांतिकुंज : H_SC_09 : Allocated on 13-Feb-23 Contact Number  92845 18176 </v>
      </c>
      <c r="CH1138" s="1"/>
      <c r="CI1138" s="1"/>
    </row>
    <row r="1139" spans="1:87" x14ac:dyDescent="0.25">
      <c r="A1139" s="5">
        <f ca="1">IFERROR(__xludf.DUMMYFUNCTION("""COMPUTED_VALUE"""),44970.4142698958)</f>
        <v>44970.414269895802</v>
      </c>
      <c r="B1139" s="1" t="str">
        <f ca="1">IFERROR(__xludf.DUMMYFUNCTION("""COMPUTED_VALUE"""),"saratkar.awgp@gmail.com")</f>
        <v>saratkar.awgp@gmail.com</v>
      </c>
      <c r="C1139" s="1" t="str">
        <f ca="1">IFERROR(__xludf.DUMMYFUNCTION("""COMPUTED_VALUE"""),"Beniram Saratkar")</f>
        <v>Beniram Saratkar</v>
      </c>
      <c r="D1139" s="1" t="str">
        <f ca="1">IFERROR(__xludf.DUMMYFUNCTION("""COMPUTED_VALUE"""),"+917218896169")</f>
        <v>+917218896169</v>
      </c>
      <c r="E1139" s="1" t="str">
        <f ca="1">IFERROR(__xludf.DUMMYFUNCTION("""COMPUTED_VALUE"""),"Yes")</f>
        <v>Yes</v>
      </c>
      <c r="F1139" s="1" t="str">
        <f ca="1">IFERROR(__xludf.DUMMYFUNCTION("""COMPUTED_VALUE"""),"हिन्दी")</f>
        <v>हिन्दी</v>
      </c>
      <c r="G1139" s="1" t="str">
        <f ca="1">IFERROR(__xludf.DUMMYFUNCTION("""COMPUTED_VALUE"""),"व्यक्ति निर्माण, युवा/विद्यार्थी एवं शिक्षक")</f>
        <v>व्यक्ति निर्माण, युवा/विद्यार्थी एवं शिक्षक</v>
      </c>
      <c r="H1139" s="1"/>
      <c r="I1139" s="1"/>
      <c r="J1139" s="1"/>
      <c r="K1139" s="1"/>
      <c r="L1139" s="1"/>
      <c r="M1139" s="1"/>
      <c r="N1139" s="1"/>
      <c r="O1139" s="1"/>
      <c r="P1139" s="1"/>
      <c r="Q1139" s="1"/>
      <c r="R1139" s="1"/>
      <c r="S1139" s="1"/>
      <c r="T1139" s="1" t="str">
        <f ca="1">IFERROR(__xludf.DUMMYFUNCTION("""COMPUTED_VALUE"""),"विद्यार्थी एवं शिक्षक")</f>
        <v>विद्यार्थी एवं शिक्षक</v>
      </c>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f ca="1">IFERROR(__xludf.DUMMYFUNCTION("""COMPUTED_VALUE"""),5)</f>
        <v>5</v>
      </c>
      <c r="BX1139" s="1">
        <f ca="1">IFERROR(__xludf.DUMMYFUNCTION("""COMPUTED_VALUE"""),2)</f>
        <v>2</v>
      </c>
      <c r="BY1139" s="1">
        <f ca="1">IFERROR(__xludf.DUMMYFUNCTION("""COMPUTED_VALUE"""),3)</f>
        <v>3</v>
      </c>
      <c r="BZ1139" s="1">
        <f ca="1">IFERROR(__xludf.DUMMYFUNCTION("""COMPUTED_VALUE"""),2)</f>
        <v>2</v>
      </c>
      <c r="CA1139" s="1" t="str">
        <f ca="1">IFERROR(__xludf.DUMMYFUNCTION("""COMPUTED_VALUE"""),"Yes")</f>
        <v>Yes</v>
      </c>
      <c r="CB1139" s="5">
        <f ca="1">IFERROR(__xludf.DUMMYFUNCTION("""COMPUTED_VALUE"""),44980.4142698958)</f>
        <v>44980.414269895802</v>
      </c>
      <c r="CC1139" s="1" t="str">
        <f ca="1">IFERROR(__xludf.DUMMYFUNCTION("""COMPUTED_VALUE"""),"अपने को बदलें : H_PP_26")</f>
        <v>अपने को बदलें : H_PP_26</v>
      </c>
      <c r="CD1139" s="3" t="str">
        <f ca="1">IFERROR(__xludf.DUMMYFUNCTION("""COMPUTED_VALUE"""),"https://vicharkrantibooks.org/productdetail?book_name=HINP0065_APANE_KO_BADALEN_xxyyyy&amp;product_id=630")</f>
        <v>https://vicharkrantibooks.org/productdetail?book_name=HINP0065_APANE_KO_BADALEN_xxyyyy&amp;product_id=630</v>
      </c>
      <c r="CE1139" s="1" t="str">
        <f ca="1">IFERROR(__xludf.DUMMYFUNCTION("""COMPUTED_VALUE"""),"Audiobook : अपने को बदलें : H_PP_26 : saratkar.awgp@gmail.com : Recorded")</f>
        <v>Audiobook : अपने को बदलें : H_PP_26 : saratkar.awgp@gmail.com : Recorded</v>
      </c>
      <c r="CF1139" s="1" t="str">
        <f ca="1">IFERROR(__xludf.DUMMYFUNCTION("""COMPUTED_VALUE"""),"#N/A")</f>
        <v>#N/A</v>
      </c>
      <c r="CG1139" s="1" t="str">
        <f ca="1">IFERROR(__xludf.DUMMYFUNCTION("""COMPUTED_VALUE"""),"Adarniya Beniram Saratkar ji अपने को बदलें : H_PP_26 : Allocated on 13-Feb-23 Contact Number  +917218896169")</f>
        <v>Adarniya Beniram Saratkar ji अपने को बदलें : H_PP_26 : Allocated on 13-Feb-23 Contact Number  +917218896169</v>
      </c>
      <c r="CH1139" s="1"/>
      <c r="CI1139" s="1"/>
    </row>
    <row r="1140" spans="1:87" x14ac:dyDescent="0.25">
      <c r="A1140" s="5">
        <f ca="1">IFERROR(__xludf.DUMMYFUNCTION("""COMPUTED_VALUE"""),44969.5093240856)</f>
        <v>44969.5093240856</v>
      </c>
      <c r="B1140" s="1" t="str">
        <f ca="1">IFERROR(__xludf.DUMMYFUNCTION("""COMPUTED_VALUE"""),"csprasad108@gmail.com")</f>
        <v>csprasad108@gmail.com</v>
      </c>
      <c r="C1140" s="1" t="str">
        <f ca="1">IFERROR(__xludf.DUMMYFUNCTION("""COMPUTED_VALUE"""),"Kumkum prasad")</f>
        <v>Kumkum prasad</v>
      </c>
      <c r="D1140" s="1">
        <f ca="1">IFERROR(__xludf.DUMMYFUNCTION("""COMPUTED_VALUE"""),7978055621)</f>
        <v>7978055621</v>
      </c>
      <c r="E1140" s="1" t="str">
        <f ca="1">IFERROR(__xludf.DUMMYFUNCTION("""COMPUTED_VALUE"""),"Yes")</f>
        <v>Yes</v>
      </c>
      <c r="F1140" s="1" t="str">
        <f ca="1">IFERROR(__xludf.DUMMYFUNCTION("""COMPUTED_VALUE"""),"हिन्दी")</f>
        <v>हिन्दी</v>
      </c>
      <c r="G1140" s="1" t="str">
        <f ca="1">IFERROR(__xludf.DUMMYFUNCTION("""COMPUTED_VALUE"""),"संस्कार, कर्मकाण्ड, पाठ, पूजा, गीत-संगीत")</f>
        <v>संस्कार, कर्मकाण्ड, पाठ, पूजा, गीत-संगीत</v>
      </c>
      <c r="H1140" s="1"/>
      <c r="I1140" s="1"/>
      <c r="J1140" s="1"/>
      <c r="K1140" s="1"/>
      <c r="L1140" s="1"/>
      <c r="M1140" s="1"/>
      <c r="N1140" s="1"/>
      <c r="O1140" s="1"/>
      <c r="P1140" s="1"/>
      <c r="Q1140" s="1"/>
      <c r="R1140" s="1"/>
      <c r="S1140" s="1"/>
      <c r="T1140" s="1"/>
      <c r="U1140" s="1"/>
      <c r="V1140" s="1"/>
      <c r="W1140" s="1" t="str">
        <f ca="1">IFERROR(__xludf.DUMMYFUNCTION("""COMPUTED_VALUE"""),"पाठ, पूजा, चालीसा, प्रार्थना,")</f>
        <v>पाठ, पूजा, चालीसा, प्रार्थना,</v>
      </c>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t="str">
        <f ca="1">IFERROR(__xludf.DUMMYFUNCTION("""COMPUTED_VALUE"""),"गुरूगीता पाठ विधि")</f>
        <v>गुरूगीता पाठ विधि</v>
      </c>
      <c r="BI1140" s="1"/>
      <c r="BJ1140" s="1"/>
      <c r="BK1140" s="1"/>
      <c r="BL1140" s="1"/>
      <c r="BM1140" s="1"/>
      <c r="BN1140" s="1"/>
      <c r="BO1140" s="1"/>
      <c r="BP1140" s="1"/>
      <c r="BQ1140" s="1"/>
      <c r="BR1140" s="1"/>
      <c r="BS1140" s="1"/>
      <c r="BT1140" s="1"/>
      <c r="BU1140" s="1"/>
      <c r="BV1140" s="1"/>
      <c r="BW1140" s="1">
        <f ca="1">IFERROR(__xludf.DUMMYFUNCTION("""COMPUTED_VALUE"""),52)</f>
        <v>52</v>
      </c>
      <c r="BX1140" s="1">
        <f ca="1">IFERROR(__xludf.DUMMYFUNCTION("""COMPUTED_VALUE"""),54)</f>
        <v>54</v>
      </c>
      <c r="BY1140" s="1">
        <f ca="1">IFERROR(__xludf.DUMMYFUNCTION("""COMPUTED_VALUE"""),3)</f>
        <v>3</v>
      </c>
      <c r="BZ1140" s="1">
        <f ca="1">IFERROR(__xludf.DUMMYFUNCTION("""COMPUTED_VALUE"""),24)</f>
        <v>24</v>
      </c>
      <c r="CA1140" s="1" t="str">
        <f ca="1">IFERROR(__xludf.DUMMYFUNCTION("""COMPUTED_VALUE"""),"Yes")</f>
        <v>Yes</v>
      </c>
      <c r="CB1140" s="5">
        <f ca="1">IFERROR(__xludf.DUMMYFUNCTION("""COMPUTED_VALUE"""),44979.5093240856)</f>
        <v>44979.5093240856</v>
      </c>
      <c r="CC1140" s="1" t="str">
        <f ca="1">IFERROR(__xludf.DUMMYFUNCTION("""COMPUTED_VALUE"""),"महामानवों का सत्संग प्रशिक्षण स्वाध्याय के माध्यम से : Rare Book")</f>
        <v>महामानवों का सत्संग प्रशिक्षण स्वाध्याय के माध्यम से : Rare Book</v>
      </c>
      <c r="CD1140" s="3" t="str">
        <f ca="1">IFERROR(__xludf.DUMMYFUNCTION("""COMPUTED_VALUE"""),"https://vicharkrantibooks.org/productdetail?book_name=HINP0475_MAHAMANAVON_KA_SATSANG_PRASHIKSHAN_SWADHYAY_KE_MADHYAM_SE_xx1981&amp;product_id=1040")</f>
        <v>https://vicharkrantibooks.org/productdetail?book_name=HINP0475_MAHAMANAVON_KA_SATSANG_PRASHIKSHAN_SWADHYAY_KE_MADHYAM_SE_xx1981&amp;product_id=1040</v>
      </c>
      <c r="CE1140" s="1" t="str">
        <f ca="1">IFERROR(__xludf.DUMMYFUNCTION("""COMPUTED_VALUE"""),"Audiobook : महामानवों का सत्संग प्रशिक्षण स्वाध्याय के माध्यम से : Rare Book : csprasad108@gmail.com : Recorded")</f>
        <v>Audiobook : महामानवों का सत्संग प्रशिक्षण स्वाध्याय के माध्यम से : Rare Book : csprasad108@gmail.com : Recorded</v>
      </c>
      <c r="CF1140" s="1" t="str">
        <f ca="1">IFERROR(__xludf.DUMMYFUNCTION("""COMPUTED_VALUE"""),"Audiobook : महामानवों का सत्संग प्रशिक्षण स्वाध्याय के माध्यम से : Rare Book : csprasad108@gmail.com : Recorded")</f>
        <v>Audiobook : महामानवों का सत्संग प्रशिक्षण स्वाध्याय के माध्यम से : Rare Book : csprasad108@gmail.com : Recorded</v>
      </c>
      <c r="CG1140" s="1" t="str">
        <f ca="1">IFERROR(__xludf.DUMMYFUNCTION("""COMPUTED_VALUE"""),"Adarniya Kumkum prasad ji महामानवों का सत्संग प्रशिक्षण स्वाध्याय के माध्यम से : Rare Book : Allocated on 12-Feb-23 Contact Number  7978055621")</f>
        <v>Adarniya Kumkum prasad ji महामानवों का सत्संग प्रशिक्षण स्वाध्याय के माध्यम से : Rare Book : Allocated on 12-Feb-23 Contact Number  7978055621</v>
      </c>
      <c r="CH1140" s="1"/>
      <c r="CI1140" s="1"/>
    </row>
    <row r="1141" spans="1:87" x14ac:dyDescent="0.25">
      <c r="A1141" s="5">
        <f ca="1">IFERROR(__xludf.DUMMYFUNCTION("""COMPUTED_VALUE"""),44968.9946969675)</f>
        <v>44968.9946969675</v>
      </c>
      <c r="B1141" s="1" t="str">
        <f ca="1">IFERROR(__xludf.DUMMYFUNCTION("""COMPUTED_VALUE"""),"jamunashukla17@gmail.com")</f>
        <v>jamunashukla17@gmail.com</v>
      </c>
      <c r="C1141" s="1" t="str">
        <f ca="1">IFERROR(__xludf.DUMMYFUNCTION("""COMPUTED_VALUE"""),"Smt J S Shukla ")</f>
        <v xml:space="preserve">Smt J S Shukla </v>
      </c>
      <c r="D1141" s="1">
        <f ca="1">IFERROR(__xludf.DUMMYFUNCTION("""COMPUTED_VALUE"""),8390353167)</f>
        <v>8390353167</v>
      </c>
      <c r="E1141" s="1"/>
      <c r="F1141" s="1"/>
      <c r="G1141" s="1" t="str">
        <f ca="1">IFERROR(__xludf.DUMMYFUNCTION("""COMPUTED_VALUE"""),"अध्यात्म, धर्म एवं दर्शन")</f>
        <v>अध्यात्म, धर्म एवं दर्शन</v>
      </c>
      <c r="H1141" s="1" t="str">
        <f ca="1">IFERROR(__xludf.DUMMYFUNCTION("""COMPUTED_VALUE"""),"साधना")</f>
        <v>साधना</v>
      </c>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f ca="1">IFERROR(__xludf.DUMMYFUNCTION("""COMPUTED_VALUE"""),53)</f>
        <v>53</v>
      </c>
      <c r="BX1141" s="1">
        <f ca="1">IFERROR(__xludf.DUMMYFUNCTION("""COMPUTED_VALUE"""),53)</f>
        <v>53</v>
      </c>
      <c r="BY1141" s="1">
        <f ca="1">IFERROR(__xludf.DUMMYFUNCTION("""COMPUTED_VALUE"""),9)</f>
        <v>9</v>
      </c>
      <c r="BZ1141" s="1">
        <f ca="1">IFERROR(__xludf.DUMMYFUNCTION("""COMPUTED_VALUE"""),25)</f>
        <v>25</v>
      </c>
      <c r="CA1141" s="1" t="str">
        <f ca="1">IFERROR(__xludf.DUMMYFUNCTION("""COMPUTED_VALUE"""),"Yes")</f>
        <v>Yes</v>
      </c>
      <c r="CB1141" s="5">
        <f ca="1">IFERROR(__xludf.DUMMYFUNCTION("""COMPUTED_VALUE"""),44978.9946969675)</f>
        <v>44978.9946969675</v>
      </c>
      <c r="CC1141" s="1" t="str">
        <f ca="1">IFERROR(__xludf.DUMMYFUNCTION("""COMPUTED_VALUE"""),"आध्यात्मिक साम्यवाद : Rare Book")</f>
        <v>आध्यात्मिक साम्यवाद : Rare Book</v>
      </c>
      <c r="CD1141" s="3" t="str">
        <f ca="1">IFERROR(__xludf.DUMMYFUNCTION("""COMPUTED_VALUE"""),"https://vicharkrantibooks.org/productdetail?book_name=HINP0025_ADHYATMIK_SAMYAVAD_xx1978&amp;product_id=590")</f>
        <v>https://vicharkrantibooks.org/productdetail?book_name=HINP0025_ADHYATMIK_SAMYAVAD_xx1978&amp;product_id=590</v>
      </c>
      <c r="CE1141" s="1" t="str">
        <f ca="1">IFERROR(__xludf.DUMMYFUNCTION("""COMPUTED_VALUE"""),"Audiobook : आध्यात्मिक साम्यवाद : Rare Book : jamunashukla17@gmail.com : Recorded")</f>
        <v>Audiobook : आध्यात्मिक साम्यवाद : Rare Book : jamunashukla17@gmail.com : Recorded</v>
      </c>
      <c r="CF1141" s="1" t="str">
        <f ca="1">IFERROR(__xludf.DUMMYFUNCTION("""COMPUTED_VALUE"""),"Audiobook : आध्यात्मिक साम्यवाद : Rare Book : jamunashukla17@gmail.com : Recorded")</f>
        <v>Audiobook : आध्यात्मिक साम्यवाद : Rare Book : jamunashukla17@gmail.com : Recorded</v>
      </c>
      <c r="CG1141" s="1" t="str">
        <f ca="1">IFERROR(__xludf.DUMMYFUNCTION("""COMPUTED_VALUE"""),"Adarniya Smt J S Shukla  ji आध्यात्मिक साम्यवाद : Rare Book : Allocated on 11-Feb-23 Contact Number  8390353167")</f>
        <v>Adarniya Smt J S Shukla  ji आध्यात्मिक साम्यवाद : Rare Book : Allocated on 11-Feb-23 Contact Number  8390353167</v>
      </c>
      <c r="CH1141" s="1"/>
      <c r="CI1141" s="1"/>
    </row>
    <row r="1142" spans="1:87" x14ac:dyDescent="0.25">
      <c r="A1142" s="5">
        <f ca="1">IFERROR(__xludf.DUMMYFUNCTION("""COMPUTED_VALUE"""),44966.8929434722)</f>
        <v>44966.892943472201</v>
      </c>
      <c r="B1142" s="1" t="str">
        <f ca="1">IFERROR(__xludf.DUMMYFUNCTION("""COMPUTED_VALUE"""),"rbbansalriya@gmail.com")</f>
        <v>rbbansalriya@gmail.com</v>
      </c>
      <c r="C1142" s="1" t="str">
        <f ca="1">IFERROR(__xludf.DUMMYFUNCTION("""COMPUTED_VALUE"""),"Riya bansal ")</f>
        <v xml:space="preserve">Riya bansal </v>
      </c>
      <c r="D1142" s="1">
        <f ca="1">IFERROR(__xludf.DUMMYFUNCTION("""COMPUTED_VALUE"""),9176361023)</f>
        <v>9176361023</v>
      </c>
      <c r="E1142" s="1" t="str">
        <f ca="1">IFERROR(__xludf.DUMMYFUNCTION("""COMPUTED_VALUE"""),"Yes")</f>
        <v>Yes</v>
      </c>
      <c r="F1142" s="1" t="str">
        <f ca="1">IFERROR(__xludf.DUMMYFUNCTION("""COMPUTED_VALUE"""),"हिन्दी")</f>
        <v>हिन्दी</v>
      </c>
      <c r="G1142" s="1" t="str">
        <f ca="1">IFERROR(__xludf.DUMMYFUNCTION("""COMPUTED_VALUE"""),"अध्यात्म, धर्म एवं दर्शन")</f>
        <v>अध्यात्म, धर्म एवं दर्शन</v>
      </c>
      <c r="H1142" s="1" t="str">
        <f ca="1">IFERROR(__xludf.DUMMYFUNCTION("""COMPUTED_VALUE"""),"उपासना")</f>
        <v>उपासना</v>
      </c>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f ca="1">IFERROR(__xludf.DUMMYFUNCTION("""COMPUTED_VALUE"""),54)</f>
        <v>54</v>
      </c>
      <c r="BX1142" s="1">
        <f ca="1">IFERROR(__xludf.DUMMYFUNCTION("""COMPUTED_VALUE"""),55)</f>
        <v>55</v>
      </c>
      <c r="BY1142" s="1">
        <f ca="1">IFERROR(__xludf.DUMMYFUNCTION("""COMPUTED_VALUE"""),9)</f>
        <v>9</v>
      </c>
      <c r="BZ1142" s="1">
        <f ca="1">IFERROR(__xludf.DUMMYFUNCTION("""COMPUTED_VALUE"""),43)</f>
        <v>43</v>
      </c>
      <c r="CA1142" s="1" t="str">
        <f ca="1">IFERROR(__xludf.DUMMYFUNCTION("""COMPUTED_VALUE"""),"Yes")</f>
        <v>Yes</v>
      </c>
      <c r="CB1142" s="5">
        <f ca="1">IFERROR(__xludf.DUMMYFUNCTION("""COMPUTED_VALUE"""),44976.8929434722)</f>
        <v>44976.892943472201</v>
      </c>
      <c r="CC1142" s="1" t="str">
        <f ca="1">IFERROR(__xludf.DUMMYFUNCTION("""COMPUTED_VALUE"""),"आध्यात्मिक प्रौढता का चिन्ह परमार्थ परायणता : Rare Book")</f>
        <v>आध्यात्मिक प्रौढता का चिन्ह परमार्थ परायणता : Rare Book</v>
      </c>
      <c r="CD1142" s="3" t="str">
        <f ca="1">IFERROR(__xludf.DUMMYFUNCTION("""COMPUTED_VALUE"""),"https://vicharkrantibooks.org/productdetail?book_name=HINP0024_ADHYATMIK_PRAUDHATA_KA_CHINH_PARAMARTH_PARAYANATA_xx1982&amp;product_id=589")</f>
        <v>https://vicharkrantibooks.org/productdetail?book_name=HINP0024_ADHYATMIK_PRAUDHATA_KA_CHINH_PARAMARTH_PARAYANATA_xx1982&amp;product_id=589</v>
      </c>
      <c r="CE1142" s="1" t="str">
        <f ca="1">IFERROR(__xludf.DUMMYFUNCTION("""COMPUTED_VALUE"""),"Audiobook : आध्यात्मिक प्रौढता का चिन्ह परमार्थ परायणता : Rare Book : rbbansalriya@gmail.com : Recorded")</f>
        <v>Audiobook : आध्यात्मिक प्रौढता का चिन्ह परमार्थ परायणता : Rare Book : rbbansalriya@gmail.com : Recorded</v>
      </c>
      <c r="CF1142" s="1" t="str">
        <f ca="1">IFERROR(__xludf.DUMMYFUNCTION("""COMPUTED_VALUE"""),"Audiobook : आध्यात्मिक प्रौढता का चिन्ह परमार्थ परायणता : Rare Book : rbbansalriya@gmail.com : Recorded")</f>
        <v>Audiobook : आध्यात्मिक प्रौढता का चिन्ह परमार्थ परायणता : Rare Book : rbbansalriya@gmail.com : Recorded</v>
      </c>
      <c r="CG1142" s="1" t="str">
        <f ca="1">IFERROR(__xludf.DUMMYFUNCTION("""COMPUTED_VALUE"""),"Adarniya Riya bansal  ji आध्यात्मिक प्रौढता का चिन्ह परमार्थ परायणता : Rare Book : Allocated on 09-Feb-23 Contact Number  9176361023")</f>
        <v>Adarniya Riya bansal  ji आध्यात्मिक प्रौढता का चिन्ह परमार्थ परायणता : Rare Book : Allocated on 09-Feb-23 Contact Number  9176361023</v>
      </c>
      <c r="CH1142" s="1"/>
      <c r="CI1142" s="1"/>
    </row>
    <row r="1143" spans="1:87" x14ac:dyDescent="0.25">
      <c r="A1143" s="5">
        <f ca="1">IFERROR(__xludf.DUMMYFUNCTION("""COMPUTED_VALUE"""),44966.7538903472)</f>
        <v>44966.753890347201</v>
      </c>
      <c r="B1143" s="1" t="str">
        <f ca="1">IFERROR(__xludf.DUMMYFUNCTION("""COMPUTED_VALUE"""),"csprasad108@gmail.com")</f>
        <v>csprasad108@gmail.com</v>
      </c>
      <c r="C1143" s="1" t="str">
        <f ca="1">IFERROR(__xludf.DUMMYFUNCTION("""COMPUTED_VALUE"""),"Kumkum prasad")</f>
        <v>Kumkum prasad</v>
      </c>
      <c r="D1143" s="1">
        <f ca="1">IFERROR(__xludf.DUMMYFUNCTION("""COMPUTED_VALUE"""),7978055621)</f>
        <v>7978055621</v>
      </c>
      <c r="E1143" s="1" t="str">
        <f ca="1">IFERROR(__xludf.DUMMYFUNCTION("""COMPUTED_VALUE"""),"Yes")</f>
        <v>Yes</v>
      </c>
      <c r="F1143" s="1"/>
      <c r="G1143" s="1" t="str">
        <f ca="1">IFERROR(__xludf.DUMMYFUNCTION("""COMPUTED_VALUE"""),"संस्कार, कर्मकाण्ड, पाठ, पूजा, गीत-संगीत")</f>
        <v>संस्कार, कर्मकाण्ड, पाठ, पूजा, गीत-संगीत</v>
      </c>
      <c r="H1143" s="1"/>
      <c r="I1143" s="1"/>
      <c r="J1143" s="1"/>
      <c r="K1143" s="1"/>
      <c r="L1143" s="1"/>
      <c r="M1143" s="1"/>
      <c r="N1143" s="1"/>
      <c r="O1143" s="1"/>
      <c r="P1143" s="1"/>
      <c r="Q1143" s="1"/>
      <c r="R1143" s="1"/>
      <c r="S1143" s="1"/>
      <c r="T1143" s="1"/>
      <c r="U1143" s="1"/>
      <c r="V1143" s="1"/>
      <c r="W1143" s="1" t="str">
        <f ca="1">IFERROR(__xludf.DUMMYFUNCTION("""COMPUTED_VALUE"""),"पाठ, पूजा, चालीसा, प्रार्थना,")</f>
        <v>पाठ, पूजा, चालीसा, प्रार्थना,</v>
      </c>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t="str">
        <f ca="1">IFERROR(__xludf.DUMMYFUNCTION("""COMPUTED_VALUE"""),"गायत्री चालीसा")</f>
        <v>गायत्री चालीसा</v>
      </c>
      <c r="BI1143" s="1"/>
      <c r="BJ1143" s="1"/>
      <c r="BK1143" s="1"/>
      <c r="BL1143" s="1"/>
      <c r="BM1143" s="1"/>
      <c r="BN1143" s="1"/>
      <c r="BO1143" s="1"/>
      <c r="BP1143" s="1"/>
      <c r="BQ1143" s="1"/>
      <c r="BR1143" s="1"/>
      <c r="BS1143" s="1"/>
      <c r="BT1143" s="1"/>
      <c r="BU1143" s="1"/>
      <c r="BV1143" s="1"/>
      <c r="BW1143" s="1">
        <f ca="1">IFERROR(__xludf.DUMMYFUNCTION("""COMPUTED_VALUE"""),52)</f>
        <v>52</v>
      </c>
      <c r="BX1143" s="1">
        <f ca="1">IFERROR(__xludf.DUMMYFUNCTION("""COMPUTED_VALUE"""),54)</f>
        <v>54</v>
      </c>
      <c r="BY1143" s="1">
        <f ca="1">IFERROR(__xludf.DUMMYFUNCTION("""COMPUTED_VALUE"""),3)</f>
        <v>3</v>
      </c>
      <c r="BZ1143" s="1">
        <f ca="1">IFERROR(__xludf.DUMMYFUNCTION("""COMPUTED_VALUE"""),24)</f>
        <v>24</v>
      </c>
      <c r="CA1143" s="1" t="str">
        <f ca="1">IFERROR(__xludf.DUMMYFUNCTION("""COMPUTED_VALUE"""),"Yes")</f>
        <v>Yes</v>
      </c>
      <c r="CB1143" s="5">
        <f ca="1">IFERROR(__xludf.DUMMYFUNCTION("""COMPUTED_VALUE"""),44976.7538903472)</f>
        <v>44976.753890347201</v>
      </c>
      <c r="CC1143" s="1" t="str">
        <f ca="1">IFERROR(__xludf.DUMMYFUNCTION("""COMPUTED_VALUE"""),"मन को कुविचारों और दुर्भावनाओं से बचाए रखने के लिए स्वाध्याय एवं सत्संग की व्यवस्था रखे रहेंगे : Rare Book")</f>
        <v>मन को कुविचारों और दुर्भावनाओं से बचाए रखने के लिए स्वाध्याय एवं सत्संग की व्यवस्था रखे रहेंगे : Rare Book</v>
      </c>
      <c r="CD1143" s="3" t="str">
        <f ca="1">IFERROR(__xludf.DUMMYFUNCTION("""COMPUTED_VALUE"""),"https://vicharkrantibooks.org/productdetail?book_name=HINP0489_MAN_KO_KUVICHARON_AUR_DURBHAVANAON_SE_BACHAE_RAKHANE_KE_LIE_SWADHYAY_EVAM_SATSANG_KI_VYAVASTHA_RAKHE_RAHENGE_xxyyyy&amp;product_id=1054")</f>
        <v>https://vicharkrantibooks.org/productdetail?book_name=HINP0489_MAN_KO_KUVICHARON_AUR_DURBHAVANAON_SE_BACHAE_RAKHANE_KE_LIE_SWADHYAY_EVAM_SATSANG_KI_VYAVASTHA_RAKHE_RAHENGE_xxyyyy&amp;product_id=1054</v>
      </c>
      <c r="CE1143" s="1" t="str">
        <f ca="1">IFERROR(__xludf.DUMMYFUNCTION("""COMPUTED_VALUE"""),"Audiobook : मन को कुविचारों और दुर्भावनाओं से बचाए रखने के लिए स्वाध्याय एवं सत्संग की व्यवस्था रखे रहेंगे : Rare Book : csprasad108@gmail.com : Recorded")</f>
        <v>Audiobook : मन को कुविचारों और दुर्भावनाओं से बचाए रखने के लिए स्वाध्याय एवं सत्संग की व्यवस्था रखे रहेंगे : Rare Book : csprasad108@gmail.com : Recorded</v>
      </c>
      <c r="CF1143" s="1" t="str">
        <f ca="1">IFERROR(__xludf.DUMMYFUNCTION("""COMPUTED_VALUE"""),"Audiobook : मन को कुविचारों और दुर्भावनाओं से बचाए रखने के लिए स्वाध्याय एवं सत्संग की व्यवस्था रखे रहेंगे : Rare Book : csprasad108@gmail.com : Recorded")</f>
        <v>Audiobook : मन को कुविचारों और दुर्भावनाओं से बचाए रखने के लिए स्वाध्याय एवं सत्संग की व्यवस्था रखे रहेंगे : Rare Book : csprasad108@gmail.com : Recorded</v>
      </c>
      <c r="CG1143" s="1" t="str">
        <f ca="1">IFERROR(__xludf.DUMMYFUNCTION("""COMPUTED_VALUE"""),"Adarniya Kumkum prasad ji मन को कुविचारों और दुर्भावनाओं से बचाए रखने के लिए स्वाध्याय एवं सत्संग की व्यवस्था रखे रहेंगे : Rare Book : Allocated on 09-Feb-23 Contact Number  7978055621")</f>
        <v>Adarniya Kumkum prasad ji मन को कुविचारों और दुर्भावनाओं से बचाए रखने के लिए स्वाध्याय एवं सत्संग की व्यवस्था रखे रहेंगे : Rare Book : Allocated on 09-Feb-23 Contact Number  7978055621</v>
      </c>
      <c r="CH1143" s="1"/>
      <c r="CI1143" s="1"/>
    </row>
    <row r="1144" spans="1:87" x14ac:dyDescent="0.25">
      <c r="A1144" s="5">
        <f ca="1">IFERROR(__xludf.DUMMYFUNCTION("""COMPUTED_VALUE"""),44966.4329548842)</f>
        <v>44966.4329548842</v>
      </c>
      <c r="B1144" s="1" t="str">
        <f ca="1">IFERROR(__xludf.DUMMYFUNCTION("""COMPUTED_VALUE"""),"sbdswati@gmail.com")</f>
        <v>sbdswati@gmail.com</v>
      </c>
      <c r="C1144" s="1" t="str">
        <f ca="1">IFERROR(__xludf.DUMMYFUNCTION("""COMPUTED_VALUE"""),"Swati Srivastava ")</f>
        <v xml:space="preserve">Swati Srivastava </v>
      </c>
      <c r="D1144" s="1">
        <f ca="1">IFERROR(__xludf.DUMMYFUNCTION("""COMPUTED_VALUE"""),6397862188)</f>
        <v>6397862188</v>
      </c>
      <c r="E1144" s="1" t="str">
        <f ca="1">IFERROR(__xludf.DUMMYFUNCTION("""COMPUTED_VALUE"""),"Yes")</f>
        <v>Yes</v>
      </c>
      <c r="F1144" s="1" t="str">
        <f ca="1">IFERROR(__xludf.DUMMYFUNCTION("""COMPUTED_VALUE"""),"हिन्दी")</f>
        <v>हिन्दी</v>
      </c>
      <c r="G1144" s="1" t="str">
        <f ca="1">IFERROR(__xludf.DUMMYFUNCTION("""COMPUTED_VALUE"""),"जीवन प्रबंध")</f>
        <v>जीवन प्रबंध</v>
      </c>
      <c r="H1144" s="1"/>
      <c r="I1144" s="1"/>
      <c r="J1144" s="1"/>
      <c r="K1144" s="1"/>
      <c r="L1144" s="1" t="str">
        <f ca="1">IFERROR(__xludf.DUMMYFUNCTION("""COMPUTED_VALUE"""),"जीवन साधना")</f>
        <v>जीवन साधना</v>
      </c>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f ca="1">IFERROR(__xludf.DUMMYFUNCTION("""COMPUTED_VALUE"""),10)</f>
        <v>10</v>
      </c>
      <c r="BX1144" s="1">
        <f ca="1">IFERROR(__xludf.DUMMYFUNCTION("""COMPUTED_VALUE"""),12)</f>
        <v>12</v>
      </c>
      <c r="BY1144" s="1">
        <f ca="1">IFERROR(__xludf.DUMMYFUNCTION("""COMPUTED_VALUE"""),2)</f>
        <v>2</v>
      </c>
      <c r="BZ1144" s="1">
        <f ca="1">IFERROR(__xludf.DUMMYFUNCTION("""COMPUTED_VALUE"""),1)</f>
        <v>1</v>
      </c>
      <c r="CA1144" s="1" t="str">
        <f ca="1">IFERROR(__xludf.DUMMYFUNCTION("""COMPUTED_VALUE"""),"Yes")</f>
        <v>Yes</v>
      </c>
      <c r="CB1144" s="5">
        <f ca="1">IFERROR(__xludf.DUMMYFUNCTION("""COMPUTED_VALUE"""),44976.4329548842)</f>
        <v>44976.4329548842</v>
      </c>
      <c r="CC1144" s="1" t="str">
        <f ca="1">IFERROR(__xludf.DUMMYFUNCTION("""COMPUTED_VALUE"""),"गुण कर्म स्वभाव की उत्कृष्टता जीवन की सर्वोपरि संपदा : H_SC_34")</f>
        <v>गुण कर्म स्वभाव की उत्कृष्टता जीवन की सर्वोपरि संपदा : H_SC_34</v>
      </c>
      <c r="CD1144" s="3" t="str">
        <f ca="1">IFERROR(__xludf.DUMMYFUNCTION("""COMPUTED_VALUE"""),"https://vicharkrantibooks.org/productdetail?book_name=HINP0315_GUN_KARM_SVABHAV_KI_UTKRUSHTATA_JIVAN_KI_SARVOPARI_SAMPADA_xx1981&amp;product_id=880")</f>
        <v>https://vicharkrantibooks.org/productdetail?book_name=HINP0315_GUN_KARM_SVABHAV_KI_UTKRUSHTATA_JIVAN_KI_SARVOPARI_SAMPADA_xx1981&amp;product_id=880</v>
      </c>
      <c r="CE1144" s="1" t="str">
        <f ca="1">IFERROR(__xludf.DUMMYFUNCTION("""COMPUTED_VALUE"""),"Audiobook : गुण कर्म स्वभाव की उत्कृष्टता जीवन की सर्वोपरि संपदा : H_SC_34 : sbdswati@gmail.com : Recorded")</f>
        <v>Audiobook : गुण कर्म स्वभाव की उत्कृष्टता जीवन की सर्वोपरि संपदा : H_SC_34 : sbdswati@gmail.com : Recorded</v>
      </c>
      <c r="CF1144" s="1" t="str">
        <f ca="1">IFERROR(__xludf.DUMMYFUNCTION("""COMPUTED_VALUE"""),"#N/A")</f>
        <v>#N/A</v>
      </c>
      <c r="CG1144" s="1" t="str">
        <f ca="1">IFERROR(__xludf.DUMMYFUNCTION("""COMPUTED_VALUE"""),"Adarniya Swati Srivastava  ji गुण कर्म स्वभाव की उत्कृष्टता जीवन की सर्वोपरि संपदा : H_SC_34 : Allocated on 09-Feb-23 Contact Number  6397862188")</f>
        <v>Adarniya Swati Srivastava  ji गुण कर्म स्वभाव की उत्कृष्टता जीवन की सर्वोपरि संपदा : H_SC_34 : Allocated on 09-Feb-23 Contact Number  6397862188</v>
      </c>
      <c r="CH1144" s="1"/>
      <c r="CI1144" s="1"/>
    </row>
    <row r="1145" spans="1:87" x14ac:dyDescent="0.25">
      <c r="A1145" s="5">
        <f ca="1">IFERROR(__xludf.DUMMYFUNCTION("""COMPUTED_VALUE"""),44965.3372779976)</f>
        <v>44965.337277997598</v>
      </c>
      <c r="B1145" s="1" t="str">
        <f ca="1">IFERROR(__xludf.DUMMYFUNCTION("""COMPUTED_VALUE"""),"savita.dubey@gmail.com")</f>
        <v>savita.dubey@gmail.com</v>
      </c>
      <c r="C1145" s="1" t="str">
        <f ca="1">IFERROR(__xludf.DUMMYFUNCTION("""COMPUTED_VALUE"""),"Savita")</f>
        <v>Savita</v>
      </c>
      <c r="D1145" s="1">
        <f ca="1">IFERROR(__xludf.DUMMYFUNCTION("""COMPUTED_VALUE"""),4692640779)</f>
        <v>4692640779</v>
      </c>
      <c r="E1145" s="1" t="str">
        <f ca="1">IFERROR(__xludf.DUMMYFUNCTION("""COMPUTED_VALUE"""),"Yes")</f>
        <v>Yes</v>
      </c>
      <c r="F1145" s="1" t="str">
        <f ca="1">IFERROR(__xludf.DUMMYFUNCTION("""COMPUTED_VALUE"""),"हिन्दी or English")</f>
        <v>हिन्दी or English</v>
      </c>
      <c r="G1145" s="1" t="str">
        <f ca="1">IFERROR(__xludf.DUMMYFUNCTION("""COMPUTED_VALUE"""),"राष्ट्र निर्माण")</f>
        <v>राष्ट्र निर्माण</v>
      </c>
      <c r="H1145" s="1"/>
      <c r="I1145" s="1"/>
      <c r="J1145" s="1"/>
      <c r="K1145" s="1"/>
      <c r="L1145" s="1"/>
      <c r="M1145" s="1"/>
      <c r="N1145" s="1"/>
      <c r="O1145" s="1"/>
      <c r="P1145" s="1"/>
      <c r="Q1145" s="1"/>
      <c r="R1145" s="1" t="str">
        <f ca="1">IFERROR(__xludf.DUMMYFUNCTION("""COMPUTED_VALUE"""),"राष्ट्र निर्माण")</f>
        <v>राष्ट्र निर्माण</v>
      </c>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f ca="1">IFERROR(__xludf.DUMMYFUNCTION("""COMPUTED_VALUE"""),9)</f>
        <v>9</v>
      </c>
      <c r="BX1145" s="1">
        <f ca="1">IFERROR(__xludf.DUMMYFUNCTION("""COMPUTED_VALUE"""),10)</f>
        <v>10</v>
      </c>
      <c r="BY1145" s="1">
        <f ca="1">IFERROR(__xludf.DUMMYFUNCTION("""COMPUTED_VALUE"""),3)</f>
        <v>3</v>
      </c>
      <c r="BZ1145" s="1">
        <f ca="1">IFERROR(__xludf.DUMMYFUNCTION("""COMPUTED_VALUE"""),9)</f>
        <v>9</v>
      </c>
      <c r="CA1145" s="1" t="str">
        <f ca="1">IFERROR(__xludf.DUMMYFUNCTION("""COMPUTED_VALUE"""),"Yes")</f>
        <v>Yes</v>
      </c>
      <c r="CB1145" s="5">
        <f ca="1">IFERROR(__xludf.DUMMYFUNCTION("""COMPUTED_VALUE"""),44975.3372779976)</f>
        <v>44975.337277997598</v>
      </c>
      <c r="CC1145" s="1" t="str">
        <f ca="1">IFERROR(__xludf.DUMMYFUNCTION("""COMPUTED_VALUE"""),"अस्वच्छता का अभिशाप मिटाना ही राष्ट्र की सबसे बड़ी सेवा : Rare Book")</f>
        <v>अस्वच्छता का अभिशाप मिटाना ही राष्ट्र की सबसे बड़ी सेवा : Rare Book</v>
      </c>
      <c r="CD1145" s="3" t="str">
        <f ca="1">IFERROR(__xludf.DUMMYFUNCTION("""COMPUTED_VALUE"""),"https://vicharkrantibooks.org/productdetail?book_name=HINP0087_ASWACHCHHATA_KA_ABHISHAP_MITANA_HI_RASHTR_KI_SABASE_BADI_SEVA_xx1982&amp;product_id=652")</f>
        <v>https://vicharkrantibooks.org/productdetail?book_name=HINP0087_ASWACHCHHATA_KA_ABHISHAP_MITANA_HI_RASHTR_KI_SABASE_BADI_SEVA_xx1982&amp;product_id=652</v>
      </c>
      <c r="CE1145" s="1" t="str">
        <f ca="1">IFERROR(__xludf.DUMMYFUNCTION("""COMPUTED_VALUE"""),"Audiobook : अस्वच्छता का अभिशाप मिटाना ही राष्ट्र की सबसे बड़ी सेवा : Rare Book : savita.dubey@gmail.com : Recorded")</f>
        <v>Audiobook : अस्वच्छता का अभिशाप मिटाना ही राष्ट्र की सबसे बड़ी सेवा : Rare Book : savita.dubey@gmail.com : Recorded</v>
      </c>
      <c r="CF1145" s="1" t="str">
        <f ca="1">IFERROR(__xludf.DUMMYFUNCTION("""COMPUTED_VALUE"""),"Audiobook : अस्वच्छता का अभिशाप मिटाना ही राष्ट्र की सबसे बड़ी सेवा : Rare Book : savita.dubey@gmail.com : Recorded")</f>
        <v>Audiobook : अस्वच्छता का अभिशाप मिटाना ही राष्ट्र की सबसे बड़ी सेवा : Rare Book : savita.dubey@gmail.com : Recorded</v>
      </c>
      <c r="CG1145" s="1" t="str">
        <f ca="1">IFERROR(__xludf.DUMMYFUNCTION("""COMPUTED_VALUE"""),"Adarniya Savita ji अस्वच्छता का अभिशाप मिटाना ही राष्ट्र की सबसे बड़ी सेवा : Rare Book : Allocated on 08-Feb-23 Contact Number  4692640779")</f>
        <v>Adarniya Savita ji अस्वच्छता का अभिशाप मिटाना ही राष्ट्र की सबसे बड़ी सेवा : Rare Book : Allocated on 08-Feb-23 Contact Number  4692640779</v>
      </c>
      <c r="CH1145" s="1"/>
      <c r="CI1145" s="1"/>
    </row>
    <row r="1146" spans="1:87" x14ac:dyDescent="0.25">
      <c r="A1146" s="5">
        <f ca="1">IFERROR(__xludf.DUMMYFUNCTION("""COMPUTED_VALUE"""),44965.2928050462)</f>
        <v>44965.2928050462</v>
      </c>
      <c r="B1146" s="1" t="str">
        <f ca="1">IFERROR(__xludf.DUMMYFUNCTION("""COMPUTED_VALUE"""),"richasharma310575@gmail.com")</f>
        <v>richasharma310575@gmail.com</v>
      </c>
      <c r="C1146" s="1" t="str">
        <f ca="1">IFERROR(__xludf.DUMMYFUNCTION("""COMPUTED_VALUE"""),"Richa Sharma ")</f>
        <v xml:space="preserve">Richa Sharma </v>
      </c>
      <c r="D1146" s="1">
        <f ca="1">IFERROR(__xludf.DUMMYFUNCTION("""COMPUTED_VALUE"""),9479664049)</f>
        <v>9479664049</v>
      </c>
      <c r="E1146" s="1" t="str">
        <f ca="1">IFERROR(__xludf.DUMMYFUNCTION("""COMPUTED_VALUE"""),"Yes")</f>
        <v>Yes</v>
      </c>
      <c r="F1146" s="1" t="str">
        <f ca="1">IFERROR(__xludf.DUMMYFUNCTION("""COMPUTED_VALUE"""),"हिन्दी")</f>
        <v>हिन्दी</v>
      </c>
      <c r="G1146" s="1" t="str">
        <f ca="1">IFERROR(__xludf.DUMMYFUNCTION("""COMPUTED_VALUE"""),"गायत्री परिवार")</f>
        <v>गायत्री परिवार</v>
      </c>
      <c r="H1146" s="1"/>
      <c r="I1146" s="1"/>
      <c r="J1146" s="1" t="str">
        <f ca="1">IFERROR(__xludf.DUMMYFUNCTION("""COMPUTED_VALUE"""),"प्रमुख संस्थान, प्रकाशन एवं आंदोलन")</f>
        <v>प्रमुख संस्थान, प्रकाशन एवं आंदोलन</v>
      </c>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f ca="1">IFERROR(__xludf.DUMMYFUNCTION("""COMPUTED_VALUE"""),23)</f>
        <v>23</v>
      </c>
      <c r="BX1146" s="1">
        <f ca="1">IFERROR(__xludf.DUMMYFUNCTION("""COMPUTED_VALUE"""),28)</f>
        <v>28</v>
      </c>
      <c r="BY1146" s="1">
        <f ca="1">IFERROR(__xludf.DUMMYFUNCTION("""COMPUTED_VALUE"""),2)</f>
        <v>2</v>
      </c>
      <c r="BZ1146" s="1">
        <f ca="1">IFERROR(__xludf.DUMMYFUNCTION("""COMPUTED_VALUE"""),24)</f>
        <v>24</v>
      </c>
      <c r="CA1146" s="1" t="str">
        <f ca="1">IFERROR(__xludf.DUMMYFUNCTION("""COMPUTED_VALUE"""),"Yes")</f>
        <v>Yes</v>
      </c>
      <c r="CB1146" s="5">
        <f ca="1">IFERROR(__xludf.DUMMYFUNCTION("""COMPUTED_VALUE"""),44975.2928050462)</f>
        <v>44975.2928050462</v>
      </c>
      <c r="CC1146" s="1" t="str">
        <f ca="1">IFERROR(__xludf.DUMMYFUNCTION("""COMPUTED_VALUE"""),"एक घंटा समय और पचास पैसा नित्य : Rare Book")</f>
        <v>एक घंटा समय और पचास पैसा नित्य : Rare Book</v>
      </c>
      <c r="CD1146" s="3" t="str">
        <f ca="1">IFERROR(__xludf.DUMMYFUNCTION("""COMPUTED_VALUE"""),"https://vicharkrantibooks.org/productdetail?book_name=HINP0266_EK_GHANTA_SAMAY_AUR_PACHAS_PAISA_NITY_xxyyyy&amp;product_id=831")</f>
        <v>https://vicharkrantibooks.org/productdetail?book_name=HINP0266_EK_GHANTA_SAMAY_AUR_PACHAS_PAISA_NITY_xxyyyy&amp;product_id=831</v>
      </c>
      <c r="CE1146" s="1" t="str">
        <f ca="1">IFERROR(__xludf.DUMMYFUNCTION("""COMPUTED_VALUE"""),"Audiobook : एक घंटा समय और पचास पैसा नित्य : Rare Book : richasharma310575@gmail.com : Recorded")</f>
        <v>Audiobook : एक घंटा समय और पचास पैसा नित्य : Rare Book : richasharma310575@gmail.com : Recorded</v>
      </c>
      <c r="CF1146" s="1" t="str">
        <f ca="1">IFERROR(__xludf.DUMMYFUNCTION("""COMPUTED_VALUE"""),"Audiobook : एक घंटा समय और पचास पैसा नित्य : Rare Book : richasharma310575@gmail.com : Recorded")</f>
        <v>Audiobook : एक घंटा समय और पचास पैसा नित्य : Rare Book : richasharma310575@gmail.com : Recorded</v>
      </c>
      <c r="CG1146" s="1" t="str">
        <f ca="1">IFERROR(__xludf.DUMMYFUNCTION("""COMPUTED_VALUE"""),"Adarniya Richa Sharma  ji एक घंटा समय और पचास पैसा नित्य : Rare Book : Allocated on 08-Feb-23 Contact Number  9479664049")</f>
        <v>Adarniya Richa Sharma  ji एक घंटा समय और पचास पैसा नित्य : Rare Book : Allocated on 08-Feb-23 Contact Number  9479664049</v>
      </c>
      <c r="CH1146" s="1"/>
      <c r="CI1146" s="1"/>
    </row>
    <row r="1147" spans="1:87" x14ac:dyDescent="0.25">
      <c r="A1147" s="5">
        <f ca="1">IFERROR(__xludf.DUMMYFUNCTION("""COMPUTED_VALUE"""),44964.8973789699)</f>
        <v>44964.897378969901</v>
      </c>
      <c r="B1147" s="1" t="str">
        <f ca="1">IFERROR(__xludf.DUMMYFUNCTION("""COMPUTED_VALUE"""),"fca.amita@gmail.com")</f>
        <v>fca.amita@gmail.com</v>
      </c>
      <c r="C1147" s="1" t="str">
        <f ca="1">IFERROR(__xludf.DUMMYFUNCTION("""COMPUTED_VALUE"""),"Amita Panchamlal Jaiswal ")</f>
        <v xml:space="preserve">Amita Panchamlal Jaiswal </v>
      </c>
      <c r="D1147" s="1">
        <f ca="1">IFERROR(__xludf.DUMMYFUNCTION("""COMPUTED_VALUE"""),9870921503)</f>
        <v>9870921503</v>
      </c>
      <c r="E1147" s="1" t="str">
        <f ca="1">IFERROR(__xludf.DUMMYFUNCTION("""COMPUTED_VALUE"""),"No")</f>
        <v>No</v>
      </c>
      <c r="F1147" s="1" t="str">
        <f ca="1">IFERROR(__xludf.DUMMYFUNCTION("""COMPUTED_VALUE"""),"हिन्दी")</f>
        <v>हिन्दी</v>
      </c>
      <c r="G1147" s="1" t="str">
        <f ca="1">IFERROR(__xludf.DUMMYFUNCTION("""COMPUTED_VALUE"""),"व्यक्ति निर्माण, युवा/विद्यार्थी एवं शिक्षक")</f>
        <v>व्यक्ति निर्माण, युवा/विद्यार्थी एवं शिक्षक</v>
      </c>
      <c r="H1147" s="1"/>
      <c r="I1147" s="1"/>
      <c r="J1147" s="1"/>
      <c r="K1147" s="1"/>
      <c r="L1147" s="1"/>
      <c r="M1147" s="1"/>
      <c r="N1147" s="1"/>
      <c r="O1147" s="1"/>
      <c r="P1147" s="1"/>
      <c r="Q1147" s="1"/>
      <c r="R1147" s="1"/>
      <c r="S1147" s="1"/>
      <c r="T1147" s="1" t="str">
        <f ca="1">IFERROR(__xludf.DUMMYFUNCTION("""COMPUTED_VALUE"""),"व्यक्तित्व परिष्कार")</f>
        <v>व्यक्तित्व परिष्कार</v>
      </c>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f ca="1">IFERROR(__xludf.DUMMYFUNCTION("""COMPUTED_VALUE"""),1)</f>
        <v>1</v>
      </c>
      <c r="BX1147" s="1">
        <f ca="1">IFERROR(__xludf.DUMMYFUNCTION("""COMPUTED_VALUE"""),0)</f>
        <v>0</v>
      </c>
      <c r="BY1147" s="1">
        <f ca="1">IFERROR(__xludf.DUMMYFUNCTION("""COMPUTED_VALUE"""),1)</f>
        <v>1</v>
      </c>
      <c r="BZ1147" s="1">
        <f ca="1">IFERROR(__xludf.DUMMYFUNCTION("""COMPUTED_VALUE"""),0)</f>
        <v>0</v>
      </c>
      <c r="CA1147" s="1" t="str">
        <f ca="1">IFERROR(__xludf.DUMMYFUNCTION("""COMPUTED_VALUE"""),"Yes")</f>
        <v>Yes</v>
      </c>
      <c r="CB1147" s="5">
        <f ca="1">IFERROR(__xludf.DUMMYFUNCTION("""COMPUTED_VALUE"""),44974.8973789699)</f>
        <v>44974.897378969901</v>
      </c>
      <c r="CC1147" s="1" t="str">
        <f ca="1">IFERROR(__xludf.DUMMYFUNCTION("""COMPUTED_VALUE"""),"अपने को पहचानें : H_PP_25")</f>
        <v>अपने को पहचानें : H_PP_25</v>
      </c>
      <c r="CD1147" s="3" t="str">
        <f ca="1">IFERROR(__xludf.DUMMYFUNCTION("""COMPUTED_VALUE"""),"https://vicharkrantibooks.org/productdetail?book_name=HINP0066_APANE_KO_PAHACHANE_xxyyyy&amp;product_id=631#nav-details")</f>
        <v>https://vicharkrantibooks.org/productdetail?book_name=HINP0066_APANE_KO_PAHACHANE_xxyyyy&amp;product_id=631#nav-details</v>
      </c>
      <c r="CE1147" s="1" t="str">
        <f ca="1">IFERROR(__xludf.DUMMYFUNCTION("""COMPUTED_VALUE"""),"Audiobook : अपने को पहचानें : H_PP_25 : fca.amita@gmail.com : Recorded")</f>
        <v>Audiobook : अपने को पहचानें : H_PP_25 : fca.amita@gmail.com : Recorded</v>
      </c>
      <c r="CF1147" s="1" t="str">
        <f ca="1">IFERROR(__xludf.DUMMYFUNCTION("""COMPUTED_VALUE"""),"#N/A")</f>
        <v>#N/A</v>
      </c>
      <c r="CG1147" s="1" t="str">
        <f ca="1">IFERROR(__xludf.DUMMYFUNCTION("""COMPUTED_VALUE"""),"Adarniya Amita Panchamlal Jaiswal  ji अपने को पहचानें : H_PP_25 : Allocated on 07-Feb-23 Contact Number  9870921503")</f>
        <v>Adarniya Amita Panchamlal Jaiswal  ji अपने को पहचानें : H_PP_25 : Allocated on 07-Feb-23 Contact Number  9870921503</v>
      </c>
      <c r="CH1147" s="1"/>
      <c r="CI1147" s="1"/>
    </row>
    <row r="1148" spans="1:87" x14ac:dyDescent="0.25">
      <c r="A1148" s="5">
        <f ca="1">IFERROR(__xludf.DUMMYFUNCTION("""COMPUTED_VALUE"""),44964.338667743)</f>
        <v>44964.338667743003</v>
      </c>
      <c r="B1148" s="1" t="str">
        <f ca="1">IFERROR(__xludf.DUMMYFUNCTION("""COMPUTED_VALUE"""),"samidhachhr@gmail.com")</f>
        <v>samidhachhr@gmail.com</v>
      </c>
      <c r="C1148" s="1" t="str">
        <f ca="1">IFERROR(__xludf.DUMMYFUNCTION("""COMPUTED_VALUE"""),"Samidha Kendurkar ")</f>
        <v xml:space="preserve">Samidha Kendurkar </v>
      </c>
      <c r="D1148" s="1" t="str">
        <f ca="1">IFERROR(__xludf.DUMMYFUNCTION("""COMPUTED_VALUE"""),"+919977227429")</f>
        <v>+919977227429</v>
      </c>
      <c r="E1148" s="1" t="str">
        <f ca="1">IFERROR(__xludf.DUMMYFUNCTION("""COMPUTED_VALUE"""),"Yes")</f>
        <v>Yes</v>
      </c>
      <c r="F1148" s="1" t="str">
        <f ca="1">IFERROR(__xludf.DUMMYFUNCTION("""COMPUTED_VALUE"""),"हिन्दी")</f>
        <v>हिन्दी</v>
      </c>
      <c r="G1148" s="1" t="str">
        <f ca="1">IFERROR(__xludf.DUMMYFUNCTION("""COMPUTED_VALUE"""),"व्यक्ति निर्माण, युवा/विद्यार्थी एवं शिक्षक")</f>
        <v>व्यक्ति निर्माण, युवा/विद्यार्थी एवं शिक्षक</v>
      </c>
      <c r="H1148" s="1"/>
      <c r="I1148" s="1"/>
      <c r="J1148" s="1"/>
      <c r="K1148" s="1"/>
      <c r="L1148" s="1"/>
      <c r="M1148" s="1"/>
      <c r="N1148" s="1"/>
      <c r="O1148" s="1"/>
      <c r="P1148" s="1"/>
      <c r="Q1148" s="1"/>
      <c r="R1148" s="1"/>
      <c r="S1148" s="1"/>
      <c r="T1148" s="1" t="str">
        <f ca="1">IFERROR(__xludf.DUMMYFUNCTION("""COMPUTED_VALUE"""),"युवा जागृति")</f>
        <v>युवा जागृति</v>
      </c>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f ca="1">IFERROR(__xludf.DUMMYFUNCTION("""COMPUTED_VALUE"""),7)</f>
        <v>7</v>
      </c>
      <c r="BX1148" s="1">
        <f ca="1">IFERROR(__xludf.DUMMYFUNCTION("""COMPUTED_VALUE"""),6)</f>
        <v>6</v>
      </c>
      <c r="BY1148" s="1">
        <f ca="1">IFERROR(__xludf.DUMMYFUNCTION("""COMPUTED_VALUE"""),4)</f>
        <v>4</v>
      </c>
      <c r="BZ1148" s="1">
        <f ca="1">IFERROR(__xludf.DUMMYFUNCTION("""COMPUTED_VALUE"""),3)</f>
        <v>3</v>
      </c>
      <c r="CA1148" s="1" t="str">
        <f ca="1">IFERROR(__xludf.DUMMYFUNCTION("""COMPUTED_VALUE"""),"Yes")</f>
        <v>Yes</v>
      </c>
      <c r="CB1148" s="5">
        <f ca="1">IFERROR(__xludf.DUMMYFUNCTION("""COMPUTED_VALUE"""),44974.338667743)</f>
        <v>44974.338667743003</v>
      </c>
      <c r="CC1148" s="1" t="str">
        <f ca="1">IFERROR(__xludf.DUMMYFUNCTION("""COMPUTED_VALUE"""),"अपने आप पर भरोसा करें : Rare Book")</f>
        <v>अपने आप पर भरोसा करें : Rare Book</v>
      </c>
      <c r="CD1148" s="3" t="str">
        <f ca="1">IFERROR(__xludf.DUMMYFUNCTION("""COMPUTED_VALUE"""),"https://vicharkrantibooks.org/productdetail?book_name=HINP0060_APANE_AP_PAR_BHAROSA_KAREN_xx1978&amp;product_id=625")</f>
        <v>https://vicharkrantibooks.org/productdetail?book_name=HINP0060_APANE_AP_PAR_BHAROSA_KAREN_xx1978&amp;product_id=625</v>
      </c>
      <c r="CE1148" s="1" t="str">
        <f ca="1">IFERROR(__xludf.DUMMYFUNCTION("""COMPUTED_VALUE"""),"Audiobook : अपने आप पर भरोसा करें : Rare Book : samidhachhr@gmail.com : Recorded")</f>
        <v>Audiobook : अपने आप पर भरोसा करें : Rare Book : samidhachhr@gmail.com : Recorded</v>
      </c>
      <c r="CF1148" s="1" t="str">
        <f ca="1">IFERROR(__xludf.DUMMYFUNCTION("""COMPUTED_VALUE"""),"Audiobook : अपने आप पर भरोसा करें : Rare Book : samidhachhr@gmail.com : Recorded")</f>
        <v>Audiobook : अपने आप पर भरोसा करें : Rare Book : samidhachhr@gmail.com : Recorded</v>
      </c>
      <c r="CG1148" s="1" t="str">
        <f ca="1">IFERROR(__xludf.DUMMYFUNCTION("""COMPUTED_VALUE"""),"Adarniya Samidha Kendurkar  ji अपने आप पर भरोसा करें : Rare Book : Allocated on 07-Feb-23 Contact Number  +919977227429")</f>
        <v>Adarniya Samidha Kendurkar  ji अपने आप पर भरोसा करें : Rare Book : Allocated on 07-Feb-23 Contact Number  +919977227429</v>
      </c>
      <c r="CH1148" s="1"/>
      <c r="CI1148" s="1"/>
    </row>
    <row r="1149" spans="1:87" x14ac:dyDescent="0.25">
      <c r="A1149" s="5">
        <f ca="1">IFERROR(__xludf.DUMMYFUNCTION("""COMPUTED_VALUE"""),44963.8911191435)</f>
        <v>44963.891119143504</v>
      </c>
      <c r="B1149" s="1" t="str">
        <f ca="1">IFERROR(__xludf.DUMMYFUNCTION("""COMPUTED_VALUE"""),"spmittalmumbai@gmail.com")</f>
        <v>spmittalmumbai@gmail.com</v>
      </c>
      <c r="C1149" s="1" t="str">
        <f ca="1">IFERROR(__xludf.DUMMYFUNCTION("""COMPUTED_VALUE"""),"S.P.Mittal")</f>
        <v>S.P.Mittal</v>
      </c>
      <c r="D1149" s="1">
        <f ca="1">IFERROR(__xludf.DUMMYFUNCTION("""COMPUTED_VALUE"""),7045537099)</f>
        <v>7045537099</v>
      </c>
      <c r="E1149" s="1" t="str">
        <f ca="1">IFERROR(__xludf.DUMMYFUNCTION("""COMPUTED_VALUE"""),"Yes")</f>
        <v>Yes</v>
      </c>
      <c r="F1149" s="1" t="str">
        <f ca="1">IFERROR(__xludf.DUMMYFUNCTION("""COMPUTED_VALUE"""),"हिन्दी")</f>
        <v>हिन्दी</v>
      </c>
      <c r="G1149" s="1" t="str">
        <f ca="1">IFERROR(__xludf.DUMMYFUNCTION("""COMPUTED_VALUE"""),"जीवन प्रबंध")</f>
        <v>जीवन प्रबंध</v>
      </c>
      <c r="H1149" s="1"/>
      <c r="I1149" s="1"/>
      <c r="J1149" s="1"/>
      <c r="K1149" s="1"/>
      <c r="L1149" s="1" t="str">
        <f ca="1">IFERROR(__xludf.DUMMYFUNCTION("""COMPUTED_VALUE"""),"जीवन साधना")</f>
        <v>जीवन साधना</v>
      </c>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f ca="1">IFERROR(__xludf.DUMMYFUNCTION("""COMPUTED_VALUE"""),39)</f>
        <v>39</v>
      </c>
      <c r="BX1149" s="1">
        <f ca="1">IFERROR(__xludf.DUMMYFUNCTION("""COMPUTED_VALUE"""),32)</f>
        <v>32</v>
      </c>
      <c r="BY1149" s="1">
        <f ca="1">IFERROR(__xludf.DUMMYFUNCTION("""COMPUTED_VALUE"""),11)</f>
        <v>11</v>
      </c>
      <c r="BZ1149" s="1">
        <f ca="1">IFERROR(__xludf.DUMMYFUNCTION("""COMPUTED_VALUE"""),23)</f>
        <v>23</v>
      </c>
      <c r="CA1149" s="1" t="str">
        <f ca="1">IFERROR(__xludf.DUMMYFUNCTION("""COMPUTED_VALUE"""),"Yes")</f>
        <v>Yes</v>
      </c>
      <c r="CB1149" s="5">
        <f ca="1">IFERROR(__xludf.DUMMYFUNCTION("""COMPUTED_VALUE"""),44973.8911191435)</f>
        <v>44973.891119143504</v>
      </c>
      <c r="CC1149" s="1" t="str">
        <f ca="1">IFERROR(__xludf.DUMMYFUNCTION("""COMPUTED_VALUE"""),"ऋषि चिंतन के सान्निध्य में ०३ (पोकेट) : H_SJ_28_3")</f>
        <v>ऋषि चिंतन के सान्निध्य में ०३ (पोकेट) : H_SJ_28_3</v>
      </c>
      <c r="CD1149" s="3" t="str">
        <f ca="1">IFERROR(__xludf.DUMMYFUNCTION("""COMPUTED_VALUE"""),"https://vicharkrantibooks.org/productdetail?book_name=HINP0714_RUSHI_CHINTAN_KE_SANIDHYA_MEIN_03_(POCKET)_xxyyyy&amp;product_id=1279")</f>
        <v>https://vicharkrantibooks.org/productdetail?book_name=HINP0714_RUSHI_CHINTAN_KE_SANIDHYA_MEIN_03_(POCKET)_xxyyyy&amp;product_id=1279</v>
      </c>
      <c r="CE1149" s="1" t="str">
        <f ca="1">IFERROR(__xludf.DUMMYFUNCTION("""COMPUTED_VALUE"""),"Audiobook : ऋषि चिंतन के सान्निध्य में ०३ (पोकेट) : H_SJ_28_3 : spmittalmumbai@gmail.com : Recorded")</f>
        <v>Audiobook : ऋषि चिंतन के सान्निध्य में ०३ (पोकेट) : H_SJ_28_3 : spmittalmumbai@gmail.com : Recorded</v>
      </c>
      <c r="CF1149" s="1" t="str">
        <f ca="1">IFERROR(__xludf.DUMMYFUNCTION("""COMPUTED_VALUE"""),"Audiobook : ऋषि चिंतन के सान्निध्य में ०३ (पोकेट) : H_SJ_28_3 : spmittalmumbai@gmail.com : Recorded")</f>
        <v>Audiobook : ऋषि चिंतन के सान्निध्य में ०३ (पोकेट) : H_SJ_28_3 : spmittalmumbai@gmail.com : Recorded</v>
      </c>
      <c r="CG1149" s="1" t="str">
        <f ca="1">IFERROR(__xludf.DUMMYFUNCTION("""COMPUTED_VALUE"""),"Adarniya S.P.Mittal ji ऋषि चिंतन के सान्निध्य में ०३ (पोकेट) : H_SJ_28_3 : Allocated on 06-Feb-23 Contact Number  7045537099")</f>
        <v>Adarniya S.P.Mittal ji ऋषि चिंतन के सान्निध्य में ०३ (पोकेट) : H_SJ_28_3 : Allocated on 06-Feb-23 Contact Number  7045537099</v>
      </c>
      <c r="CH1149" s="1"/>
      <c r="CI1149" s="1"/>
    </row>
    <row r="1150" spans="1:87" x14ac:dyDescent="0.25">
      <c r="A1150" s="5">
        <f ca="1">IFERROR(__xludf.DUMMYFUNCTION("""COMPUTED_VALUE"""),44963.8903024305)</f>
        <v>44963.890302430496</v>
      </c>
      <c r="B1150" s="1" t="str">
        <f ca="1">IFERROR(__xludf.DUMMYFUNCTION("""COMPUTED_VALUE"""),"sbdswati@gmail.com")</f>
        <v>sbdswati@gmail.com</v>
      </c>
      <c r="C1150" s="1" t="str">
        <f ca="1">IFERROR(__xludf.DUMMYFUNCTION("""COMPUTED_VALUE"""),"Swati Srivastava ")</f>
        <v xml:space="preserve">Swati Srivastava </v>
      </c>
      <c r="D1150" s="1">
        <f ca="1">IFERROR(__xludf.DUMMYFUNCTION("""COMPUTED_VALUE"""),6397862188)</f>
        <v>6397862188</v>
      </c>
      <c r="E1150" s="1" t="str">
        <f ca="1">IFERROR(__xludf.DUMMYFUNCTION("""COMPUTED_VALUE"""),"Yes")</f>
        <v>Yes</v>
      </c>
      <c r="F1150" s="1" t="str">
        <f ca="1">IFERROR(__xludf.DUMMYFUNCTION("""COMPUTED_VALUE"""),"हिन्दी")</f>
        <v>हिन्दी</v>
      </c>
      <c r="G1150" s="1" t="str">
        <f ca="1">IFERROR(__xludf.DUMMYFUNCTION("""COMPUTED_VALUE"""),"व्यक्ति निर्माण, युवा/विद्यार्थी एवं शिक्षक")</f>
        <v>व्यक्ति निर्माण, युवा/विद्यार्थी एवं शिक्षक</v>
      </c>
      <c r="H1150" s="1"/>
      <c r="I1150" s="1"/>
      <c r="J1150" s="1"/>
      <c r="K1150" s="1"/>
      <c r="L1150" s="1"/>
      <c r="M1150" s="1"/>
      <c r="N1150" s="1"/>
      <c r="O1150" s="1"/>
      <c r="P1150" s="1"/>
      <c r="Q1150" s="1"/>
      <c r="R1150" s="1"/>
      <c r="S1150" s="1"/>
      <c r="T1150" s="1" t="str">
        <f ca="1">IFERROR(__xludf.DUMMYFUNCTION("""COMPUTED_VALUE"""),"विद्यार्थी एवं शिक्षक")</f>
        <v>विद्यार्थी एवं शिक्षक</v>
      </c>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f ca="1">IFERROR(__xludf.DUMMYFUNCTION("""COMPUTED_VALUE"""),10)</f>
        <v>10</v>
      </c>
      <c r="BX1150" s="1">
        <f ca="1">IFERROR(__xludf.DUMMYFUNCTION("""COMPUTED_VALUE"""),12)</f>
        <v>12</v>
      </c>
      <c r="BY1150" s="1">
        <f ca="1">IFERROR(__xludf.DUMMYFUNCTION("""COMPUTED_VALUE"""),2)</f>
        <v>2</v>
      </c>
      <c r="BZ1150" s="1">
        <f ca="1">IFERROR(__xludf.DUMMYFUNCTION("""COMPUTED_VALUE"""),1)</f>
        <v>1</v>
      </c>
      <c r="CA1150" s="1" t="str">
        <f ca="1">IFERROR(__xludf.DUMMYFUNCTION("""COMPUTED_VALUE"""),"Yes")</f>
        <v>Yes</v>
      </c>
      <c r="CB1150" s="5">
        <f ca="1">IFERROR(__xludf.DUMMYFUNCTION("""COMPUTED_VALUE"""),44973.8903024305)</f>
        <v>44973.890302430496</v>
      </c>
      <c r="CC1150" s="1" t="str">
        <f ca="1">IFERROR(__xludf.DUMMYFUNCTION("""COMPUTED_VALUE"""),"अपनी गरिमा और क्षमता को भूलें नहीं : Rare Book")</f>
        <v>अपनी गरिमा और क्षमता को भूलें नहीं : Rare Book</v>
      </c>
      <c r="CD1150" s="3" t="str">
        <f ca="1">IFERROR(__xludf.DUMMYFUNCTION("""COMPUTED_VALUE"""),"https://vicharkrantibooks.org/productdetail?book_name=HINP0068_APANI_GARIMA_AUR_KSHAMATA_KO_BHULEN_NAHI_xx1981&amp;product_id=633")</f>
        <v>https://vicharkrantibooks.org/productdetail?book_name=HINP0068_APANI_GARIMA_AUR_KSHAMATA_KO_BHULEN_NAHI_xx1981&amp;product_id=633</v>
      </c>
      <c r="CE1150" s="1" t="str">
        <f ca="1">IFERROR(__xludf.DUMMYFUNCTION("""COMPUTED_VALUE"""),"Audiobook : अपनी गरिमा और क्षमता को भूलें नहीं : Rare Book : sbdswati@gmail.com : Recorded")</f>
        <v>Audiobook : अपनी गरिमा और क्षमता को भूलें नहीं : Rare Book : sbdswati@gmail.com : Recorded</v>
      </c>
      <c r="CF1150" s="1" t="str">
        <f ca="1">IFERROR(__xludf.DUMMYFUNCTION("""COMPUTED_VALUE"""),"Audiobook : अपनी गरिमा और क्षमता को भूलें नहीं : Rare Book : sbdswati@gmail.com : Recorded")</f>
        <v>Audiobook : अपनी गरिमा और क्षमता को भूलें नहीं : Rare Book : sbdswati@gmail.com : Recorded</v>
      </c>
      <c r="CG1150" s="1" t="str">
        <f ca="1">IFERROR(__xludf.DUMMYFUNCTION("""COMPUTED_VALUE"""),"Adarniya Swati Srivastava  ji अपनी गरिमा और क्षमता को भूलें नहीं : Rare Book : Allocated on 06-Feb-23 Contact Number  6397862188")</f>
        <v>Adarniya Swati Srivastava  ji अपनी गरिमा और क्षमता को भूलें नहीं : Rare Book : Allocated on 06-Feb-23 Contact Number  6397862188</v>
      </c>
      <c r="CH1150" s="1"/>
      <c r="CI1150" s="1"/>
    </row>
    <row r="1151" spans="1:87" x14ac:dyDescent="0.25">
      <c r="A1151" s="5">
        <f ca="1">IFERROR(__xludf.DUMMYFUNCTION("""COMPUTED_VALUE"""),44963.6590471759)</f>
        <v>44963.659047175897</v>
      </c>
      <c r="B1151" s="1" t="str">
        <f ca="1">IFERROR(__xludf.DUMMYFUNCTION("""COMPUTED_VALUE"""),"mamta.patel1920@gmail.com")</f>
        <v>mamta.patel1920@gmail.com</v>
      </c>
      <c r="C1151" s="1" t="str">
        <f ca="1">IFERROR(__xludf.DUMMYFUNCTION("""COMPUTED_VALUE"""),"Mamta patel")</f>
        <v>Mamta patel</v>
      </c>
      <c r="D1151" s="1">
        <f ca="1">IFERROR(__xludf.DUMMYFUNCTION("""COMPUTED_VALUE"""),9429914610)</f>
        <v>9429914610</v>
      </c>
      <c r="E1151" s="1" t="str">
        <f ca="1">IFERROR(__xludf.DUMMYFUNCTION("""COMPUTED_VALUE"""),"No")</f>
        <v>No</v>
      </c>
      <c r="F1151" s="1" t="str">
        <f ca="1">IFERROR(__xludf.DUMMYFUNCTION("""COMPUTED_VALUE"""),"हिन्दी")</f>
        <v>हिन्दी</v>
      </c>
      <c r="G1151" s="1" t="str">
        <f ca="1">IFERROR(__xludf.DUMMYFUNCTION("""COMPUTED_VALUE"""),"समग्र स्वास्थ्य")</f>
        <v>समग्र स्वास्थ्य</v>
      </c>
      <c r="H1151" s="1"/>
      <c r="I1151" s="1"/>
      <c r="J1151" s="1"/>
      <c r="K1151" s="1"/>
      <c r="L1151" s="1"/>
      <c r="M1151" s="1"/>
      <c r="N1151" s="1"/>
      <c r="O1151" s="1"/>
      <c r="P1151" s="1"/>
      <c r="Q1151" s="1"/>
      <c r="R1151" s="1"/>
      <c r="S1151" s="1"/>
      <c r="T1151" s="1"/>
      <c r="U1151" s="1" t="str">
        <f ca="1">IFERROR(__xludf.DUMMYFUNCTION("""COMPUTED_VALUE"""),"आहार-विहार एवं उपवास")</f>
        <v>आहार-विहार एवं उपवास</v>
      </c>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f ca="1">IFERROR(__xludf.DUMMYFUNCTION("""COMPUTED_VALUE"""),2)</f>
        <v>2</v>
      </c>
      <c r="BX1151" s="1">
        <f ca="1">IFERROR(__xludf.DUMMYFUNCTION("""COMPUTED_VALUE"""),2)</f>
        <v>2</v>
      </c>
      <c r="BY1151" s="1">
        <f ca="1">IFERROR(__xludf.DUMMYFUNCTION("""COMPUTED_VALUE"""),1)</f>
        <v>1</v>
      </c>
      <c r="BZ1151" s="1">
        <f ca="1">IFERROR(__xludf.DUMMYFUNCTION("""COMPUTED_VALUE"""),0)</f>
        <v>0</v>
      </c>
      <c r="CA1151" s="1" t="str">
        <f ca="1">IFERROR(__xludf.DUMMYFUNCTION("""COMPUTED_VALUE"""),"Yes")</f>
        <v>Yes</v>
      </c>
      <c r="CB1151" s="5">
        <f ca="1">IFERROR(__xludf.DUMMYFUNCTION("""COMPUTED_VALUE"""),44973.6590471759)</f>
        <v>44973.659047175897</v>
      </c>
      <c r="CC1151" s="1" t="str">
        <f ca="1">IFERROR(__xludf.DUMMYFUNCTION("""COMPUTED_VALUE"""),"काया की आंतरिक संरचना : Rare Book")</f>
        <v>काया की आंतरिक संरचना : Rare Book</v>
      </c>
      <c r="CD1151" s="3" t="str">
        <f ca="1">IFERROR(__xludf.DUMMYFUNCTION("""COMPUTED_VALUE"""),"https://vicharkrantibooks.org/productdetail?book_name=HINP0432_KAYA_KI_ANTARIK_SANRACHANA_xxyyyy&amp;product_id=997")</f>
        <v>https://vicharkrantibooks.org/productdetail?book_name=HINP0432_KAYA_KI_ANTARIK_SANRACHANA_xxyyyy&amp;product_id=997</v>
      </c>
      <c r="CE1151" s="1" t="str">
        <f ca="1">IFERROR(__xludf.DUMMYFUNCTION("""COMPUTED_VALUE"""),"Audiobook : काया की आंतरिक संरचना : Rare Book : mamta.patel1920@gmail.com : Recorded")</f>
        <v>Audiobook : काया की आंतरिक संरचना : Rare Book : mamta.patel1920@gmail.com : Recorded</v>
      </c>
      <c r="CF1151" s="1" t="str">
        <f ca="1">IFERROR(__xludf.DUMMYFUNCTION("""COMPUTED_VALUE"""),"#N/A")</f>
        <v>#N/A</v>
      </c>
      <c r="CG1151" s="1" t="str">
        <f ca="1">IFERROR(__xludf.DUMMYFUNCTION("""COMPUTED_VALUE"""),"Adarniya Mamta patel ji काया की आंतरिक संरचना : Rare Book : Allocated on 06-Feb-23 Contact Number  9429914610")</f>
        <v>Adarniya Mamta patel ji काया की आंतरिक संरचना : Rare Book : Allocated on 06-Feb-23 Contact Number  9429914610</v>
      </c>
      <c r="CH1151" s="1"/>
      <c r="CI1151" s="1"/>
    </row>
    <row r="1152" spans="1:87" x14ac:dyDescent="0.25">
      <c r="A1152" s="5">
        <f ca="1">IFERROR(__xludf.DUMMYFUNCTION("""COMPUTED_VALUE"""),44963.1833192939)</f>
        <v>44963.183319293901</v>
      </c>
      <c r="B1152" s="1" t="str">
        <f ca="1">IFERROR(__xludf.DUMMYFUNCTION("""COMPUTED_VALUE"""),"sanjayneha1@yahoo.com")</f>
        <v>sanjayneha1@yahoo.com</v>
      </c>
      <c r="C1152" s="1" t="str">
        <f ca="1">IFERROR(__xludf.DUMMYFUNCTION("""COMPUTED_VALUE"""),"Neha Manocha")</f>
        <v>Neha Manocha</v>
      </c>
      <c r="D1152" s="1">
        <f ca="1">IFERROR(__xludf.DUMMYFUNCTION("""COMPUTED_VALUE"""),16174130446)</f>
        <v>16174130446</v>
      </c>
      <c r="E1152" s="1" t="str">
        <f ca="1">IFERROR(__xludf.DUMMYFUNCTION("""COMPUTED_VALUE"""),"Yes")</f>
        <v>Yes</v>
      </c>
      <c r="F1152" s="1" t="str">
        <f ca="1">IFERROR(__xludf.DUMMYFUNCTION("""COMPUTED_VALUE"""),"हिन्दी or English")</f>
        <v>हिन्दी or English</v>
      </c>
      <c r="G1152" s="1" t="str">
        <f ca="1">IFERROR(__xludf.DUMMYFUNCTION("""COMPUTED_VALUE"""),"युग द्रष्टा पं. श्रीराम शर्मा आचार्यजी")</f>
        <v>युग द्रष्टा पं. श्रीराम शर्मा आचार्यजी</v>
      </c>
      <c r="H1152" s="1"/>
      <c r="I1152" s="1"/>
      <c r="J1152" s="1"/>
      <c r="K1152" s="1"/>
      <c r="L1152" s="1"/>
      <c r="M1152" s="1"/>
      <c r="N1152" s="1"/>
      <c r="O1152" s="1"/>
      <c r="P1152" s="1" t="str">
        <f ca="1">IFERROR(__xludf.DUMMYFUNCTION("""COMPUTED_VALUE"""),"युगॠषी का जीवनदर्शन")</f>
        <v>युगॠषी का जीवनदर्शन</v>
      </c>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f ca="1">IFERROR(__xludf.DUMMYFUNCTION("""COMPUTED_VALUE"""),33)</f>
        <v>33</v>
      </c>
      <c r="BX1152" s="1">
        <f ca="1">IFERROR(__xludf.DUMMYFUNCTION("""COMPUTED_VALUE"""),40)</f>
        <v>40</v>
      </c>
      <c r="BY1152" s="1">
        <f ca="1">IFERROR(__xludf.DUMMYFUNCTION("""COMPUTED_VALUE"""),3)</f>
        <v>3</v>
      </c>
      <c r="BZ1152" s="1">
        <f ca="1">IFERROR(__xludf.DUMMYFUNCTION("""COMPUTED_VALUE"""),22)</f>
        <v>22</v>
      </c>
      <c r="CA1152" s="1" t="str">
        <f ca="1">IFERROR(__xludf.DUMMYFUNCTION("""COMPUTED_VALUE"""),"Yes")</f>
        <v>Yes</v>
      </c>
      <c r="CB1152" s="5">
        <f ca="1">IFERROR(__xludf.DUMMYFUNCTION("""COMPUTED_VALUE"""),44973.1833192939)</f>
        <v>44973.183319293901</v>
      </c>
      <c r="CC1152" s="1" t="str">
        <f ca="1">IFERROR(__xludf.DUMMYFUNCTION("""COMPUTED_VALUE"""),"युग ऋषि की अमर वाणी भाग १ : Rare Book")</f>
        <v>युग ऋषि की अमर वाणी भाग १ : Rare Book</v>
      </c>
      <c r="CD1152" s="3" t="str">
        <f ca="1">IFERROR(__xludf.DUMMYFUNCTION("""COMPUTED_VALUE"""),"https://vicharkrantibooks.org/productdetail?book_name=HINP1059_YUG_RUSHI_KI_AMAR_VANI_BHAG_1_xxyyyy&amp;product_id=1624")</f>
        <v>https://vicharkrantibooks.org/productdetail?book_name=HINP1059_YUG_RUSHI_KI_AMAR_VANI_BHAG_1_xxyyyy&amp;product_id=1624</v>
      </c>
      <c r="CE1152" s="1" t="str">
        <f ca="1">IFERROR(__xludf.DUMMYFUNCTION("""COMPUTED_VALUE"""),"Audiobook : युग ऋषि की अमर वाणी भाग १ : Rare Book : sanjayneha1@yahoo.com : Recorded")</f>
        <v>Audiobook : युग ऋषि की अमर वाणी भाग १ : Rare Book : sanjayneha1@yahoo.com : Recorded</v>
      </c>
      <c r="CF1152" s="1" t="str">
        <f ca="1">IFERROR(__xludf.DUMMYFUNCTION("""COMPUTED_VALUE"""),"Audiobook : युग ऋषि की अमर वाणी भाग १ : Rare Book : sanjayneha1@yahoo.com : Recorded")</f>
        <v>Audiobook : युग ऋषि की अमर वाणी भाग १ : Rare Book : sanjayneha1@yahoo.com : Recorded</v>
      </c>
      <c r="CG1152" s="1" t="str">
        <f ca="1">IFERROR(__xludf.DUMMYFUNCTION("""COMPUTED_VALUE"""),"Adarniya Neha Manocha ji युग ऋषि की अमर वाणी भाग १ : Rare Book : Allocated on 06-Feb-23 Contact Number  16174130446")</f>
        <v>Adarniya Neha Manocha ji युग ऋषि की अमर वाणी भाग १ : Rare Book : Allocated on 06-Feb-23 Contact Number  16174130446</v>
      </c>
      <c r="CH1152" s="1"/>
      <c r="CI1152" s="1"/>
    </row>
    <row r="1153" spans="1:87" x14ac:dyDescent="0.25">
      <c r="A1153" s="5">
        <f ca="1">IFERROR(__xludf.DUMMYFUNCTION("""COMPUTED_VALUE"""),44962.8468299421)</f>
        <v>44962.8468299421</v>
      </c>
      <c r="B1153" s="1" t="str">
        <f ca="1">IFERROR(__xludf.DUMMYFUNCTION("""COMPUTED_VALUE"""),"hrikpradeep@gmail.com")</f>
        <v>hrikpradeep@gmail.com</v>
      </c>
      <c r="C1153" s="1" t="str">
        <f ca="1">IFERROR(__xludf.DUMMYFUNCTION("""COMPUTED_VALUE"""),"Pradeep Kumar Tiwari ")</f>
        <v xml:space="preserve">Pradeep Kumar Tiwari </v>
      </c>
      <c r="D1153" s="1">
        <f ca="1">IFERROR(__xludf.DUMMYFUNCTION("""COMPUTED_VALUE"""),6387600711)</f>
        <v>6387600711</v>
      </c>
      <c r="E1153" s="1" t="str">
        <f ca="1">IFERROR(__xludf.DUMMYFUNCTION("""COMPUTED_VALUE"""),"No")</f>
        <v>No</v>
      </c>
      <c r="F1153" s="1" t="str">
        <f ca="1">IFERROR(__xludf.DUMMYFUNCTION("""COMPUTED_VALUE"""),"हिन्दी")</f>
        <v>हिन्दी</v>
      </c>
      <c r="G1153" s="1" t="str">
        <f ca="1">IFERROR(__xludf.DUMMYFUNCTION("""COMPUTED_VALUE"""),"व्यक्ति निर्माण, युवा/विद्यार्थी एवं शिक्षक")</f>
        <v>व्यक्ति निर्माण, युवा/विद्यार्थी एवं शिक्षक</v>
      </c>
      <c r="H1153" s="1"/>
      <c r="I1153" s="1"/>
      <c r="J1153" s="1"/>
      <c r="K1153" s="1"/>
      <c r="L1153" s="1"/>
      <c r="M1153" s="1"/>
      <c r="N1153" s="1"/>
      <c r="O1153" s="1"/>
      <c r="P1153" s="1"/>
      <c r="Q1153" s="1"/>
      <c r="R1153" s="1"/>
      <c r="S1153" s="1"/>
      <c r="T1153" s="1" t="str">
        <f ca="1">IFERROR(__xludf.DUMMYFUNCTION("""COMPUTED_VALUE"""),"व्यक्तित्व परिष्कार")</f>
        <v>व्यक्तित्व परिष्कार</v>
      </c>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f ca="1">IFERROR(__xludf.DUMMYFUNCTION("""COMPUTED_VALUE"""),1)</f>
        <v>1</v>
      </c>
      <c r="BX1153" s="1">
        <f ca="1">IFERROR(__xludf.DUMMYFUNCTION("""COMPUTED_VALUE"""),0)</f>
        <v>0</v>
      </c>
      <c r="BY1153" s="1">
        <f ca="1">IFERROR(__xludf.DUMMYFUNCTION("""COMPUTED_VALUE"""),1)</f>
        <v>1</v>
      </c>
      <c r="BZ1153" s="1">
        <f ca="1">IFERROR(__xludf.DUMMYFUNCTION("""COMPUTED_VALUE"""),0)</f>
        <v>0</v>
      </c>
      <c r="CA1153" s="1" t="str">
        <f ca="1">IFERROR(__xludf.DUMMYFUNCTION("""COMPUTED_VALUE"""),"Yes")</f>
        <v>Yes</v>
      </c>
      <c r="CB1153" s="5">
        <f ca="1">IFERROR(__xludf.DUMMYFUNCTION("""COMPUTED_VALUE"""),44972.8468299421)</f>
        <v>44972.8468299421</v>
      </c>
      <c r="CC1153" s="1" t="str">
        <f ca="1">IFERROR(__xludf.DUMMYFUNCTION("""COMPUTED_VALUE"""),"अपना स्वर्ग, नरक हम स्वयं बनाते हैं : Rare Book")</f>
        <v>अपना स्वर्ग, नरक हम स्वयं बनाते हैं : Rare Book</v>
      </c>
      <c r="CD1153" s="3" t="str">
        <f ca="1">IFERROR(__xludf.DUMMYFUNCTION("""COMPUTED_VALUE"""),"https://vicharkrantibooks.org/productdetail?book_name=HINP0058_APANA_SWARG_NARAK_HUM_SVAYAM_BANATE_HAIN_xxyyyy&amp;product_id=623")</f>
        <v>https://vicharkrantibooks.org/productdetail?book_name=HINP0058_APANA_SWARG_NARAK_HUM_SVAYAM_BANATE_HAIN_xxyyyy&amp;product_id=623</v>
      </c>
      <c r="CE1153" s="1" t="str">
        <f ca="1">IFERROR(__xludf.DUMMYFUNCTION("""COMPUTED_VALUE"""),"Audiobook : अपना स्वर्ग, नरक हम स्वयं बनाते हैं : Rare Book : hrikpradeep@gmail.com : Recorded")</f>
        <v>Audiobook : अपना स्वर्ग, नरक हम स्वयं बनाते हैं : Rare Book : hrikpradeep@gmail.com : Recorded</v>
      </c>
      <c r="CF1153" s="1" t="str">
        <f ca="1">IFERROR(__xludf.DUMMYFUNCTION("""COMPUTED_VALUE"""),"#N/A")</f>
        <v>#N/A</v>
      </c>
      <c r="CG1153" s="1" t="str">
        <f ca="1">IFERROR(__xludf.DUMMYFUNCTION("""COMPUTED_VALUE"""),"Adarniya Pradeep Kumar Tiwari  ji अपना स्वर्ग, नरक हम स्वयं बनाते हैं : Rare Book : Allocated on 05-Feb-23 Contact Number  6387600711")</f>
        <v>Adarniya Pradeep Kumar Tiwari  ji अपना स्वर्ग, नरक हम स्वयं बनाते हैं : Rare Book : Allocated on 05-Feb-23 Contact Number  6387600711</v>
      </c>
      <c r="CH1153" s="1"/>
      <c r="CI1153" s="1"/>
    </row>
    <row r="1154" spans="1:87" x14ac:dyDescent="0.25">
      <c r="A1154" s="5">
        <f ca="1">IFERROR(__xludf.DUMMYFUNCTION("""COMPUTED_VALUE"""),44962.6995329861)</f>
        <v>44962.699532986102</v>
      </c>
      <c r="B1154" s="1" t="str">
        <f ca="1">IFERROR(__xludf.DUMMYFUNCTION("""COMPUTED_VALUE"""),"mailme.utkarsh@gmail.com")</f>
        <v>mailme.utkarsh@gmail.com</v>
      </c>
      <c r="C1154" s="1" t="str">
        <f ca="1">IFERROR(__xludf.DUMMYFUNCTION("""COMPUTED_VALUE"""),"Utkarsh kanojia")</f>
        <v>Utkarsh kanojia</v>
      </c>
      <c r="D1154" s="1">
        <f ca="1">IFERROR(__xludf.DUMMYFUNCTION("""COMPUTED_VALUE"""),9412906471)</f>
        <v>9412906471</v>
      </c>
      <c r="E1154" s="1" t="str">
        <f ca="1">IFERROR(__xludf.DUMMYFUNCTION("""COMPUTED_VALUE"""),"No")</f>
        <v>No</v>
      </c>
      <c r="F1154" s="1" t="str">
        <f ca="1">IFERROR(__xludf.DUMMYFUNCTION("""COMPUTED_VALUE"""),"हिन्दी")</f>
        <v>हिन्दी</v>
      </c>
      <c r="G1154" s="1" t="str">
        <f ca="1">IFERROR(__xludf.DUMMYFUNCTION("""COMPUTED_VALUE"""),"जीवन प्रबंध")</f>
        <v>जीवन प्रबंध</v>
      </c>
      <c r="H1154" s="1"/>
      <c r="I1154" s="1"/>
      <c r="J1154" s="1"/>
      <c r="K1154" s="1"/>
      <c r="L1154" s="1" t="str">
        <f ca="1">IFERROR(__xludf.DUMMYFUNCTION("""COMPUTED_VALUE"""),"मन की शक्ति एवं मनोविज्ञान")</f>
        <v>मन की शक्ति एवं मनोविज्ञान</v>
      </c>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f ca="1">IFERROR(__xludf.DUMMYFUNCTION("""COMPUTED_VALUE"""),1)</f>
        <v>1</v>
      </c>
      <c r="BX1154" s="1">
        <f ca="1">IFERROR(__xludf.DUMMYFUNCTION("""COMPUTED_VALUE"""),0)</f>
        <v>0</v>
      </c>
      <c r="BY1154" s="1">
        <f ca="1">IFERROR(__xludf.DUMMYFUNCTION("""COMPUTED_VALUE"""),1)</f>
        <v>1</v>
      </c>
      <c r="BZ1154" s="1">
        <f ca="1">IFERROR(__xludf.DUMMYFUNCTION("""COMPUTED_VALUE"""),0)</f>
        <v>0</v>
      </c>
      <c r="CA1154" s="1" t="str">
        <f ca="1">IFERROR(__xludf.DUMMYFUNCTION("""COMPUTED_VALUE"""),"Yes")</f>
        <v>Yes</v>
      </c>
      <c r="CB1154" s="5">
        <f ca="1">IFERROR(__xludf.DUMMYFUNCTION("""COMPUTED_VALUE"""),44972.6995329861)</f>
        <v>44972.699532986102</v>
      </c>
      <c r="CC1154" s="1" t="str">
        <f ca="1">IFERROR(__xludf.DUMMYFUNCTION("""COMPUTED_VALUE"""),"जीवन को उत्कृष्ट बनाओ : Rare Book")</f>
        <v>जीवन को उत्कृष्ट बनाओ : Rare Book</v>
      </c>
      <c r="CD1154" s="3" t="str">
        <f ca="1">IFERROR(__xludf.DUMMYFUNCTION("""COMPUTED_VALUE"""),"https://vicharkrantibooks.org/productdetail?book_name=HINP0390_JIVAN_KO_UTKRUSHT_BANAO_xxyyyy&amp;product_id=955")</f>
        <v>https://vicharkrantibooks.org/productdetail?book_name=HINP0390_JIVAN_KO_UTKRUSHT_BANAO_xxyyyy&amp;product_id=955</v>
      </c>
      <c r="CE1154" s="1" t="str">
        <f ca="1">IFERROR(__xludf.DUMMYFUNCTION("""COMPUTED_VALUE"""),"Audiobook : जीवन को उत्कृष्ट बनाओ : Rare Book : mailme.utkarsh@gmail.com : Recorded")</f>
        <v>Audiobook : जीवन को उत्कृष्ट बनाओ : Rare Book : mailme.utkarsh@gmail.com : Recorded</v>
      </c>
      <c r="CF1154" s="1" t="str">
        <f ca="1">IFERROR(__xludf.DUMMYFUNCTION("""COMPUTED_VALUE"""),"#N/A")</f>
        <v>#N/A</v>
      </c>
      <c r="CG1154" s="1" t="str">
        <f ca="1">IFERROR(__xludf.DUMMYFUNCTION("""COMPUTED_VALUE"""),"Adarniya Utkarsh kanojia ji जीवन को उत्कृष्ट बनाओ : Rare Book : Allocated on 05-Feb-23 Contact Number  9412906471")</f>
        <v>Adarniya Utkarsh kanojia ji जीवन को उत्कृष्ट बनाओ : Rare Book : Allocated on 05-Feb-23 Contact Number  9412906471</v>
      </c>
      <c r="CH1154" s="1"/>
      <c r="CI1154" s="1"/>
    </row>
    <row r="1155" spans="1:87" x14ac:dyDescent="0.25">
      <c r="A1155" s="5">
        <f ca="1">IFERROR(__xludf.DUMMYFUNCTION("""COMPUTED_VALUE"""),44961.5442817013)</f>
        <v>44961.544281701303</v>
      </c>
      <c r="B1155" s="1" t="str">
        <f ca="1">IFERROR(__xludf.DUMMYFUNCTION("""COMPUTED_VALUE"""),"druma4107@gmail.com")</f>
        <v>druma4107@gmail.com</v>
      </c>
      <c r="C1155" s="1" t="str">
        <f ca="1">IFERROR(__xludf.DUMMYFUNCTION("""COMPUTED_VALUE""")," Dr Uma Agrawal")</f>
        <v xml:space="preserve"> Dr Uma Agrawal</v>
      </c>
      <c r="D1155" s="1">
        <f ca="1">IFERROR(__xludf.DUMMYFUNCTION("""COMPUTED_VALUE"""),9410861182)</f>
        <v>9410861182</v>
      </c>
      <c r="E1155" s="1" t="str">
        <f ca="1">IFERROR(__xludf.DUMMYFUNCTION("""COMPUTED_VALUE"""),"Yes")</f>
        <v>Yes</v>
      </c>
      <c r="F1155" s="1" t="str">
        <f ca="1">IFERROR(__xludf.DUMMYFUNCTION("""COMPUTED_VALUE"""),"हिन्दी")</f>
        <v>हिन्दी</v>
      </c>
      <c r="G1155" s="1" t="str">
        <f ca="1">IFERROR(__xludf.DUMMYFUNCTION("""COMPUTED_VALUE"""),"अध्यात्म, धर्म एवं दर्शन")</f>
        <v>अध्यात्म, धर्म एवं दर्शन</v>
      </c>
      <c r="H1155" s="1" t="str">
        <f ca="1">IFERROR(__xludf.DUMMYFUNCTION("""COMPUTED_VALUE"""),"अध्यात्म, धर्म एवं आस्तिकता")</f>
        <v>अध्यात्म, धर्म एवं आस्तिकता</v>
      </c>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f ca="1">IFERROR(__xludf.DUMMYFUNCTION("""COMPUTED_VALUE"""),104)</f>
        <v>104</v>
      </c>
      <c r="BX1155" s="1">
        <f ca="1">IFERROR(__xludf.DUMMYFUNCTION("""COMPUTED_VALUE"""),106)</f>
        <v>106</v>
      </c>
      <c r="BY1155" s="1">
        <f ca="1">IFERROR(__xludf.DUMMYFUNCTION("""COMPUTED_VALUE"""),9)</f>
        <v>9</v>
      </c>
      <c r="BZ1155" s="1">
        <f ca="1">IFERROR(__xludf.DUMMYFUNCTION("""COMPUTED_VALUE"""),43)</f>
        <v>43</v>
      </c>
      <c r="CA1155" s="1" t="str">
        <f ca="1">IFERROR(__xludf.DUMMYFUNCTION("""COMPUTED_VALUE"""),"Yes")</f>
        <v>Yes</v>
      </c>
      <c r="CB1155" s="5">
        <f ca="1">IFERROR(__xludf.DUMMYFUNCTION("""COMPUTED_VALUE"""),44971.5442817013)</f>
        <v>44971.544281701303</v>
      </c>
      <c r="CC1155" s="1" t="str">
        <f ca="1">IFERROR(__xludf.DUMMYFUNCTION("""COMPUTED_VALUE"""),"आध्यात्मिक जीवन के पाँच कदम : Rare Book")</f>
        <v>आध्यात्मिक जीवन के पाँच कदम : Rare Book</v>
      </c>
      <c r="CD1155" s="3" t="str">
        <f ca="1">IFERROR(__xludf.DUMMYFUNCTION("""COMPUTED_VALUE"""),"https://vicharkrantibooks.org/productdetail?book_name=HINP0021_ADHYATMIK_JIVAN_KE_PANCH_KADAM_xxyyyy&amp;product_id=586")</f>
        <v>https://vicharkrantibooks.org/productdetail?book_name=HINP0021_ADHYATMIK_JIVAN_KE_PANCH_KADAM_xxyyyy&amp;product_id=586</v>
      </c>
      <c r="CE1155" s="1" t="str">
        <f ca="1">IFERROR(__xludf.DUMMYFUNCTION("""COMPUTED_VALUE"""),"Audiobook : आध्यात्मिक जीवन के पाँच कदम : Rare Book : druma4107@gmail.com : Recorded")</f>
        <v>Audiobook : आध्यात्मिक जीवन के पाँच कदम : Rare Book : druma4107@gmail.com : Recorded</v>
      </c>
      <c r="CF1155" s="1" t="str">
        <f ca="1">IFERROR(__xludf.DUMMYFUNCTION("""COMPUTED_VALUE"""),"Audiobook : आध्यात्मिक जीवन के पाँच कदम : Rare Book : druma4107@gmail.com : Recorded")</f>
        <v>Audiobook : आध्यात्मिक जीवन के पाँच कदम : Rare Book : druma4107@gmail.com : Recorded</v>
      </c>
      <c r="CG1155" s="1" t="str">
        <f ca="1">IFERROR(__xludf.DUMMYFUNCTION("""COMPUTED_VALUE"""),"Adarniya  Dr Uma Agrawal ji आध्यात्मिक जीवन के पाँच कदम : Rare Book : Allocated on 04-Feb-23 Contact Number  9410861182")</f>
        <v>Adarniya  Dr Uma Agrawal ji आध्यात्मिक जीवन के पाँच कदम : Rare Book : Allocated on 04-Feb-23 Contact Number  9410861182</v>
      </c>
      <c r="CH1155" s="1"/>
      <c r="CI1155" s="1"/>
    </row>
    <row r="1156" spans="1:87" x14ac:dyDescent="0.25">
      <c r="A1156" s="5">
        <f ca="1">IFERROR(__xludf.DUMMYFUNCTION("""COMPUTED_VALUE"""),44959.9519336111)</f>
        <v>44959.951933611097</v>
      </c>
      <c r="B1156" s="1" t="str">
        <f ca="1">IFERROR(__xludf.DUMMYFUNCTION("""COMPUTED_VALUE"""),"binitathakur1005@gmail.com")</f>
        <v>binitathakur1005@gmail.com</v>
      </c>
      <c r="C1156" s="1" t="str">
        <f ca="1">IFERROR(__xludf.DUMMYFUNCTION("""COMPUTED_VALUE"""),"Binitathakur ")</f>
        <v xml:space="preserve">Binitathakur </v>
      </c>
      <c r="D1156" s="1">
        <f ca="1">IFERROR(__xludf.DUMMYFUNCTION("""COMPUTED_VALUE"""),9939304105)</f>
        <v>9939304105</v>
      </c>
      <c r="E1156" s="1" t="str">
        <f ca="1">IFERROR(__xludf.DUMMYFUNCTION("""COMPUTED_VALUE"""),"Yes")</f>
        <v>Yes</v>
      </c>
      <c r="F1156" s="1" t="str">
        <f ca="1">IFERROR(__xludf.DUMMYFUNCTION("""COMPUTED_VALUE"""),"हिन्दी")</f>
        <v>हिन्दी</v>
      </c>
      <c r="G1156" s="1" t="str">
        <f ca="1">IFERROR(__xludf.DUMMYFUNCTION("""COMPUTED_VALUE"""),"संस्कार, कर्मकाण्ड, पाठ, पूजा, गीत-संगीत")</f>
        <v>संस्कार, कर्मकाण्ड, पाठ, पूजा, गीत-संगीत</v>
      </c>
      <c r="H1156" s="1"/>
      <c r="I1156" s="1"/>
      <c r="J1156" s="1"/>
      <c r="K1156" s="1"/>
      <c r="L1156" s="1"/>
      <c r="M1156" s="1"/>
      <c r="N1156" s="1"/>
      <c r="O1156" s="1"/>
      <c r="P1156" s="1"/>
      <c r="Q1156" s="1"/>
      <c r="R1156" s="1"/>
      <c r="S1156" s="1"/>
      <c r="T1156" s="1"/>
      <c r="U1156" s="1"/>
      <c r="V1156" s="1"/>
      <c r="W1156" s="1" t="str">
        <f ca="1">IFERROR(__xludf.DUMMYFUNCTION("""COMPUTED_VALUE"""),"पर्व-त्यौहार, कर्मकाण्ड")</f>
        <v>पर्व-त्यौहार, कर्मकाण्ड</v>
      </c>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t="str">
        <f ca="1">IFERROR(__xludf.DUMMYFUNCTION("""COMPUTED_VALUE"""),"कर्मकांड में छिपा व्यक्तित्व निर्माण का शिक्षण")</f>
        <v>कर्मकांड में छिपा व्यक्तित्व निर्माण का शिक्षण</v>
      </c>
      <c r="BH1156" s="1"/>
      <c r="BI1156" s="1"/>
      <c r="BJ1156" s="1"/>
      <c r="BK1156" s="1"/>
      <c r="BL1156" s="1"/>
      <c r="BM1156" s="1"/>
      <c r="BN1156" s="1"/>
      <c r="BO1156" s="1"/>
      <c r="BP1156" s="1"/>
      <c r="BQ1156" s="1"/>
      <c r="BR1156" s="1"/>
      <c r="BS1156" s="1"/>
      <c r="BT1156" s="1"/>
      <c r="BU1156" s="1"/>
      <c r="BV1156" s="1"/>
      <c r="BW1156" s="1">
        <f ca="1">IFERROR(__xludf.DUMMYFUNCTION("""COMPUTED_VALUE"""),5)</f>
        <v>5</v>
      </c>
      <c r="BX1156" s="1">
        <f ca="1">IFERROR(__xludf.DUMMYFUNCTION("""COMPUTED_VALUE"""),3)</f>
        <v>3</v>
      </c>
      <c r="BY1156" s="1">
        <f ca="1">IFERROR(__xludf.DUMMYFUNCTION("""COMPUTED_VALUE"""),1)</f>
        <v>1</v>
      </c>
      <c r="BZ1156" s="1">
        <f ca="1">IFERROR(__xludf.DUMMYFUNCTION("""COMPUTED_VALUE"""),1)</f>
        <v>1</v>
      </c>
      <c r="CA1156" s="1" t="str">
        <f ca="1">IFERROR(__xludf.DUMMYFUNCTION("""COMPUTED_VALUE"""),"Yes")</f>
        <v>Yes</v>
      </c>
      <c r="CB1156" s="5">
        <f ca="1">IFERROR(__xludf.DUMMYFUNCTION("""COMPUTED_VALUE"""),44969.9519336111)</f>
        <v>44969.951933611097</v>
      </c>
      <c r="CC1156" s="1" t="str">
        <f ca="1">IFERROR(__xludf.DUMMYFUNCTION("""COMPUTED_VALUE"""),"प्रतिक पूजा का वैज्ञानिक आधार : H_JS_51")</f>
        <v>प्रतिक पूजा का वैज्ञानिक आधार : H_JS_51</v>
      </c>
      <c r="CD1156" s="3" t="str">
        <f ca="1">IFERROR(__xludf.DUMMYFUNCTION("""COMPUTED_VALUE"""),"https://vicharkrantibooks.org/productdetail?book_name=HINP0680_PRATIK_PUJA_KA_VAIGYANIK_ADHAR_xx2011&amp;product_id=1245")</f>
        <v>https://vicharkrantibooks.org/productdetail?book_name=HINP0680_PRATIK_PUJA_KA_VAIGYANIK_ADHAR_xx2011&amp;product_id=1245</v>
      </c>
      <c r="CE1156" s="1" t="str">
        <f ca="1">IFERROR(__xludf.DUMMYFUNCTION("""COMPUTED_VALUE"""),"Audiobook : प्रतिक पूजा का वैज्ञानिक आधार : H_JS_51 : binitathakur1005@gmail.com : Recorded")</f>
        <v>Audiobook : प्रतिक पूजा का वैज्ञानिक आधार : H_JS_51 : binitathakur1005@gmail.com : Recorded</v>
      </c>
      <c r="CF1156" s="1" t="str">
        <f ca="1">IFERROR(__xludf.DUMMYFUNCTION("""COMPUTED_VALUE"""),"#N/A")</f>
        <v>#N/A</v>
      </c>
      <c r="CG1156" s="1" t="str">
        <f ca="1">IFERROR(__xludf.DUMMYFUNCTION("""COMPUTED_VALUE"""),"Adarniya Binitathakur  ji प्रतिक पूजा का वैज्ञानिक आधार : H_JS_51 : Allocated on 02-Feb-23 Contact Number  9939304105")</f>
        <v>Adarniya Binitathakur  ji प्रतिक पूजा का वैज्ञानिक आधार : H_JS_51 : Allocated on 02-Feb-23 Contact Number  9939304105</v>
      </c>
      <c r="CH1156" s="1"/>
      <c r="CI1156" s="1"/>
    </row>
    <row r="1157" spans="1:87" x14ac:dyDescent="0.25">
      <c r="A1157" s="5">
        <f ca="1">IFERROR(__xludf.DUMMYFUNCTION("""COMPUTED_VALUE"""),44959.6114218865)</f>
        <v>44959.611421886497</v>
      </c>
      <c r="B1157" s="1" t="str">
        <f ca="1">IFERROR(__xludf.DUMMYFUNCTION("""COMPUTED_VALUE"""),"csprasad108@gmail.com")</f>
        <v>csprasad108@gmail.com</v>
      </c>
      <c r="C1157" s="1" t="str">
        <f ca="1">IFERROR(__xludf.DUMMYFUNCTION("""COMPUTED_VALUE"""),"Kumkum prasad")</f>
        <v>Kumkum prasad</v>
      </c>
      <c r="D1157" s="1">
        <f ca="1">IFERROR(__xludf.DUMMYFUNCTION("""COMPUTED_VALUE"""),7978055621)</f>
        <v>7978055621</v>
      </c>
      <c r="E1157" s="1" t="str">
        <f ca="1">IFERROR(__xludf.DUMMYFUNCTION("""COMPUTED_VALUE"""),"Yes")</f>
        <v>Yes</v>
      </c>
      <c r="F1157" s="1" t="str">
        <f ca="1">IFERROR(__xludf.DUMMYFUNCTION("""COMPUTED_VALUE"""),"हिन्दी")</f>
        <v>हिन्दी</v>
      </c>
      <c r="G1157" s="1" t="str">
        <f ca="1">IFERROR(__xludf.DUMMYFUNCTION("""COMPUTED_VALUE"""),"संस्कार, कर्मकाण्ड, पाठ, पूजा, गीत-संगीत")</f>
        <v>संस्कार, कर्मकाण्ड, पाठ, पूजा, गीत-संगीत</v>
      </c>
      <c r="H1157" s="1"/>
      <c r="I1157" s="1"/>
      <c r="J1157" s="1"/>
      <c r="K1157" s="1"/>
      <c r="L1157" s="1"/>
      <c r="M1157" s="1"/>
      <c r="N1157" s="1"/>
      <c r="O1157" s="1"/>
      <c r="P1157" s="1"/>
      <c r="Q1157" s="1"/>
      <c r="R1157" s="1"/>
      <c r="S1157" s="1"/>
      <c r="T1157" s="1"/>
      <c r="U1157" s="1"/>
      <c r="V1157" s="1"/>
      <c r="W1157" s="1" t="str">
        <f ca="1">IFERROR(__xludf.DUMMYFUNCTION("""COMPUTED_VALUE"""),"संस्कार")</f>
        <v>संस्कार</v>
      </c>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f ca="1">IFERROR(__xludf.DUMMYFUNCTION("""COMPUTED_VALUE"""),52)</f>
        <v>52</v>
      </c>
      <c r="BX1157" s="1">
        <f ca="1">IFERROR(__xludf.DUMMYFUNCTION("""COMPUTED_VALUE"""),54)</f>
        <v>54</v>
      </c>
      <c r="BY1157" s="1">
        <f ca="1">IFERROR(__xludf.DUMMYFUNCTION("""COMPUTED_VALUE"""),3)</f>
        <v>3</v>
      </c>
      <c r="BZ1157" s="1">
        <f ca="1">IFERROR(__xludf.DUMMYFUNCTION("""COMPUTED_VALUE"""),24)</f>
        <v>24</v>
      </c>
      <c r="CA1157" s="1" t="str">
        <f ca="1">IFERROR(__xludf.DUMMYFUNCTION("""COMPUTED_VALUE"""),"Yes")</f>
        <v>Yes</v>
      </c>
      <c r="CB1157" s="5">
        <f ca="1">IFERROR(__xludf.DUMMYFUNCTION("""COMPUTED_VALUE"""),44969.6114218865)</f>
        <v>44969.611421886497</v>
      </c>
      <c r="CC1157" s="1" t="str">
        <f ca="1">IFERROR(__xludf.DUMMYFUNCTION("""COMPUTED_VALUE"""),"पाठ पूजा का दर्शन भी समझें : H_JS_58")</f>
        <v>पाठ पूजा का दर्शन भी समझें : H_JS_58</v>
      </c>
      <c r="CD1157" s="3" t="str">
        <f ca="1">IFERROR(__xludf.DUMMYFUNCTION("""COMPUTED_VALUE"""),"https://vicharkrantibooks.org/productdetail?book_name=HINP0642_PATH_PUJA_KA_DARSHAN_BHI_SAMAJHEN_xx2011&amp;product_id=1207")</f>
        <v>https://vicharkrantibooks.org/productdetail?book_name=HINP0642_PATH_PUJA_KA_DARSHAN_BHI_SAMAJHEN_xx2011&amp;product_id=1207</v>
      </c>
      <c r="CE1157" s="1" t="str">
        <f ca="1">IFERROR(__xludf.DUMMYFUNCTION("""COMPUTED_VALUE"""),"Audiobook : पाठ पूजा का दर्शन भी समझें : H_JS_58 : csprasad108@gmail.com : Recorded")</f>
        <v>Audiobook : पाठ पूजा का दर्शन भी समझें : H_JS_58 : csprasad108@gmail.com : Recorded</v>
      </c>
      <c r="CF1157" s="1" t="str">
        <f ca="1">IFERROR(__xludf.DUMMYFUNCTION("""COMPUTED_VALUE"""),"Audiobook : पाठ पूजा का दर्शन भी समझें : H_JS_58 : csprasad108@gmail.com : Recorded")</f>
        <v>Audiobook : पाठ पूजा का दर्शन भी समझें : H_JS_58 : csprasad108@gmail.com : Recorded</v>
      </c>
      <c r="CG1157" s="1" t="str">
        <f ca="1">IFERROR(__xludf.DUMMYFUNCTION("""COMPUTED_VALUE"""),"Adarniya Kumkum prasad ji पाठ पूजा का दर्शन भी समझें : H_JS_58 : Allocated on 02-Feb-23 Contact Number  7978055621")</f>
        <v>Adarniya Kumkum prasad ji पाठ पूजा का दर्शन भी समझें : H_JS_58 : Allocated on 02-Feb-23 Contact Number  7978055621</v>
      </c>
      <c r="CH1157" s="1"/>
      <c r="CI1157" s="1"/>
    </row>
    <row r="1158" spans="1:87" x14ac:dyDescent="0.25">
      <c r="A1158" s="5">
        <f ca="1">IFERROR(__xludf.DUMMYFUNCTION("""COMPUTED_VALUE"""),44959.3282411111)</f>
        <v>44959.328241111099</v>
      </c>
      <c r="B1158" s="1" t="str">
        <f ca="1">IFERROR(__xludf.DUMMYFUNCTION("""COMPUTED_VALUE"""),"druma4107@gmail.com")</f>
        <v>druma4107@gmail.com</v>
      </c>
      <c r="C1158" s="1" t="str">
        <f ca="1">IFERROR(__xludf.DUMMYFUNCTION("""COMPUTED_VALUE"""),"Dr Uma Agrawal")</f>
        <v>Dr Uma Agrawal</v>
      </c>
      <c r="D1158" s="1">
        <f ca="1">IFERROR(__xludf.DUMMYFUNCTION("""COMPUTED_VALUE"""),9410861182)</f>
        <v>9410861182</v>
      </c>
      <c r="E1158" s="1" t="str">
        <f ca="1">IFERROR(__xludf.DUMMYFUNCTION("""COMPUTED_VALUE"""),"Yes")</f>
        <v>Yes</v>
      </c>
      <c r="F1158" s="1" t="str">
        <f ca="1">IFERROR(__xludf.DUMMYFUNCTION("""COMPUTED_VALUE"""),"हिन्दी")</f>
        <v>हिन्दी</v>
      </c>
      <c r="G1158" s="1" t="str">
        <f ca="1">IFERROR(__xludf.DUMMYFUNCTION("""COMPUTED_VALUE"""),"अध्यात्म, धर्म एवं दर्शन")</f>
        <v>अध्यात्म, धर्म एवं दर्शन</v>
      </c>
      <c r="H1158" s="1" t="str">
        <f ca="1">IFERROR(__xludf.DUMMYFUNCTION("""COMPUTED_VALUE"""),"अध्यात्म, धर्म एवं आस्तिकता")</f>
        <v>अध्यात्म, धर्म एवं आस्तिकता</v>
      </c>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f ca="1">IFERROR(__xludf.DUMMYFUNCTION("""COMPUTED_VALUE"""),104)</f>
        <v>104</v>
      </c>
      <c r="BX1158" s="1">
        <f ca="1">IFERROR(__xludf.DUMMYFUNCTION("""COMPUTED_VALUE"""),106)</f>
        <v>106</v>
      </c>
      <c r="BY1158" s="1">
        <f ca="1">IFERROR(__xludf.DUMMYFUNCTION("""COMPUTED_VALUE"""),9)</f>
        <v>9</v>
      </c>
      <c r="BZ1158" s="1">
        <f ca="1">IFERROR(__xludf.DUMMYFUNCTION("""COMPUTED_VALUE"""),43)</f>
        <v>43</v>
      </c>
      <c r="CA1158" s="1" t="str">
        <f ca="1">IFERROR(__xludf.DUMMYFUNCTION("""COMPUTED_VALUE"""),"Yes")</f>
        <v>Yes</v>
      </c>
      <c r="CB1158" s="5">
        <f ca="1">IFERROR(__xludf.DUMMYFUNCTION("""COMPUTED_VALUE"""),44969.3282411111)</f>
        <v>44969.328241111099</v>
      </c>
      <c r="CC1158" s="1" t="str">
        <f ca="1">IFERROR(__xludf.DUMMYFUNCTION("""COMPUTED_VALUE"""),"आध्यात्मिक कायाकल्प का विधि विधान भाग २ : H_JS_26")</f>
        <v>आध्यात्मिक कायाकल्प का विधि विधान भाग २ : H_JS_26</v>
      </c>
      <c r="CD1158" s="3" t="str">
        <f ca="1">IFERROR(__xludf.DUMMYFUNCTION("""COMPUTED_VALUE"""),"https://vicharkrantibooks.org/productdetail?book_name=HINP0023_ADHYATMIK_KAYAKALP_KA_VIDHI_VIDHAN_BHAG_2_xx2011&amp;product_id=588")</f>
        <v>https://vicharkrantibooks.org/productdetail?book_name=HINP0023_ADHYATMIK_KAYAKALP_KA_VIDHI_VIDHAN_BHAG_2_xx2011&amp;product_id=588</v>
      </c>
      <c r="CE1158" s="1" t="str">
        <f ca="1">IFERROR(__xludf.DUMMYFUNCTION("""COMPUTED_VALUE"""),"Audiobook : आध्यात्मिक कायाकल्प का विधि विधान भाग २ : H_JS_26 : druma4107@gmail.com : Recorded")</f>
        <v>Audiobook : आध्यात्मिक कायाकल्प का विधि विधान भाग २ : H_JS_26 : druma4107@gmail.com : Recorded</v>
      </c>
      <c r="CF1158" s="1" t="str">
        <f ca="1">IFERROR(__xludf.DUMMYFUNCTION("""COMPUTED_VALUE"""),"Audiobook : आध्यात्मिक कायाकल्प का विधि विधान भाग २ : H_JS_26 : druma4107@gmail.com : Recorded")</f>
        <v>Audiobook : आध्यात्मिक कायाकल्प का विधि विधान भाग २ : H_JS_26 : druma4107@gmail.com : Recorded</v>
      </c>
      <c r="CG1158" s="1" t="str">
        <f ca="1">IFERROR(__xludf.DUMMYFUNCTION("""COMPUTED_VALUE"""),"Adarniya Dr Uma Agrawal ji आध्यात्मिक कायाकल्प का विधि विधान भाग २ : H_JS_26 : Allocated on 02-Feb-23 Contact Number  9410861182")</f>
        <v>Adarniya Dr Uma Agrawal ji आध्यात्मिक कायाकल्प का विधि विधान भाग २ : H_JS_26 : Allocated on 02-Feb-23 Contact Number  9410861182</v>
      </c>
      <c r="CH1158" s="1"/>
      <c r="CI1158" s="1"/>
    </row>
    <row r="1159" spans="1:87" x14ac:dyDescent="0.25">
      <c r="A1159" s="5">
        <f ca="1">IFERROR(__xludf.DUMMYFUNCTION("""COMPUTED_VALUE"""),44958.3374511342)</f>
        <v>44958.337451134197</v>
      </c>
      <c r="B1159" s="1" t="str">
        <f ca="1">IFERROR(__xludf.DUMMYFUNCTION("""COMPUTED_VALUE"""),"Mayagupta2411@gmail.com")</f>
        <v>Mayagupta2411@gmail.com</v>
      </c>
      <c r="C1159" s="1" t="str">
        <f ca="1">IFERROR(__xludf.DUMMYFUNCTION("""COMPUTED_VALUE"""),"Maya Gupta")</f>
        <v>Maya Gupta</v>
      </c>
      <c r="D1159" s="1">
        <f ca="1">IFERROR(__xludf.DUMMYFUNCTION("""COMPUTED_VALUE"""),9424052839)</f>
        <v>9424052839</v>
      </c>
      <c r="E1159" s="1" t="str">
        <f ca="1">IFERROR(__xludf.DUMMYFUNCTION("""COMPUTED_VALUE"""),"No")</f>
        <v>No</v>
      </c>
      <c r="F1159" s="1" t="str">
        <f ca="1">IFERROR(__xludf.DUMMYFUNCTION("""COMPUTED_VALUE"""),"हिन्दी")</f>
        <v>हिन्दी</v>
      </c>
      <c r="G1159" s="1" t="str">
        <f ca="1">IFERROR(__xludf.DUMMYFUNCTION("""COMPUTED_VALUE"""),"व्यक्ति निर्माण, युवा/विद्यार्थी एवं शिक्षक")</f>
        <v>व्यक्ति निर्माण, युवा/विद्यार्थी एवं शिक्षक</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f ca="1">IFERROR(__xludf.DUMMYFUNCTION("""COMPUTED_VALUE"""),1)</f>
        <v>1</v>
      </c>
      <c r="BX1159" s="1">
        <f ca="1">IFERROR(__xludf.DUMMYFUNCTION("""COMPUTED_VALUE"""),0)</f>
        <v>0</v>
      </c>
      <c r="BY1159" s="1">
        <f ca="1">IFERROR(__xludf.DUMMYFUNCTION("""COMPUTED_VALUE"""),1)</f>
        <v>1</v>
      </c>
      <c r="BZ1159" s="1">
        <f ca="1">IFERROR(__xludf.DUMMYFUNCTION("""COMPUTED_VALUE"""),0)</f>
        <v>0</v>
      </c>
      <c r="CA1159" s="1" t="str">
        <f ca="1">IFERROR(__xludf.DUMMYFUNCTION("""COMPUTED_VALUE"""),"Yes")</f>
        <v>Yes</v>
      </c>
      <c r="CB1159" s="5">
        <f ca="1">IFERROR(__xludf.DUMMYFUNCTION("""COMPUTED_VALUE"""),44968.3374511342)</f>
        <v>44968.337451134197</v>
      </c>
      <c r="CC1159" s="1" t="str">
        <f ca="1">IFERROR(__xludf.DUMMYFUNCTION("""COMPUTED_VALUE"""),"अपना स्तर और ममत्व विकसित करें : Rare Book")</f>
        <v>अपना स्तर और ममत्व विकसित करें : Rare Book</v>
      </c>
      <c r="CD1159" s="3" t="str">
        <f ca="1">IFERROR(__xludf.DUMMYFUNCTION("""COMPUTED_VALUE"""),"https://vicharkrantibooks.org/productdetail?book_name=HINP0057_APANA_STAR_AUR_MAMATV_VIKASIT_KAREN_xx1981&amp;product_id=622")</f>
        <v>https://vicharkrantibooks.org/productdetail?book_name=HINP0057_APANA_STAR_AUR_MAMATV_VIKASIT_KAREN_xx1981&amp;product_id=622</v>
      </c>
      <c r="CE1159" s="1" t="str">
        <f ca="1">IFERROR(__xludf.DUMMYFUNCTION("""COMPUTED_VALUE"""),"Audiobook : अपना स्तर और ममत्व विकसित करें : Rare Book : Mayagupta2411@gmail.com : Recorded")</f>
        <v>Audiobook : अपना स्तर और ममत्व विकसित करें : Rare Book : Mayagupta2411@gmail.com : Recorded</v>
      </c>
      <c r="CF1159" s="1" t="str">
        <f ca="1">IFERROR(__xludf.DUMMYFUNCTION("""COMPUTED_VALUE"""),"#N/A")</f>
        <v>#N/A</v>
      </c>
      <c r="CG1159" s="1" t="str">
        <f ca="1">IFERROR(__xludf.DUMMYFUNCTION("""COMPUTED_VALUE"""),"Adarniya Maya Gupta ji अपना स्तर और ममत्व विकसित करें : Rare Book : Allocated on 01-Feb-23 Contact Number  9424052839")</f>
        <v>Adarniya Maya Gupta ji अपना स्तर और ममत्व विकसित करें : Rare Book : Allocated on 01-Feb-23 Contact Number  9424052839</v>
      </c>
      <c r="CH1159" s="1"/>
      <c r="CI1159" s="1"/>
    </row>
    <row r="1160" spans="1:87" x14ac:dyDescent="0.25">
      <c r="A1160" s="5">
        <f ca="1">IFERROR(__xludf.DUMMYFUNCTION("""COMPUTED_VALUE"""),44958.3270325231)</f>
        <v>44958.327032523099</v>
      </c>
      <c r="B1160" s="1" t="str">
        <f ca="1">IFERROR(__xludf.DUMMYFUNCTION("""COMPUTED_VALUE"""),"samidhachhr@gmail.com")</f>
        <v>samidhachhr@gmail.com</v>
      </c>
      <c r="C1160" s="1" t="str">
        <f ca="1">IFERROR(__xludf.DUMMYFUNCTION("""COMPUTED_VALUE"""),"Samidha Kendurkar ")</f>
        <v xml:space="preserve">Samidha Kendurkar </v>
      </c>
      <c r="D1160" s="1" t="str">
        <f ca="1">IFERROR(__xludf.DUMMYFUNCTION("""COMPUTED_VALUE"""),"+919977227429")</f>
        <v>+919977227429</v>
      </c>
      <c r="E1160" s="1" t="str">
        <f ca="1">IFERROR(__xludf.DUMMYFUNCTION("""COMPUTED_VALUE"""),"Yes")</f>
        <v>Yes</v>
      </c>
      <c r="F1160" s="1"/>
      <c r="G1160" s="1" t="str">
        <f ca="1">IFERROR(__xludf.DUMMYFUNCTION("""COMPUTED_VALUE"""),"समाज निर्माण")</f>
        <v>समाज निर्माण</v>
      </c>
      <c r="H1160" s="1"/>
      <c r="I1160" s="1"/>
      <c r="J1160" s="1"/>
      <c r="K1160" s="1"/>
      <c r="L1160" s="1"/>
      <c r="M1160" s="1"/>
      <c r="N1160" s="1"/>
      <c r="O1160" s="1"/>
      <c r="P1160" s="1"/>
      <c r="Q1160" s="1"/>
      <c r="R1160" s="1"/>
      <c r="S1160" s="1"/>
      <c r="T1160" s="1"/>
      <c r="U1160" s="1"/>
      <c r="V1160" s="1" t="str">
        <f ca="1">IFERROR(__xludf.DUMMYFUNCTION("""COMPUTED_VALUE"""),"नारी सशक्तिकरण")</f>
        <v>नारी सशक्तिकरण</v>
      </c>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f ca="1">IFERROR(__xludf.DUMMYFUNCTION("""COMPUTED_VALUE"""),7)</f>
        <v>7</v>
      </c>
      <c r="BX1160" s="1">
        <f ca="1">IFERROR(__xludf.DUMMYFUNCTION("""COMPUTED_VALUE"""),6)</f>
        <v>6</v>
      </c>
      <c r="BY1160" s="1">
        <f ca="1">IFERROR(__xludf.DUMMYFUNCTION("""COMPUTED_VALUE"""),4)</f>
        <v>4</v>
      </c>
      <c r="BZ1160" s="1">
        <f ca="1">IFERROR(__xludf.DUMMYFUNCTION("""COMPUTED_VALUE"""),3)</f>
        <v>3</v>
      </c>
      <c r="CA1160" s="1" t="str">
        <f ca="1">IFERROR(__xludf.DUMMYFUNCTION("""COMPUTED_VALUE"""),"Yes")</f>
        <v>Yes</v>
      </c>
      <c r="CB1160" s="5">
        <f ca="1">IFERROR(__xludf.DUMMYFUNCTION("""COMPUTED_VALUE"""),44968.3270325231)</f>
        <v>44968.327032523099</v>
      </c>
      <c r="CC1160" s="1" t="str">
        <f ca="1">IFERROR(__xludf.DUMMYFUNCTION("""COMPUTED_VALUE"""),"अनीति के विरोध का साहस जुटाएँ : Rare Book")</f>
        <v>अनीति के विरोध का साहस जुटाएँ : Rare Book</v>
      </c>
      <c r="CD1160" s="3" t="str">
        <f ca="1">IFERROR(__xludf.DUMMYFUNCTION("""COMPUTED_VALUE"""),"https://vicharkrantibooks.org/productdetail?book_name=HINP0044_ANITI_KE_VIRODH_KA_SAHAS_JUTAEN_xxyyyy&amp;product_id=609")</f>
        <v>https://vicharkrantibooks.org/productdetail?book_name=HINP0044_ANITI_KE_VIRODH_KA_SAHAS_JUTAEN_xxyyyy&amp;product_id=609</v>
      </c>
      <c r="CE1160" s="1" t="str">
        <f ca="1">IFERROR(__xludf.DUMMYFUNCTION("""COMPUTED_VALUE"""),"Audiobook : अनीति के विरोध का साहस जुटाएँ : Rare Book : samidhachhr@gmail.com : Recorded")</f>
        <v>Audiobook : अनीति के विरोध का साहस जुटाएँ : Rare Book : samidhachhr@gmail.com : Recorded</v>
      </c>
      <c r="CF1160" s="1" t="str">
        <f ca="1">IFERROR(__xludf.DUMMYFUNCTION("""COMPUTED_VALUE"""),"Audiobook : अनीति के विरोध का साहस जुटाएँ : Rare Book : samidhachhr@gmail.com : Recorded")</f>
        <v>Audiobook : अनीति के विरोध का साहस जुटाएँ : Rare Book : samidhachhr@gmail.com : Recorded</v>
      </c>
      <c r="CG1160" s="1" t="str">
        <f ca="1">IFERROR(__xludf.DUMMYFUNCTION("""COMPUTED_VALUE"""),"Adarniya Samidha Kendurkar  ji अनीति के विरोध का साहस जुटाएँ : Rare Book : Allocated on 01-Feb-23 Contact Number  +919977227429")</f>
        <v>Adarniya Samidha Kendurkar  ji अनीति के विरोध का साहस जुटाएँ : Rare Book : Allocated on 01-Feb-23 Contact Number  +919977227429</v>
      </c>
      <c r="CH1160" s="1"/>
      <c r="CI1160" s="1"/>
    </row>
    <row r="1161" spans="1:87" x14ac:dyDescent="0.25">
      <c r="A1161" s="5">
        <f ca="1">IFERROR(__xludf.DUMMYFUNCTION("""COMPUTED_VALUE"""),44958.3268369907)</f>
        <v>44958.326836990702</v>
      </c>
      <c r="B1161" s="1" t="str">
        <f ca="1">IFERROR(__xludf.DUMMYFUNCTION("""COMPUTED_VALUE"""),"savita.dubey@gmail.com")</f>
        <v>savita.dubey@gmail.com</v>
      </c>
      <c r="C1161" s="1" t="str">
        <f ca="1">IFERROR(__xludf.DUMMYFUNCTION("""COMPUTED_VALUE"""),"Savita")</f>
        <v>Savita</v>
      </c>
      <c r="D1161" s="1">
        <f ca="1">IFERROR(__xludf.DUMMYFUNCTION("""COMPUTED_VALUE"""),4692640779)</f>
        <v>4692640779</v>
      </c>
      <c r="E1161" s="1" t="str">
        <f ca="1">IFERROR(__xludf.DUMMYFUNCTION("""COMPUTED_VALUE"""),"Yes")</f>
        <v>Yes</v>
      </c>
      <c r="F1161" s="1" t="str">
        <f ca="1">IFERROR(__xludf.DUMMYFUNCTION("""COMPUTED_VALUE"""),"हिन्दी")</f>
        <v>हिन्दी</v>
      </c>
      <c r="G1161" s="1" t="str">
        <f ca="1">IFERROR(__xludf.DUMMYFUNCTION("""COMPUTED_VALUE"""),"राष्ट्र निर्माण")</f>
        <v>राष्ट्र निर्माण</v>
      </c>
      <c r="H1161" s="1"/>
      <c r="I1161" s="1"/>
      <c r="J1161" s="1"/>
      <c r="K1161" s="1"/>
      <c r="L1161" s="1"/>
      <c r="M1161" s="1"/>
      <c r="N1161" s="1"/>
      <c r="O1161" s="1"/>
      <c r="P1161" s="1"/>
      <c r="Q1161" s="1"/>
      <c r="R1161" s="1" t="str">
        <f ca="1">IFERROR(__xludf.DUMMYFUNCTION("""COMPUTED_VALUE"""),"आर्थिक स्वावलंबन")</f>
        <v>आर्थिक स्वावलंबन</v>
      </c>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f ca="1">IFERROR(__xludf.DUMMYFUNCTION("""COMPUTED_VALUE"""),9)</f>
        <v>9</v>
      </c>
      <c r="BX1161" s="1">
        <f ca="1">IFERROR(__xludf.DUMMYFUNCTION("""COMPUTED_VALUE"""),10)</f>
        <v>10</v>
      </c>
      <c r="BY1161" s="1">
        <f ca="1">IFERROR(__xludf.DUMMYFUNCTION("""COMPUTED_VALUE"""),3)</f>
        <v>3</v>
      </c>
      <c r="BZ1161" s="1">
        <f ca="1">IFERROR(__xludf.DUMMYFUNCTION("""COMPUTED_VALUE"""),9)</f>
        <v>9</v>
      </c>
      <c r="CA1161" s="1" t="str">
        <f ca="1">IFERROR(__xludf.DUMMYFUNCTION("""COMPUTED_VALUE"""),"Yes")</f>
        <v>Yes</v>
      </c>
      <c r="CB1161" s="5">
        <f ca="1">IFERROR(__xludf.DUMMYFUNCTION("""COMPUTED_VALUE"""),44968.3268369907)</f>
        <v>44968.326836990702</v>
      </c>
      <c r="CC1161" s="1" t="str">
        <f ca="1">IFERROR(__xludf.DUMMYFUNCTION("""COMPUTED_VALUE"""),"अपव्यय रोकें धन का सदुपयोग करें : Rare Book")</f>
        <v>अपव्यय रोकें धन का सदुपयोग करें : Rare Book</v>
      </c>
      <c r="CD1161" s="3" t="str">
        <f ca="1">IFERROR(__xludf.DUMMYFUNCTION("""COMPUTED_VALUE"""),"https://vicharkrantibooks.org/productdetail?book_name=HINP0071_APAVYAY_ROKEN_DHAN_KA_SADUPAYOG_KAREN_xxyyyy&amp;product_id=636")</f>
        <v>https://vicharkrantibooks.org/productdetail?book_name=HINP0071_APAVYAY_ROKEN_DHAN_KA_SADUPAYOG_KAREN_xxyyyy&amp;product_id=636</v>
      </c>
      <c r="CE1161" s="1" t="str">
        <f ca="1">IFERROR(__xludf.DUMMYFUNCTION("""COMPUTED_VALUE"""),"Audiobook : अपव्यय रोकें धन का सदुपयोग करें : Rare Book : savita.dubey@gmail.com : Recorded")</f>
        <v>Audiobook : अपव्यय रोकें धन का सदुपयोग करें : Rare Book : savita.dubey@gmail.com : Recorded</v>
      </c>
      <c r="CF1161" s="1" t="str">
        <f ca="1">IFERROR(__xludf.DUMMYFUNCTION("""COMPUTED_VALUE"""),"Audiobook : अपव्यय रोकें धन का सदुपयोग करें : Rare Book : savita.dubey@gmail.com : Recorded")</f>
        <v>Audiobook : अपव्यय रोकें धन का सदुपयोग करें : Rare Book : savita.dubey@gmail.com : Recorded</v>
      </c>
      <c r="CG1161" s="1" t="str">
        <f ca="1">IFERROR(__xludf.DUMMYFUNCTION("""COMPUTED_VALUE"""),"Adarniya Savita ji अपव्यय रोकें धन का सदुपयोग करें : Rare Book : Allocated on 01-Feb-23 Contact Number  4692640779")</f>
        <v>Adarniya Savita ji अपव्यय रोकें धन का सदुपयोग करें : Rare Book : Allocated on 01-Feb-23 Contact Number  4692640779</v>
      </c>
      <c r="CH1161" s="1"/>
      <c r="CI1161" s="1"/>
    </row>
    <row r="1162" spans="1:87" x14ac:dyDescent="0.25">
      <c r="A1162" s="5">
        <f ca="1">IFERROR(__xludf.DUMMYFUNCTION("""COMPUTED_VALUE"""),44958.3052919097)</f>
        <v>44958.305291909703</v>
      </c>
      <c r="B1162" s="1" t="str">
        <f ca="1">IFERROR(__xludf.DUMMYFUNCTION("""COMPUTED_VALUE"""),"vandana15rastogi@gmail.com")</f>
        <v>vandana15rastogi@gmail.com</v>
      </c>
      <c r="C1162" s="1" t="str">
        <f ca="1">IFERROR(__xludf.DUMMYFUNCTION("""COMPUTED_VALUE"""),"Vandana Rastogi")</f>
        <v>Vandana Rastogi</v>
      </c>
      <c r="D1162" s="1">
        <f ca="1">IFERROR(__xludf.DUMMYFUNCTION("""COMPUTED_VALUE"""),9359528684)</f>
        <v>9359528684</v>
      </c>
      <c r="E1162" s="1" t="str">
        <f ca="1">IFERROR(__xludf.DUMMYFUNCTION("""COMPUTED_VALUE"""),"Yes")</f>
        <v>Yes</v>
      </c>
      <c r="F1162" s="1" t="str">
        <f ca="1">IFERROR(__xludf.DUMMYFUNCTION("""COMPUTED_VALUE"""),"हिन्दी")</f>
        <v>हिन्दी</v>
      </c>
      <c r="G1162" s="1" t="str">
        <f ca="1">IFERROR(__xludf.DUMMYFUNCTION("""COMPUTED_VALUE"""),"युग परिवर्तन-विचार क्रांति")</f>
        <v>युग परिवर्तन-विचार क्रांति</v>
      </c>
      <c r="H1162" s="1"/>
      <c r="I1162" s="1"/>
      <c r="J1162" s="1"/>
      <c r="K1162" s="1"/>
      <c r="L1162" s="1"/>
      <c r="M1162" s="1"/>
      <c r="N1162" s="1"/>
      <c r="O1162" s="1"/>
      <c r="P1162" s="1"/>
      <c r="Q1162" s="1" t="str">
        <f ca="1">IFERROR(__xludf.DUMMYFUNCTION("""COMPUTED_VALUE"""),"युग निर्माण योजना एवं युग परिवर्तन")</f>
        <v>युग निर्माण योजना एवं युग परिवर्तन</v>
      </c>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f ca="1">IFERROR(__xludf.DUMMYFUNCTION("""COMPUTED_VALUE"""),33)</f>
        <v>33</v>
      </c>
      <c r="BX1162" s="1">
        <f ca="1">IFERROR(__xludf.DUMMYFUNCTION("""COMPUTED_VALUE"""),19)</f>
        <v>19</v>
      </c>
      <c r="BY1162" s="1">
        <f ca="1">IFERROR(__xludf.DUMMYFUNCTION("""COMPUTED_VALUE"""),17)</f>
        <v>17</v>
      </c>
      <c r="BZ1162" s="1">
        <f ca="1">IFERROR(__xludf.DUMMYFUNCTION("""COMPUTED_VALUE"""),14)</f>
        <v>14</v>
      </c>
      <c r="CA1162" s="1" t="str">
        <f ca="1">IFERROR(__xludf.DUMMYFUNCTION("""COMPUTED_VALUE"""),"Yes")</f>
        <v>Yes</v>
      </c>
      <c r="CB1162" s="5">
        <f ca="1">IFERROR(__xludf.DUMMYFUNCTION("""COMPUTED_VALUE"""),44968.3052919097)</f>
        <v>44968.305291909703</v>
      </c>
      <c r="CC1162" s="1" t="str">
        <f ca="1">IFERROR(__xludf.DUMMYFUNCTION("""COMPUTED_VALUE"""),"इक्कीसवीं सदी का संविधान हमारा युग निर्माण सत्संकल्प : Rare Book")</f>
        <v>इक्कीसवीं सदी का संविधान हमारा युग निर्माण सत्संकल्प : Rare Book</v>
      </c>
      <c r="CD1162" s="3" t="str">
        <f ca="1">IFERROR(__xludf.DUMMYFUNCTION("""COMPUTED_VALUE"""),"https://vicharkrantibooks.org/productdetail?book_name=HINP1096_IKKISAVI_SADI_KA_SAMVIDHAN_HAMARA_YUG_NIRMAN_SATSANKALP_xxyyyy&amp;product_id=1661")</f>
        <v>https://vicharkrantibooks.org/productdetail?book_name=HINP1096_IKKISAVI_SADI_KA_SAMVIDHAN_HAMARA_YUG_NIRMAN_SATSANKALP_xxyyyy&amp;product_id=1661</v>
      </c>
      <c r="CE1162" s="1" t="str">
        <f ca="1">IFERROR(__xludf.DUMMYFUNCTION("""COMPUTED_VALUE"""),"Audiobook : इक्कीसवीं सदी का संविधान हमारा युग निर्माण सत्संकल्प : Rare Book : vandana15rastogi@gmail.com : Recorded")</f>
        <v>Audiobook : इक्कीसवीं सदी का संविधान हमारा युग निर्माण सत्संकल्प : Rare Book : vandana15rastogi@gmail.com : Recorded</v>
      </c>
      <c r="CF1162" s="1" t="str">
        <f ca="1">IFERROR(__xludf.DUMMYFUNCTION("""COMPUTED_VALUE"""),"Audiobook : इक्कीसवीं सदी का संविधान हमारा युग निर्माण सत्संकल्प : Rare Book : vandana15rastogi@gmail.com : Recorded")</f>
        <v>Audiobook : इक्कीसवीं सदी का संविधान हमारा युग निर्माण सत्संकल्प : Rare Book : vandana15rastogi@gmail.com : Recorded</v>
      </c>
      <c r="CG1162" s="1" t="str">
        <f ca="1">IFERROR(__xludf.DUMMYFUNCTION("""COMPUTED_VALUE"""),"Adarniya Vandana Rastogi ji इक्कीसवीं सदी का संविधान हमारा युग निर्माण सत्संकल्प : Rare Book : Allocated on 01-Feb-23 Contact Number  9359528684")</f>
        <v>Adarniya Vandana Rastogi ji इक्कीसवीं सदी का संविधान हमारा युग निर्माण सत्संकल्प : Rare Book : Allocated on 01-Feb-23 Contact Number  9359528684</v>
      </c>
      <c r="CH1162" s="1"/>
      <c r="CI1162" s="1"/>
    </row>
    <row r="1163" spans="1:87" x14ac:dyDescent="0.25">
      <c r="A1163" s="5">
        <f ca="1">IFERROR(__xludf.DUMMYFUNCTION("""COMPUTED_VALUE"""),44957.6633967476)</f>
        <v>44957.663396747601</v>
      </c>
      <c r="B1163" s="1" t="str">
        <f ca="1">IFERROR(__xludf.DUMMYFUNCTION("""COMPUTED_VALUE"""),"jamunashukla17@gmail.com")</f>
        <v>jamunashukla17@gmail.com</v>
      </c>
      <c r="C1163" s="1" t="str">
        <f ca="1">IFERROR(__xludf.DUMMYFUNCTION("""COMPUTED_VALUE"""),"Smt J S Shukla ")</f>
        <v xml:space="preserve">Smt J S Shukla </v>
      </c>
      <c r="D1163" s="1">
        <f ca="1">IFERROR(__xludf.DUMMYFUNCTION("""COMPUTED_VALUE"""),8390353167)</f>
        <v>8390353167</v>
      </c>
      <c r="E1163" s="1" t="str">
        <f ca="1">IFERROR(__xludf.DUMMYFUNCTION("""COMPUTED_VALUE"""),"Yes")</f>
        <v>Yes</v>
      </c>
      <c r="F1163" s="1" t="str">
        <f ca="1">IFERROR(__xludf.DUMMYFUNCTION("""COMPUTED_VALUE"""),"हिन्दी")</f>
        <v>हिन्दी</v>
      </c>
      <c r="G1163" s="1" t="str">
        <f ca="1">IFERROR(__xludf.DUMMYFUNCTION("""COMPUTED_VALUE"""),"अध्यात्म, धर्म एवं दर्शन")</f>
        <v>अध्यात्म, धर्म एवं दर्शन</v>
      </c>
      <c r="H1163" s="1" t="str">
        <f ca="1">IFERROR(__xludf.DUMMYFUNCTION("""COMPUTED_VALUE"""),"आत्मज्ञान एवं आत्मनिर्माण")</f>
        <v>आत्मज्ञान एवं आत्मनिर्माण</v>
      </c>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f ca="1">IFERROR(__xludf.DUMMYFUNCTION("""COMPUTED_VALUE"""),53)</f>
        <v>53</v>
      </c>
      <c r="BX1163" s="1">
        <f ca="1">IFERROR(__xludf.DUMMYFUNCTION("""COMPUTED_VALUE"""),53)</f>
        <v>53</v>
      </c>
      <c r="BY1163" s="1">
        <f ca="1">IFERROR(__xludf.DUMMYFUNCTION("""COMPUTED_VALUE"""),9)</f>
        <v>9</v>
      </c>
      <c r="BZ1163" s="1">
        <f ca="1">IFERROR(__xludf.DUMMYFUNCTION("""COMPUTED_VALUE"""),25)</f>
        <v>25</v>
      </c>
      <c r="CA1163" s="1" t="str">
        <f ca="1">IFERROR(__xludf.DUMMYFUNCTION("""COMPUTED_VALUE"""),"Yes")</f>
        <v>Yes</v>
      </c>
      <c r="CB1163" s="5">
        <f ca="1">IFERROR(__xludf.DUMMYFUNCTION("""COMPUTED_VALUE"""),44967.6633967476)</f>
        <v>44967.663396747601</v>
      </c>
      <c r="CC1163" s="1" t="str">
        <f ca="1">IFERROR(__xludf.DUMMYFUNCTION("""COMPUTED_VALUE"""),"आध्यात्मिक कायाकल्प का विधि विधान भाग १ : H_JS_25")</f>
        <v>आध्यात्मिक कायाकल्प का विधि विधान भाग १ : H_JS_25</v>
      </c>
      <c r="CD1163" s="3" t="str">
        <f ca="1">IFERROR(__xludf.DUMMYFUNCTION("""COMPUTED_VALUE"""),"https://vicharkrantibooks.org/productdetail?book_name=HINP0022_ADHYATMIK_KAYAKALP_KA_VIDHI_VIDHAN_BHAG_1_xx2011&amp;product_id=587")</f>
        <v>https://vicharkrantibooks.org/productdetail?book_name=HINP0022_ADHYATMIK_KAYAKALP_KA_VIDHI_VIDHAN_BHAG_1_xx2011&amp;product_id=587</v>
      </c>
      <c r="CE1163" s="1" t="str">
        <f ca="1">IFERROR(__xludf.DUMMYFUNCTION("""COMPUTED_VALUE"""),"Audiobook : आध्यात्मिक कायाकल्प का विधि विधान भाग १ : H_JS_25 : jamunashukla17@gmail.com : Recorded")</f>
        <v>Audiobook : आध्यात्मिक कायाकल्प का विधि विधान भाग १ : H_JS_25 : jamunashukla17@gmail.com : Recorded</v>
      </c>
      <c r="CF1163" s="1" t="str">
        <f ca="1">IFERROR(__xludf.DUMMYFUNCTION("""COMPUTED_VALUE"""),"Audiobook : आध्यात्मिक कायाकल्प का विधि विधान भाग १ : H_JS_25 : jamunashukla17@gmail.com : Recorded")</f>
        <v>Audiobook : आध्यात्मिक कायाकल्प का विधि विधान भाग १ : H_JS_25 : jamunashukla17@gmail.com : Recorded</v>
      </c>
      <c r="CG1163" s="1" t="str">
        <f ca="1">IFERROR(__xludf.DUMMYFUNCTION("""COMPUTED_VALUE"""),"Adarniya Smt J S Shukla  ji आध्यात्मिक कायाकल्प का विधि विधान भाग १ : H_JS_25 : Allocated on 31-Jan-23 Contact Number  8390353167")</f>
        <v>Adarniya Smt J S Shukla  ji आध्यात्मिक कायाकल्प का विधि विधान भाग १ : H_JS_25 : Allocated on 31-Jan-23 Contact Number  8390353167</v>
      </c>
      <c r="CH1163" s="1"/>
      <c r="CI1163" s="1"/>
    </row>
    <row r="1164" spans="1:87" x14ac:dyDescent="0.25">
      <c r="A1164" s="5">
        <f ca="1">IFERROR(__xludf.DUMMYFUNCTION("""COMPUTED_VALUE"""),44955.9497577314)</f>
        <v>44955.949757731403</v>
      </c>
      <c r="B1164" s="1" t="str">
        <f ca="1">IFERROR(__xludf.DUMMYFUNCTION("""COMPUTED_VALUE"""),"binitathakur1005@gmail.com")</f>
        <v>binitathakur1005@gmail.com</v>
      </c>
      <c r="C1164" s="1" t="str">
        <f ca="1">IFERROR(__xludf.DUMMYFUNCTION("""COMPUTED_VALUE"""),"Binitathakur ")</f>
        <v xml:space="preserve">Binitathakur </v>
      </c>
      <c r="D1164" s="1">
        <f ca="1">IFERROR(__xludf.DUMMYFUNCTION("""COMPUTED_VALUE"""),9939304105)</f>
        <v>9939304105</v>
      </c>
      <c r="E1164" s="1" t="str">
        <f ca="1">IFERROR(__xludf.DUMMYFUNCTION("""COMPUTED_VALUE"""),"Yes")</f>
        <v>Yes</v>
      </c>
      <c r="F1164" s="1" t="str">
        <f ca="1">IFERROR(__xludf.DUMMYFUNCTION("""COMPUTED_VALUE"""),"हिन्दी")</f>
        <v>हिन्दी</v>
      </c>
      <c r="G1164" s="1" t="str">
        <f ca="1">IFERROR(__xludf.DUMMYFUNCTION("""COMPUTED_VALUE"""),"वैज्ञानिक अध्यात्मवाद का प्रतिपादन")</f>
        <v>वैज्ञानिक अध्यात्मवाद का प्रतिपादन</v>
      </c>
      <c r="H1164" s="1"/>
      <c r="I1164" s="1"/>
      <c r="J1164" s="1"/>
      <c r="K1164" s="1"/>
      <c r="L1164" s="1"/>
      <c r="M1164" s="1"/>
      <c r="N1164" s="1"/>
      <c r="O1164" s="1"/>
      <c r="P1164" s="1"/>
      <c r="Q1164" s="1"/>
      <c r="R1164" s="1"/>
      <c r="S1164" s="1" t="str">
        <f ca="1">IFERROR(__xludf.DUMMYFUNCTION("""COMPUTED_VALUE"""),"वैज्ञानिक अध्यात्मवाद का प्रतिपादन")</f>
        <v>वैज्ञानिक अध्यात्मवाद का प्रतिपादन</v>
      </c>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f ca="1">IFERROR(__xludf.DUMMYFUNCTION("""COMPUTED_VALUE"""),5)</f>
        <v>5</v>
      </c>
      <c r="BX1164" s="1">
        <f ca="1">IFERROR(__xludf.DUMMYFUNCTION("""COMPUTED_VALUE"""),3)</f>
        <v>3</v>
      </c>
      <c r="BY1164" s="1">
        <f ca="1">IFERROR(__xludf.DUMMYFUNCTION("""COMPUTED_VALUE"""),1)</f>
        <v>1</v>
      </c>
      <c r="BZ1164" s="1">
        <f ca="1">IFERROR(__xludf.DUMMYFUNCTION("""COMPUTED_VALUE"""),1)</f>
        <v>1</v>
      </c>
      <c r="CA1164" s="1" t="str">
        <f ca="1">IFERROR(__xludf.DUMMYFUNCTION("""COMPUTED_VALUE"""),"Yes")</f>
        <v>Yes</v>
      </c>
      <c r="CB1164" s="5">
        <f ca="1">IFERROR(__xludf.DUMMYFUNCTION("""COMPUTED_VALUE"""),44965.9497577314)</f>
        <v>44965.949757731403</v>
      </c>
      <c r="CC1164" s="1" t="str">
        <f ca="1">IFERROR(__xludf.DUMMYFUNCTION("""COMPUTED_VALUE"""),"टोना-टोटका जंतर-मंतर : Rare Book")</f>
        <v>टोना-टोटका जंतर-मंतर : Rare Book</v>
      </c>
      <c r="CD1164" s="3" t="str">
        <f ca="1">IFERROR(__xludf.DUMMYFUNCTION("""COMPUTED_VALUE"""),"https://vicharkrantibooks.org/productdetail?book_name=HINP0911_TONA-TOTAKA_JANTAR-MANTAR_xxyyyy&amp;product_id=1476")</f>
        <v>https://vicharkrantibooks.org/productdetail?book_name=HINP0911_TONA-TOTAKA_JANTAR-MANTAR_xxyyyy&amp;product_id=1476</v>
      </c>
      <c r="CE1164" s="1" t="str">
        <f ca="1">IFERROR(__xludf.DUMMYFUNCTION("""COMPUTED_VALUE"""),"Audiobook : टोना-टोटका जंतर-मंतर : Rare Book : binitathakur1005@gmail.com : Recorded")</f>
        <v>Audiobook : टोना-टोटका जंतर-मंतर : Rare Book : binitathakur1005@gmail.com : Recorded</v>
      </c>
      <c r="CF1164" s="1" t="str">
        <f ca="1">IFERROR(__xludf.DUMMYFUNCTION("""COMPUTED_VALUE"""),"Audiobook : टोना-टोटका जंतर-मंतर : Rare Book : binitathakur1005@gmail.com : Recorded")</f>
        <v>Audiobook : टोना-टोटका जंतर-मंतर : Rare Book : binitathakur1005@gmail.com : Recorded</v>
      </c>
      <c r="CG1164" s="1" t="str">
        <f ca="1">IFERROR(__xludf.DUMMYFUNCTION("""COMPUTED_VALUE"""),"Adarniya Binitathakur  ji टोना-टोटका जंतर-मंतर : Rare Book : Allocated on 29-Jan-23 Contact Number  9939304105")</f>
        <v>Adarniya Binitathakur  ji टोना-टोटका जंतर-मंतर : Rare Book : Allocated on 29-Jan-23 Contact Number  9939304105</v>
      </c>
      <c r="CH1164" s="1"/>
      <c r="CI1164" s="1"/>
    </row>
    <row r="1165" spans="1:87" x14ac:dyDescent="0.25">
      <c r="A1165" s="5">
        <f ca="1">IFERROR(__xludf.DUMMYFUNCTION("""COMPUTED_VALUE"""),44955.8801633564)</f>
        <v>44955.8801633564</v>
      </c>
      <c r="B1165" s="1" t="str">
        <f ca="1">IFERROR(__xludf.DUMMYFUNCTION("""COMPUTED_VALUE"""),"nksaxena.yoga@gmail.com")</f>
        <v>nksaxena.yoga@gmail.com</v>
      </c>
      <c r="C1165" s="1" t="str">
        <f ca="1">IFERROR(__xludf.DUMMYFUNCTION("""COMPUTED_VALUE"""),"Narendra Kumar Saxena")</f>
        <v>Narendra Kumar Saxena</v>
      </c>
      <c r="D1165" s="1" t="str">
        <f ca="1">IFERROR(__xludf.DUMMYFUNCTION("""COMPUTED_VALUE"""),"+918826499188")</f>
        <v>+918826499188</v>
      </c>
      <c r="E1165" s="1"/>
      <c r="F1165" s="1"/>
      <c r="G1165" s="1" t="str">
        <f ca="1">IFERROR(__xludf.DUMMYFUNCTION("""COMPUTED_VALUE"""),"समग्र स्वास्थ्य")</f>
        <v>समग्र स्वास्थ्य</v>
      </c>
      <c r="H1165" s="1"/>
      <c r="I1165" s="1"/>
      <c r="J1165" s="1"/>
      <c r="K1165" s="1"/>
      <c r="L1165" s="1"/>
      <c r="M1165" s="1"/>
      <c r="N1165" s="1"/>
      <c r="O1165" s="1"/>
      <c r="P1165" s="1"/>
      <c r="Q1165" s="1"/>
      <c r="R1165" s="1"/>
      <c r="S1165" s="1"/>
      <c r="T1165" s="1"/>
      <c r="U1165" s="1" t="str">
        <f ca="1">IFERROR(__xludf.DUMMYFUNCTION("""COMPUTED_VALUE"""),"आहार-विहार एवं उपवास")</f>
        <v>आहार-विहार एवं उपवास</v>
      </c>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f ca="1">IFERROR(__xludf.DUMMYFUNCTION("""COMPUTED_VALUE"""),29)</f>
        <v>29</v>
      </c>
      <c r="BX1165" s="1">
        <f ca="1">IFERROR(__xludf.DUMMYFUNCTION("""COMPUTED_VALUE"""),30)</f>
        <v>30</v>
      </c>
      <c r="BY1165" s="1">
        <f ca="1">IFERROR(__xludf.DUMMYFUNCTION("""COMPUTED_VALUE"""),3)</f>
        <v>3</v>
      </c>
      <c r="BZ1165" s="1">
        <f ca="1">IFERROR(__xludf.DUMMYFUNCTION("""COMPUTED_VALUE"""),25)</f>
        <v>25</v>
      </c>
      <c r="CA1165" s="1" t="str">
        <f ca="1">IFERROR(__xludf.DUMMYFUNCTION("""COMPUTED_VALUE"""),"Yes")</f>
        <v>Yes</v>
      </c>
      <c r="CB1165" s="5">
        <f ca="1">IFERROR(__xludf.DUMMYFUNCTION("""COMPUTED_VALUE"""),44965.8801633564)</f>
        <v>44965.8801633564</v>
      </c>
      <c r="CC1165" s="1" t="str">
        <f ca="1">IFERROR(__xludf.DUMMYFUNCTION("""COMPUTED_VALUE"""),"उपवास एक समग्र एवं समर्थ उपचार पद्धति : Rare Book")</f>
        <v>उपवास एक समग्र एवं समर्थ उपचार पद्धति : Rare Book</v>
      </c>
      <c r="CD1165" s="3" t="str">
        <f ca="1">IFERROR(__xludf.DUMMYFUNCTION("""COMPUTED_VALUE"""),"https://vicharkrantibooks.org/productdetail?book_name=HINP0930_UPAVAS_EK_SAMAGR_EVAM_SAMARTH_UPACHAR_PADDHATI_xx1981&amp;product_id=1495")</f>
        <v>https://vicharkrantibooks.org/productdetail?book_name=HINP0930_UPAVAS_EK_SAMAGR_EVAM_SAMARTH_UPACHAR_PADDHATI_xx1981&amp;product_id=1495</v>
      </c>
      <c r="CE1165" s="1" t="str">
        <f ca="1">IFERROR(__xludf.DUMMYFUNCTION("""COMPUTED_VALUE"""),"Audiobook : उपवास एक समग्र एवं समर्थ उपचार पद्धति : Rare Book : nksaxena.yoga@gmail.com : Recorded")</f>
        <v>Audiobook : उपवास एक समग्र एवं समर्थ उपचार पद्धति : Rare Book : nksaxena.yoga@gmail.com : Recorded</v>
      </c>
      <c r="CF1165" s="1" t="str">
        <f ca="1">IFERROR(__xludf.DUMMYFUNCTION("""COMPUTED_VALUE"""),"Audiobook : उपवास एक समग्र एवं समर्थ उपचार पद्धति : Rare Book : nksaxena.yoga@gmail.com : Recorded")</f>
        <v>Audiobook : उपवास एक समग्र एवं समर्थ उपचार पद्धति : Rare Book : nksaxena.yoga@gmail.com : Recorded</v>
      </c>
      <c r="CG1165" s="1" t="str">
        <f ca="1">IFERROR(__xludf.DUMMYFUNCTION("""COMPUTED_VALUE"""),"Adarniya Narendra Kumar Saxena ji उपवास एक समग्र एवं समर्थ उपचार पद्धति : Rare Book : Allocated on 29-Jan-23 Contact Number  +918826499188")</f>
        <v>Adarniya Narendra Kumar Saxena ji उपवास एक समग्र एवं समर्थ उपचार पद्धति : Rare Book : Allocated on 29-Jan-23 Contact Number  +918826499188</v>
      </c>
      <c r="CH1165" s="1"/>
      <c r="CI1165" s="1"/>
    </row>
    <row r="1166" spans="1:87" x14ac:dyDescent="0.25">
      <c r="A1166" s="5">
        <f ca="1">IFERROR(__xludf.DUMMYFUNCTION("""COMPUTED_VALUE"""),44955.8610710069)</f>
        <v>44955.861071006897</v>
      </c>
      <c r="B1166" s="1" t="str">
        <f ca="1">IFERROR(__xludf.DUMMYFUNCTION("""COMPUTED_VALUE"""),"druma4107@gmail.com")</f>
        <v>druma4107@gmail.com</v>
      </c>
      <c r="C1166" s="1" t="str">
        <f ca="1">IFERROR(__xludf.DUMMYFUNCTION("""COMPUTED_VALUE"""),"Dr Uma Agrawal")</f>
        <v>Dr Uma Agrawal</v>
      </c>
      <c r="D1166" s="1">
        <f ca="1">IFERROR(__xludf.DUMMYFUNCTION("""COMPUTED_VALUE"""),9410861182)</f>
        <v>9410861182</v>
      </c>
      <c r="E1166" s="1" t="str">
        <f ca="1">IFERROR(__xludf.DUMMYFUNCTION("""COMPUTED_VALUE"""),"Yes")</f>
        <v>Yes</v>
      </c>
      <c r="F1166" s="1" t="str">
        <f ca="1">IFERROR(__xludf.DUMMYFUNCTION("""COMPUTED_VALUE"""),"हिन्दी")</f>
        <v>हिन्दी</v>
      </c>
      <c r="G1166" s="1" t="str">
        <f ca="1">IFERROR(__xludf.DUMMYFUNCTION("""COMPUTED_VALUE"""),"अध्यात्म, धर्म एवं दर्शन")</f>
        <v>अध्यात्म, धर्म एवं दर्शन</v>
      </c>
      <c r="H1166" s="1" t="str">
        <f ca="1">IFERROR(__xludf.DUMMYFUNCTION("""COMPUTED_VALUE"""),"अध्यात्म, धर्म एवं आस्तिकता")</f>
        <v>अध्यात्म, धर्म एवं आस्तिकता</v>
      </c>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f ca="1">IFERROR(__xludf.DUMMYFUNCTION("""COMPUTED_VALUE"""),104)</f>
        <v>104</v>
      </c>
      <c r="BX1166" s="1">
        <f ca="1">IFERROR(__xludf.DUMMYFUNCTION("""COMPUTED_VALUE"""),106)</f>
        <v>106</v>
      </c>
      <c r="BY1166" s="1">
        <f ca="1">IFERROR(__xludf.DUMMYFUNCTION("""COMPUTED_VALUE"""),9)</f>
        <v>9</v>
      </c>
      <c r="BZ1166" s="1">
        <f ca="1">IFERROR(__xludf.DUMMYFUNCTION("""COMPUTED_VALUE"""),43)</f>
        <v>43</v>
      </c>
      <c r="CA1166" s="1" t="str">
        <f ca="1">IFERROR(__xludf.DUMMYFUNCTION("""COMPUTED_VALUE"""),"Yes")</f>
        <v>Yes</v>
      </c>
      <c r="CB1166" s="5">
        <f ca="1">IFERROR(__xludf.DUMMYFUNCTION("""COMPUTED_VALUE"""),44965.8610710069)</f>
        <v>44965.861071006897</v>
      </c>
      <c r="CC1166" s="1" t="str">
        <f ca="1">IFERROR(__xludf.DUMMYFUNCTION("""COMPUTED_VALUE"""),"आत्मोत्कर्ष के चार आधार : Rare Book")</f>
        <v>आत्मोत्कर्ष के चार आधार : Rare Book</v>
      </c>
      <c r="CD1166" s="3" t="str">
        <f ca="1">IFERROR(__xludf.DUMMYFUNCTION("""COMPUTED_VALUE"""),"https://vicharkrantibooks.org/productdetail?book_name=HINP0109_ATMOTKARSH_KE_CHAR_ADHAR_xx1978&amp;product_id=674")</f>
        <v>https://vicharkrantibooks.org/productdetail?book_name=HINP0109_ATMOTKARSH_KE_CHAR_ADHAR_xx1978&amp;product_id=674</v>
      </c>
      <c r="CE1166" s="1" t="str">
        <f ca="1">IFERROR(__xludf.DUMMYFUNCTION("""COMPUTED_VALUE"""),"Audiobook : आत्मोत्कर्ष के चार आधार : Rare Book : druma4107@gmail.com : Recorded")</f>
        <v>Audiobook : आत्मोत्कर्ष के चार आधार : Rare Book : druma4107@gmail.com : Recorded</v>
      </c>
      <c r="CF1166" s="1" t="str">
        <f ca="1">IFERROR(__xludf.DUMMYFUNCTION("""COMPUTED_VALUE"""),"Audiobook : आत्मोत्कर्ष के चार आधार : Rare Book : druma4107@gmail.com : Recorded")</f>
        <v>Audiobook : आत्मोत्कर्ष के चार आधार : Rare Book : druma4107@gmail.com : Recorded</v>
      </c>
      <c r="CG1166" s="1" t="str">
        <f ca="1">IFERROR(__xludf.DUMMYFUNCTION("""COMPUTED_VALUE"""),"Adarniya Dr Uma Agrawal ji आत्मोत्कर्ष के चार आधार : Rare Book : Allocated on 29-Jan-23 Contact Number  9410861182")</f>
        <v>Adarniya Dr Uma Agrawal ji आत्मोत्कर्ष के चार आधार : Rare Book : Allocated on 29-Jan-23 Contact Number  9410861182</v>
      </c>
      <c r="CH1166" s="1"/>
      <c r="CI1166" s="1"/>
    </row>
    <row r="1167" spans="1:87" x14ac:dyDescent="0.25">
      <c r="A1167" s="5">
        <f ca="1">IFERROR(__xludf.DUMMYFUNCTION("""COMPUTED_VALUE"""),44955.84857125)</f>
        <v>44955.848571249997</v>
      </c>
      <c r="B1167" s="1" t="str">
        <f ca="1">IFERROR(__xludf.DUMMYFUNCTION("""COMPUTED_VALUE"""),"anshu14.singh@yahoo.in")</f>
        <v>anshu14.singh@yahoo.in</v>
      </c>
      <c r="C1167" s="1" t="str">
        <f ca="1">IFERROR(__xludf.DUMMYFUNCTION("""COMPUTED_VALUE"""),"Anshu singh")</f>
        <v>Anshu singh</v>
      </c>
      <c r="D1167" s="1">
        <f ca="1">IFERROR(__xludf.DUMMYFUNCTION("""COMPUTED_VALUE"""),9977301575)</f>
        <v>9977301575</v>
      </c>
      <c r="E1167" s="1" t="str">
        <f ca="1">IFERROR(__xludf.DUMMYFUNCTION("""COMPUTED_VALUE"""),"Yes")</f>
        <v>Yes</v>
      </c>
      <c r="F1167" s="1" t="str">
        <f ca="1">IFERROR(__xludf.DUMMYFUNCTION("""COMPUTED_VALUE"""),"हिन्दी")</f>
        <v>हिन्दी</v>
      </c>
      <c r="G1167" s="1" t="str">
        <f ca="1">IFERROR(__xludf.DUMMYFUNCTION("""COMPUTED_VALUE"""),"अध्यात्म, धर्म एवं दर्शन")</f>
        <v>अध्यात्म, धर्म एवं दर्शन</v>
      </c>
      <c r="H1167" s="1" t="str">
        <f ca="1">IFERROR(__xludf.DUMMYFUNCTION("""COMPUTED_VALUE"""),"अध्यात्म, धर्म एवं आस्तिकता")</f>
        <v>अध्यात्म, धर्म एवं आस्तिकता</v>
      </c>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f ca="1">IFERROR(__xludf.DUMMYFUNCTION("""COMPUTED_VALUE"""),9)</f>
        <v>9</v>
      </c>
      <c r="BX1167" s="1">
        <f ca="1">IFERROR(__xludf.DUMMYFUNCTION("""COMPUTED_VALUE"""),5)</f>
        <v>5</v>
      </c>
      <c r="BY1167" s="1">
        <f ca="1">IFERROR(__xludf.DUMMYFUNCTION("""COMPUTED_VALUE"""),4)</f>
        <v>4</v>
      </c>
      <c r="BZ1167" s="1">
        <f ca="1">IFERROR(__xludf.DUMMYFUNCTION("""COMPUTED_VALUE"""),0)</f>
        <v>0</v>
      </c>
      <c r="CA1167" s="1" t="str">
        <f ca="1">IFERROR(__xludf.DUMMYFUNCTION("""COMPUTED_VALUE"""),"Yes")</f>
        <v>Yes</v>
      </c>
      <c r="CB1167" s="5">
        <f ca="1">IFERROR(__xludf.DUMMYFUNCTION("""COMPUTED_VALUE"""),44965.84857125)</f>
        <v>44965.848571249997</v>
      </c>
      <c r="CC1167" s="1" t="str">
        <f ca="1">IFERROR(__xludf.DUMMYFUNCTION("""COMPUTED_VALUE"""),"आत्मोत्कर्ष का साधना मार्ग : Rare Book")</f>
        <v>आत्मोत्कर्ष का साधना मार्ग : Rare Book</v>
      </c>
      <c r="CD1167" s="3" t="str">
        <f ca="1">IFERROR(__xludf.DUMMYFUNCTION("""COMPUTED_VALUE"""),"https://vicharkrantibooks.org/productdetail?book_name=HINP0108_ATMOTKARSH_KA_SADHANA_MARG_xx1978&amp;product_id=673")</f>
        <v>https://vicharkrantibooks.org/productdetail?book_name=HINP0108_ATMOTKARSH_KA_SADHANA_MARG_xx1978&amp;product_id=673</v>
      </c>
      <c r="CE1167" s="1" t="str">
        <f ca="1">IFERROR(__xludf.DUMMYFUNCTION("""COMPUTED_VALUE"""),"Audiobook : आत्मोत्कर्ष का साधना मार्ग : Rare Book : anshu14.singh@yahoo.in : Recorded")</f>
        <v>Audiobook : आत्मोत्कर्ष का साधना मार्ग : Rare Book : anshu14.singh@yahoo.in : Recorded</v>
      </c>
      <c r="CF1167" s="1" t="str">
        <f ca="1">IFERROR(__xludf.DUMMYFUNCTION("""COMPUTED_VALUE"""),"#N/A")</f>
        <v>#N/A</v>
      </c>
      <c r="CG1167" s="1" t="str">
        <f ca="1">IFERROR(__xludf.DUMMYFUNCTION("""COMPUTED_VALUE"""),"Adarniya Anshu singh ji आत्मोत्कर्ष का साधना मार्ग : Rare Book : Allocated on 29-Jan-23 Contact Number  9977301575")</f>
        <v>Adarniya Anshu singh ji आत्मोत्कर्ष का साधना मार्ग : Rare Book : Allocated on 29-Jan-23 Contact Number  9977301575</v>
      </c>
      <c r="CH1167" s="1"/>
      <c r="CI1167" s="1"/>
    </row>
    <row r="1168" spans="1:87" x14ac:dyDescent="0.25">
      <c r="A1168" s="5">
        <f ca="1">IFERROR(__xludf.DUMMYFUNCTION("""COMPUTED_VALUE"""),44955.5547203125)</f>
        <v>44955.554720312502</v>
      </c>
      <c r="B1168" s="1" t="str">
        <f ca="1">IFERROR(__xludf.DUMMYFUNCTION("""COMPUTED_VALUE"""),"piyalisomesh@gmail.com")</f>
        <v>piyalisomesh@gmail.com</v>
      </c>
      <c r="C1168" s="1" t="str">
        <f ca="1">IFERROR(__xludf.DUMMYFUNCTION("""COMPUTED_VALUE"""),"Piyali Todankar ")</f>
        <v xml:space="preserve">Piyali Todankar </v>
      </c>
      <c r="D1168" s="1" t="str">
        <f ca="1">IFERROR(__xludf.DUMMYFUNCTION("""COMPUTED_VALUE"""),"09850811932")</f>
        <v>09850811932</v>
      </c>
      <c r="E1168" s="1" t="str">
        <f ca="1">IFERROR(__xludf.DUMMYFUNCTION("""COMPUTED_VALUE"""),"No")</f>
        <v>No</v>
      </c>
      <c r="F1168" s="1" t="str">
        <f ca="1">IFERROR(__xludf.DUMMYFUNCTION("""COMPUTED_VALUE"""),"English")</f>
        <v>English</v>
      </c>
      <c r="G1168" s="1" t="str">
        <f ca="1">IFERROR(__xludf.DUMMYFUNCTION("""COMPUTED_VALUE"""),"भारतीय संस्कृति")</f>
        <v>भारतीय संस्कृति</v>
      </c>
      <c r="H1168" s="1"/>
      <c r="I1168" s="1"/>
      <c r="J1168" s="1"/>
      <c r="K1168" s="1"/>
      <c r="L1168" s="1"/>
      <c r="M1168" s="1"/>
      <c r="N1168" s="1"/>
      <c r="O1168" s="1" t="str">
        <f ca="1">IFERROR(__xludf.DUMMYFUNCTION("""COMPUTED_VALUE"""),"गायत्री")</f>
        <v>गायत्री</v>
      </c>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f ca="1">IFERROR(__xludf.DUMMYFUNCTION("""COMPUTED_VALUE"""),1)</f>
        <v>1</v>
      </c>
      <c r="BX1168" s="1">
        <f ca="1">IFERROR(__xludf.DUMMYFUNCTION("""COMPUTED_VALUE"""),0)</f>
        <v>0</v>
      </c>
      <c r="BY1168" s="1">
        <f ca="1">IFERROR(__xludf.DUMMYFUNCTION("""COMPUTED_VALUE"""),1)</f>
        <v>1</v>
      </c>
      <c r="BZ1168" s="1">
        <f ca="1">IFERROR(__xludf.DUMMYFUNCTION("""COMPUTED_VALUE"""),0)</f>
        <v>0</v>
      </c>
      <c r="CA1168" s="1" t="str">
        <f ca="1">IFERROR(__xludf.DUMMYFUNCTION("""COMPUTED_VALUE"""),"Yes")</f>
        <v>Yes</v>
      </c>
      <c r="CB1168" s="5">
        <f ca="1">IFERROR(__xludf.DUMMYFUNCTION("""COMPUTED_VALUE"""),44965.5547203125)</f>
        <v>44965.554720312502</v>
      </c>
      <c r="CC1168" s="1" t="str">
        <f ca="1">IFERROR(__xludf.DUMMYFUNCTION("""COMPUTED_VALUE"""),"Motherhood Revered Every Where : EP_117")</f>
        <v>Motherhood Revered Every Where : EP_117</v>
      </c>
      <c r="CD1168" s="3" t="str">
        <f ca="1">IFERROR(__xludf.DUMMYFUNCTION("""COMPUTED_VALUE"""),"https://vicharkrantibooks.org/productdetail?book_name=ENGP0817_MOTHERHOOD_REVERED_EVERY_WHERE_xxyyyy&amp;product_id=3502")</f>
        <v>https://vicharkrantibooks.org/productdetail?book_name=ENGP0817_MOTHERHOOD_REVERED_EVERY_WHERE_xxyyyy&amp;product_id=3502</v>
      </c>
      <c r="CE1168" s="1" t="str">
        <f ca="1">IFERROR(__xludf.DUMMYFUNCTION("""COMPUTED_VALUE"""),"Audiobook : Motherhood Revered Every Where : EP_117 : piyalisomesh@gmail.com : Recorded")</f>
        <v>Audiobook : Motherhood Revered Every Where : EP_117 : piyalisomesh@gmail.com : Recorded</v>
      </c>
      <c r="CF1168" s="1" t="str">
        <f ca="1">IFERROR(__xludf.DUMMYFUNCTION("""COMPUTED_VALUE"""),"#N/A")</f>
        <v>#N/A</v>
      </c>
      <c r="CG1168" s="1" t="str">
        <f ca="1">IFERROR(__xludf.DUMMYFUNCTION("""COMPUTED_VALUE"""),"Adarniya Piyali Todankar  ji Motherhood Revered Every Where : EP_117 : Allocated on 29-Jan-23 Contact Number  09850811932")</f>
        <v>Adarniya Piyali Todankar  ji Motherhood Revered Every Where : EP_117 : Allocated on 29-Jan-23 Contact Number  09850811932</v>
      </c>
      <c r="CH1168" s="1"/>
      <c r="CI1168" s="1"/>
    </row>
    <row r="1169" spans="1:87" x14ac:dyDescent="0.25">
      <c r="A1169" s="5">
        <f ca="1">IFERROR(__xludf.DUMMYFUNCTION("""COMPUTED_VALUE"""),44955.4549338425)</f>
        <v>44955.454933842499</v>
      </c>
      <c r="B1169" s="1" t="str">
        <f ca="1">IFERROR(__xludf.DUMMYFUNCTION("""COMPUTED_VALUE"""),"satishkumar75.sk10@gmail.com")</f>
        <v>satishkumar75.sk10@gmail.com</v>
      </c>
      <c r="C1169" s="1" t="str">
        <f ca="1">IFERROR(__xludf.DUMMYFUNCTION("""COMPUTED_VALUE"""),"Satish Kumar ")</f>
        <v xml:space="preserve">Satish Kumar </v>
      </c>
      <c r="D1169" s="1">
        <f ca="1">IFERROR(__xludf.DUMMYFUNCTION("""COMPUTED_VALUE"""),8082770813)</f>
        <v>8082770813</v>
      </c>
      <c r="E1169" s="1" t="str">
        <f ca="1">IFERROR(__xludf.DUMMYFUNCTION("""COMPUTED_VALUE"""),"Yes")</f>
        <v>Yes</v>
      </c>
      <c r="F1169" s="1" t="str">
        <f ca="1">IFERROR(__xludf.DUMMYFUNCTION("""COMPUTED_VALUE"""),"हिन्दी")</f>
        <v>हिन्दी</v>
      </c>
      <c r="G1169" s="1" t="str">
        <f ca="1">IFERROR(__xludf.DUMMYFUNCTION("""COMPUTED_VALUE"""),"परिवार निर्माण")</f>
        <v>परिवार निर्माण</v>
      </c>
      <c r="H1169" s="1"/>
      <c r="I1169" s="1"/>
      <c r="J1169" s="1"/>
      <c r="K1169" s="1"/>
      <c r="L1169" s="1"/>
      <c r="M1169" s="1" t="str">
        <f ca="1">IFERROR(__xludf.DUMMYFUNCTION("""COMPUTED_VALUE"""),"दाम्पत्य जीवन")</f>
        <v>दाम्पत्य जीवन</v>
      </c>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f ca="1">IFERROR(__xludf.DUMMYFUNCTION("""COMPUTED_VALUE"""),4)</f>
        <v>4</v>
      </c>
      <c r="BX1169" s="1">
        <f ca="1">IFERROR(__xludf.DUMMYFUNCTION("""COMPUTED_VALUE"""),4)</f>
        <v>4</v>
      </c>
      <c r="BY1169" s="1">
        <f ca="1">IFERROR(__xludf.DUMMYFUNCTION("""COMPUTED_VALUE"""),1)</f>
        <v>1</v>
      </c>
      <c r="BZ1169" s="1">
        <f ca="1">IFERROR(__xludf.DUMMYFUNCTION("""COMPUTED_VALUE"""),0)</f>
        <v>0</v>
      </c>
      <c r="CA1169" s="1" t="str">
        <f ca="1">IFERROR(__xludf.DUMMYFUNCTION("""COMPUTED_VALUE"""),"Yes")</f>
        <v>Yes</v>
      </c>
      <c r="CB1169" s="5">
        <f ca="1">IFERROR(__xludf.DUMMYFUNCTION("""COMPUTED_VALUE"""),44965.4549338425)</f>
        <v>44965.454933842499</v>
      </c>
      <c r="CC1169" s="1" t="str">
        <f ca="1">IFERROR(__xludf.DUMMYFUNCTION("""COMPUTED_VALUE"""),"परिवार का पालन ही नहीं, निर्माण भी करें : Rare Book")</f>
        <v>परिवार का पालन ही नहीं, निर्माण भी करें : Rare Book</v>
      </c>
      <c r="CD1169" s="3" t="str">
        <f ca="1">IFERROR(__xludf.DUMMYFUNCTION("""COMPUTED_VALUE"""),"https://vicharkrantibooks.org/productdetail?book_name=HINP0628_PARIWAR_KA_PALAN_HI_NAHI_NIRMAN_BHI_KAREN_xxyyyy&amp;product_id=1193")</f>
        <v>https://vicharkrantibooks.org/productdetail?book_name=HINP0628_PARIWAR_KA_PALAN_HI_NAHI_NIRMAN_BHI_KAREN_xxyyyy&amp;product_id=1193</v>
      </c>
      <c r="CE1169" s="1" t="str">
        <f ca="1">IFERROR(__xludf.DUMMYFUNCTION("""COMPUTED_VALUE"""),"Audiobook : परिवार का पालन ही नहीं, निर्माण भी करें : Rare Book : satishkumar75.sk10@gmail.com : Recorded")</f>
        <v>Audiobook : परिवार का पालन ही नहीं, निर्माण भी करें : Rare Book : satishkumar75.sk10@gmail.com : Recorded</v>
      </c>
      <c r="CF1169" s="1" t="str">
        <f ca="1">IFERROR(__xludf.DUMMYFUNCTION("""COMPUTED_VALUE"""),"Audiobook : परिवार का पालन ही नहीं, निर्माण भी करें : Rare Book : satishkumar75.sk10@gmail.com : Recorded")</f>
        <v>Audiobook : परिवार का पालन ही नहीं, निर्माण भी करें : Rare Book : satishkumar75.sk10@gmail.com : Recorded</v>
      </c>
      <c r="CG1169" s="1" t="str">
        <f ca="1">IFERROR(__xludf.DUMMYFUNCTION("""COMPUTED_VALUE"""),"Adarniya Satish Kumar  ji परिवार का पालन ही नहीं, निर्माण भी करें : Rare Book : Allocated on 29-Jan-23 Contact Number  8082770813")</f>
        <v>Adarniya Satish Kumar  ji परिवार का पालन ही नहीं, निर्माण भी करें : Rare Book : Allocated on 29-Jan-23 Contact Number  8082770813</v>
      </c>
      <c r="CH1169" s="1"/>
      <c r="CI1169" s="1"/>
    </row>
    <row r="1170" spans="1:87" x14ac:dyDescent="0.25">
      <c r="A1170" s="5">
        <f ca="1">IFERROR(__xludf.DUMMYFUNCTION("""COMPUTED_VALUE"""),44954.4053376273)</f>
        <v>44954.4053376273</v>
      </c>
      <c r="B1170" s="1" t="str">
        <f ca="1">IFERROR(__xludf.DUMMYFUNCTION("""COMPUTED_VALUE"""),"sharmabhavna33@gmail.com")</f>
        <v>sharmabhavna33@gmail.com</v>
      </c>
      <c r="C1170" s="1" t="str">
        <f ca="1">IFERROR(__xludf.DUMMYFUNCTION("""COMPUTED_VALUE"""),"Bhawana Parashar")</f>
        <v>Bhawana Parashar</v>
      </c>
      <c r="D1170" s="1">
        <f ca="1">IFERROR(__xludf.DUMMYFUNCTION("""COMPUTED_VALUE"""),9826248427)</f>
        <v>9826248427</v>
      </c>
      <c r="E1170" s="1" t="str">
        <f ca="1">IFERROR(__xludf.DUMMYFUNCTION("""COMPUTED_VALUE"""),"Yes")</f>
        <v>Yes</v>
      </c>
      <c r="F1170" s="1" t="str">
        <f ca="1">IFERROR(__xludf.DUMMYFUNCTION("""COMPUTED_VALUE"""),"हिन्दी")</f>
        <v>हिन्दी</v>
      </c>
      <c r="G1170" s="1" t="str">
        <f ca="1">IFERROR(__xludf.DUMMYFUNCTION("""COMPUTED_VALUE"""),"जीवन प्रबंध")</f>
        <v>जीवन प्रबंध</v>
      </c>
      <c r="H1170" s="1"/>
      <c r="I1170" s="1"/>
      <c r="J1170" s="1"/>
      <c r="K1170" s="1"/>
      <c r="L1170" s="1" t="str">
        <f ca="1">IFERROR(__xludf.DUMMYFUNCTION("""COMPUTED_VALUE"""),"मन की शक्ति एवं मनोविज्ञान")</f>
        <v>मन की शक्ति एवं मनोविज्ञान</v>
      </c>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f ca="1">IFERROR(__xludf.DUMMYFUNCTION("""COMPUTED_VALUE"""),9)</f>
        <v>9</v>
      </c>
      <c r="BX1170" s="1">
        <f ca="1">IFERROR(__xludf.DUMMYFUNCTION("""COMPUTED_VALUE"""),3)</f>
        <v>3</v>
      </c>
      <c r="BY1170" s="1">
        <f ca="1">IFERROR(__xludf.DUMMYFUNCTION("""COMPUTED_VALUE"""),6)</f>
        <v>6</v>
      </c>
      <c r="BZ1170" s="1">
        <f ca="1">IFERROR(__xludf.DUMMYFUNCTION("""COMPUTED_VALUE"""),1)</f>
        <v>1</v>
      </c>
      <c r="CA1170" s="1" t="str">
        <f ca="1">IFERROR(__xludf.DUMMYFUNCTION("""COMPUTED_VALUE"""),"Yes")</f>
        <v>Yes</v>
      </c>
      <c r="CB1170" s="5">
        <f ca="1">IFERROR(__xludf.DUMMYFUNCTION("""COMPUTED_VALUE"""),44964.4053376273)</f>
        <v>44964.4053376273</v>
      </c>
      <c r="CC1170" s="1" t="str">
        <f ca="1">IFERROR(__xludf.DUMMYFUNCTION("""COMPUTED_VALUE"""),"वैज्ञानिक अध्यात्मवाद : H_SC_37")</f>
        <v>वैज्ञानिक अध्यात्मवाद : H_SC_37</v>
      </c>
      <c r="CD1170" s="3" t="str">
        <f ca="1">IFERROR(__xludf.DUMMYFUNCTION("""COMPUTED_VALUE"""),"https://vicharkrantibooks.org/productdetail?book_name=HINP0943_VAIGYANIK_ADHYATMVAD_Re2012&amp;product_id=1508")</f>
        <v>https://vicharkrantibooks.org/productdetail?book_name=HINP0943_VAIGYANIK_ADHYATMVAD_Re2012&amp;product_id=1508</v>
      </c>
      <c r="CE1170" s="1" t="str">
        <f ca="1">IFERROR(__xludf.DUMMYFUNCTION("""COMPUTED_VALUE"""),"Audiobook : वैज्ञानिक अध्यात्मवाद : H_SC_37 : sharmabhavna33@gmail.com : Recorded")</f>
        <v>Audiobook : वैज्ञानिक अध्यात्मवाद : H_SC_37 : sharmabhavna33@gmail.com : Recorded</v>
      </c>
      <c r="CF1170" s="1" t="str">
        <f ca="1">IFERROR(__xludf.DUMMYFUNCTION("""COMPUTED_VALUE"""),"Audiobook : वैज्ञानिक अध्यात्मवाद : H_SC_37 : sharmabhavna33@gmail.com : Recorded")</f>
        <v>Audiobook : वैज्ञानिक अध्यात्मवाद : H_SC_37 : sharmabhavna33@gmail.com : Recorded</v>
      </c>
      <c r="CG1170" s="1" t="str">
        <f ca="1">IFERROR(__xludf.DUMMYFUNCTION("""COMPUTED_VALUE"""),"Adarniya Bhawana Parashar ji वैज्ञानिक अध्यात्मवाद : H_SC_37 : Allocated on 28-Jan-23 Contact Number  9826248427")</f>
        <v>Adarniya Bhawana Parashar ji वैज्ञानिक अध्यात्मवाद : H_SC_37 : Allocated on 28-Jan-23 Contact Number  9826248427</v>
      </c>
      <c r="CH1170" s="1"/>
      <c r="CI1170" s="1"/>
    </row>
    <row r="1171" spans="1:87" x14ac:dyDescent="0.25">
      <c r="A1171" s="5">
        <f ca="1">IFERROR(__xludf.DUMMYFUNCTION("""COMPUTED_VALUE"""),44953.9337394907)</f>
        <v>44953.933739490698</v>
      </c>
      <c r="B1171" s="1" t="str">
        <f ca="1">IFERROR(__xludf.DUMMYFUNCTION("""COMPUTED_VALUE"""),"mksmmp88@Gmail.com")</f>
        <v>mksmmp88@Gmail.com</v>
      </c>
      <c r="C1171" s="1" t="str">
        <f ca="1">IFERROR(__xludf.DUMMYFUNCTION("""COMPUTED_VALUE"""),"Mamta sharma")</f>
        <v>Mamta sharma</v>
      </c>
      <c r="D1171" s="1">
        <f ca="1">IFERROR(__xludf.DUMMYFUNCTION("""COMPUTED_VALUE"""),9599667845)</f>
        <v>9599667845</v>
      </c>
      <c r="E1171" s="1" t="str">
        <f ca="1">IFERROR(__xludf.DUMMYFUNCTION("""COMPUTED_VALUE"""),"Yes")</f>
        <v>Yes</v>
      </c>
      <c r="F1171" s="1" t="str">
        <f ca="1">IFERROR(__xludf.DUMMYFUNCTION("""COMPUTED_VALUE"""),"हिन्दी")</f>
        <v>हिन्दी</v>
      </c>
      <c r="G1171" s="1" t="str">
        <f ca="1">IFERROR(__xludf.DUMMYFUNCTION("""COMPUTED_VALUE"""),"पर्यावरण संरक्षण")</f>
        <v>पर्यावरण संरक्षण</v>
      </c>
      <c r="H1171" s="1"/>
      <c r="I1171" s="1"/>
      <c r="J1171" s="1"/>
      <c r="K1171" s="1"/>
      <c r="L1171" s="1"/>
      <c r="M1171" s="1"/>
      <c r="N1171" s="1" t="str">
        <f ca="1">IFERROR(__xludf.DUMMYFUNCTION("""COMPUTED_VALUE"""),"पर्यावरण संरक्षण")</f>
        <v>पर्यावरण संरक्षण</v>
      </c>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f ca="1">IFERROR(__xludf.DUMMYFUNCTION("""COMPUTED_VALUE"""),1)</f>
        <v>1</v>
      </c>
      <c r="BX1171" s="1">
        <f ca="1">IFERROR(__xludf.DUMMYFUNCTION("""COMPUTED_VALUE"""),0)</f>
        <v>0</v>
      </c>
      <c r="BY1171" s="1">
        <f ca="1">IFERROR(__xludf.DUMMYFUNCTION("""COMPUTED_VALUE"""),1)</f>
        <v>1</v>
      </c>
      <c r="BZ1171" s="1">
        <f ca="1">IFERROR(__xludf.DUMMYFUNCTION("""COMPUTED_VALUE"""),0)</f>
        <v>0</v>
      </c>
      <c r="CA1171" s="1" t="str">
        <f ca="1">IFERROR(__xludf.DUMMYFUNCTION("""COMPUTED_VALUE"""),"Yes")</f>
        <v>Yes</v>
      </c>
      <c r="CB1171" s="5">
        <f ca="1">IFERROR(__xludf.DUMMYFUNCTION("""COMPUTED_VALUE"""),44963.9337394907)</f>
        <v>44963.933739490698</v>
      </c>
      <c r="CC1171" s="1" t="str">
        <f ca="1">IFERROR(__xludf.DUMMYFUNCTION("""COMPUTED_VALUE"""),"वातावरण प्रदूषण का क्या कोई समाधान है ? : Rare Book")</f>
        <v>वातावरण प्रदूषण का क्या कोई समाधान है ? : Rare Book</v>
      </c>
      <c r="CD1171" s="3" t="str">
        <f ca="1">IFERROR(__xludf.DUMMYFUNCTION("""COMPUTED_VALUE"""),"https://vicharkrantibooks.org/productdetail?book_name=HINP0952_VATAVARAN_PRADUSHAN_KA_KYA_KOI_SAMADHAN_HAI_xxyyyy&amp;product_id=1517")</f>
        <v>https://vicharkrantibooks.org/productdetail?book_name=HINP0952_VATAVARAN_PRADUSHAN_KA_KYA_KOI_SAMADHAN_HAI_xxyyyy&amp;product_id=1517</v>
      </c>
      <c r="CE1171" s="1" t="str">
        <f ca="1">IFERROR(__xludf.DUMMYFUNCTION("""COMPUTED_VALUE"""),"Audiobook : वातावरण प्रदूषण का क्या कोई समाधान है ? : Rare Book : mksmmp88@Gmail.com : Recorded")</f>
        <v>Audiobook : वातावरण प्रदूषण का क्या कोई समाधान है ? : Rare Book : mksmmp88@Gmail.com : Recorded</v>
      </c>
      <c r="CF1171" s="1" t="str">
        <f ca="1">IFERROR(__xludf.DUMMYFUNCTION("""COMPUTED_VALUE"""),"#N/A")</f>
        <v>#N/A</v>
      </c>
      <c r="CG1171" s="1" t="str">
        <f ca="1">IFERROR(__xludf.DUMMYFUNCTION("""COMPUTED_VALUE"""),"Adarniya Mamta sharma ji वातावरण प्रदूषण का क्या कोई समाधान है ? : Rare Book : Allocated on 27-Jan-23 Contact Number  9599667845")</f>
        <v>Adarniya Mamta sharma ji वातावरण प्रदूषण का क्या कोई समाधान है ? : Rare Book : Allocated on 27-Jan-23 Contact Number  9599667845</v>
      </c>
      <c r="CH1171" s="1"/>
      <c r="CI1171" s="1"/>
    </row>
    <row r="1172" spans="1:87" x14ac:dyDescent="0.25">
      <c r="A1172" s="5">
        <f ca="1">IFERROR(__xludf.DUMMYFUNCTION("""COMPUTED_VALUE"""),44953.6280244213)</f>
        <v>44953.628024421298</v>
      </c>
      <c r="B1172" s="1" t="str">
        <f ca="1">IFERROR(__xludf.DUMMYFUNCTION("""COMPUTED_VALUE"""),"amrita_dube@yahoo.com")</f>
        <v>amrita_dube@yahoo.com</v>
      </c>
      <c r="C1172" s="1" t="str">
        <f ca="1">IFERROR(__xludf.DUMMYFUNCTION("""COMPUTED_VALUE"""),"Amrita")</f>
        <v>Amrita</v>
      </c>
      <c r="D1172" s="1">
        <f ca="1">IFERROR(__xludf.DUMMYFUNCTION("""COMPUTED_VALUE"""),8767202225)</f>
        <v>8767202225</v>
      </c>
      <c r="E1172" s="1" t="str">
        <f ca="1">IFERROR(__xludf.DUMMYFUNCTION("""COMPUTED_VALUE"""),"No")</f>
        <v>No</v>
      </c>
      <c r="F1172" s="1" t="str">
        <f ca="1">IFERROR(__xludf.DUMMYFUNCTION("""COMPUTED_VALUE"""),"English")</f>
        <v>English</v>
      </c>
      <c r="G1172" s="1" t="str">
        <f ca="1">IFERROR(__xludf.DUMMYFUNCTION("""COMPUTED_VALUE"""),"अध्यात्म, धर्म एवं दर्शन")</f>
        <v>अध्यात्म, धर्म एवं दर्शन</v>
      </c>
      <c r="H1172" s="1" t="str">
        <f ca="1">IFERROR(__xludf.DUMMYFUNCTION("""COMPUTED_VALUE"""),"आत्मज्ञान एवं आत्मनिर्माण")</f>
        <v>आत्मज्ञान एवं आत्मनिर्माण</v>
      </c>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f ca="1">IFERROR(__xludf.DUMMYFUNCTION("""COMPUTED_VALUE"""),17)</f>
        <v>17</v>
      </c>
      <c r="BX1172" s="1">
        <f ca="1">IFERROR(__xludf.DUMMYFUNCTION("""COMPUTED_VALUE"""),14)</f>
        <v>14</v>
      </c>
      <c r="BY1172" s="1">
        <f ca="1">IFERROR(__xludf.DUMMYFUNCTION("""COMPUTED_VALUE"""),6)</f>
        <v>6</v>
      </c>
      <c r="BZ1172" s="1">
        <f ca="1">IFERROR(__xludf.DUMMYFUNCTION("""COMPUTED_VALUE"""),5)</f>
        <v>5</v>
      </c>
      <c r="CA1172" s="1" t="str">
        <f ca="1">IFERROR(__xludf.DUMMYFUNCTION("""COMPUTED_VALUE"""),"Yes")</f>
        <v>Yes</v>
      </c>
      <c r="CB1172" s="5">
        <f ca="1">IFERROR(__xludf.DUMMYFUNCTION("""COMPUTED_VALUE"""),44963.6280244213)</f>
        <v>44963.628024421298</v>
      </c>
      <c r="CC1172" s="1" t="str">
        <f ca="1">IFERROR(__xludf.DUMMYFUNCTION("""COMPUTED_VALUE"""),"In The Angelic Light Of Rishi Thoughts 3 : EP_70_3")</f>
        <v>In The Angelic Light Of Rishi Thoughts 3 : EP_70_3</v>
      </c>
      <c r="CD1172" s="3" t="str">
        <f ca="1">IFERROR(__xludf.DUMMYFUNCTION("""COMPUTED_VALUE"""),"https://vicharkrantibooks.org/productdetail?book_name=ENGP0714_IN_THE_ANGELIC_LIGHT_OF_RISHI_THOUGHTS_3_xxyyyy&amp;product_id=3462")</f>
        <v>https://vicharkrantibooks.org/productdetail?book_name=ENGP0714_IN_THE_ANGELIC_LIGHT_OF_RISHI_THOUGHTS_3_xxyyyy&amp;product_id=3462</v>
      </c>
      <c r="CE1172" s="1" t="str">
        <f ca="1">IFERROR(__xludf.DUMMYFUNCTION("""COMPUTED_VALUE"""),"Audiobook : In The Angelic Light Of Rishi Thoughts 3 : EP_70_3 : amrita_dube@yahoo.com : Recorded")</f>
        <v>Audiobook : In The Angelic Light Of Rishi Thoughts 3 : EP_70_3 : amrita_dube@yahoo.com : Recorded</v>
      </c>
      <c r="CF1172" s="1" t="str">
        <f ca="1">IFERROR(__xludf.DUMMYFUNCTION("""COMPUTED_VALUE"""),"Audiobook : In The Angelic Light Of Rishi Thoughts 3 : EP_70_3 : amrita_dube@yahoo.com : Recorded")</f>
        <v>Audiobook : In The Angelic Light Of Rishi Thoughts 3 : EP_70_3 : amrita_dube@yahoo.com : Recorded</v>
      </c>
      <c r="CG1172" s="1" t="str">
        <f ca="1">IFERROR(__xludf.DUMMYFUNCTION("""COMPUTED_VALUE"""),"Adarniya Amrita ji In The Angelic Light Of Rishi Thoughts 3 : EP_70_3 : Allocated on 27-Jan-23 Contact Number  8767202225")</f>
        <v>Adarniya Amrita ji In The Angelic Light Of Rishi Thoughts 3 : EP_70_3 : Allocated on 27-Jan-23 Contact Number  8767202225</v>
      </c>
      <c r="CH1172" s="1"/>
      <c r="CI1172" s="1"/>
    </row>
    <row r="1173" spans="1:87" x14ac:dyDescent="0.25">
      <c r="A1173" s="5">
        <f ca="1">IFERROR(__xludf.DUMMYFUNCTION("""COMPUTED_VALUE"""),44952.8524826736)</f>
        <v>44952.852482673603</v>
      </c>
      <c r="B1173" s="1" t="str">
        <f ca="1">IFERROR(__xludf.DUMMYFUNCTION("""COMPUTED_VALUE"""),"sbdswati@gmail.com")</f>
        <v>sbdswati@gmail.com</v>
      </c>
      <c r="C1173" s="1" t="str">
        <f ca="1">IFERROR(__xludf.DUMMYFUNCTION("""COMPUTED_VALUE"""),"Swati Srivastava")</f>
        <v>Swati Srivastava</v>
      </c>
      <c r="D1173" s="1">
        <f ca="1">IFERROR(__xludf.DUMMYFUNCTION("""COMPUTED_VALUE"""),6397862188)</f>
        <v>6397862188</v>
      </c>
      <c r="E1173" s="1" t="str">
        <f ca="1">IFERROR(__xludf.DUMMYFUNCTION("""COMPUTED_VALUE"""),"Yes")</f>
        <v>Yes</v>
      </c>
      <c r="F1173" s="1" t="str">
        <f ca="1">IFERROR(__xludf.DUMMYFUNCTION("""COMPUTED_VALUE"""),"हिन्दी")</f>
        <v>हिन्दी</v>
      </c>
      <c r="G1173" s="1" t="str">
        <f ca="1">IFERROR(__xludf.DUMMYFUNCTION("""COMPUTED_VALUE"""),"परिवार निर्माण")</f>
        <v>परिवार निर्माण</v>
      </c>
      <c r="H1173" s="1"/>
      <c r="I1173" s="1"/>
      <c r="J1173" s="1"/>
      <c r="K1173" s="1"/>
      <c r="L1173" s="1"/>
      <c r="M1173" s="1" t="str">
        <f ca="1">IFERROR(__xludf.DUMMYFUNCTION("""COMPUTED_VALUE"""),"गर्भ संस्कार")</f>
        <v>गर्भ संस्कार</v>
      </c>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f ca="1">IFERROR(__xludf.DUMMYFUNCTION("""COMPUTED_VALUE"""),10)</f>
        <v>10</v>
      </c>
      <c r="BX1173" s="1">
        <f ca="1">IFERROR(__xludf.DUMMYFUNCTION("""COMPUTED_VALUE"""),12)</f>
        <v>12</v>
      </c>
      <c r="BY1173" s="1">
        <f ca="1">IFERROR(__xludf.DUMMYFUNCTION("""COMPUTED_VALUE"""),2)</f>
        <v>2</v>
      </c>
      <c r="BZ1173" s="1">
        <f ca="1">IFERROR(__xludf.DUMMYFUNCTION("""COMPUTED_VALUE"""),1)</f>
        <v>1</v>
      </c>
      <c r="CA1173" s="1" t="str">
        <f ca="1">IFERROR(__xludf.DUMMYFUNCTION("""COMPUTED_VALUE"""),"Yes")</f>
        <v>Yes</v>
      </c>
      <c r="CB1173" s="5">
        <f ca="1">IFERROR(__xludf.DUMMYFUNCTION("""COMPUTED_VALUE"""),44962.8524826736)</f>
        <v>44962.852482673603</v>
      </c>
      <c r="CC1173" s="1" t="str">
        <f ca="1">IFERROR(__xludf.DUMMYFUNCTION("""COMPUTED_VALUE"""),"परिवार का पालन ही नहीं, निर्माण भी करें : Rare Book")</f>
        <v>परिवार का पालन ही नहीं, निर्माण भी करें : Rare Book</v>
      </c>
      <c r="CD1173" s="3" t="str">
        <f ca="1">IFERROR(__xludf.DUMMYFUNCTION("""COMPUTED_VALUE"""),"https://vicharkrantibooks.org/productdetail?book_name=HINP0628_PARIWAR_KA_PALAN_HI_NAHI_NIRMAN_BHI_KAREN_xxyyyy&amp;product_id=1193")</f>
        <v>https://vicharkrantibooks.org/productdetail?book_name=HINP0628_PARIWAR_KA_PALAN_HI_NAHI_NIRMAN_BHI_KAREN_xxyyyy&amp;product_id=1193</v>
      </c>
      <c r="CE1173" s="1" t="str">
        <f ca="1">IFERROR(__xludf.DUMMYFUNCTION("""COMPUTED_VALUE"""),"Audiobook : परिवार का पालन ही नहीं, निर्माण भी करें : Rare Book : sbdswati@gmail.com : Recorded")</f>
        <v>Audiobook : परिवार का पालन ही नहीं, निर्माण भी करें : Rare Book : sbdswati@gmail.com : Recorded</v>
      </c>
      <c r="CF1173" s="1" t="str">
        <f ca="1">IFERROR(__xludf.DUMMYFUNCTION("""COMPUTED_VALUE"""),"#N/A")</f>
        <v>#N/A</v>
      </c>
      <c r="CG1173" s="1" t="str">
        <f ca="1">IFERROR(__xludf.DUMMYFUNCTION("""COMPUTED_VALUE"""),"Adarniya Swati Srivastava ji परिवार का पालन ही नहीं, निर्माण भी करें : Rare Book : Allocated on 26-Jan-23 Contact Number  6397862188")</f>
        <v>Adarniya Swati Srivastava ji परिवार का पालन ही नहीं, निर्माण भी करें : Rare Book : Allocated on 26-Jan-23 Contact Number  6397862188</v>
      </c>
      <c r="CH1173" s="1"/>
      <c r="CI1173" s="1"/>
    </row>
    <row r="1174" spans="1:87" x14ac:dyDescent="0.25">
      <c r="A1174" s="5">
        <f ca="1">IFERROR(__xludf.DUMMYFUNCTION("""COMPUTED_VALUE"""),44952.8330710763)</f>
        <v>44952.833071076297</v>
      </c>
      <c r="B1174" s="1" t="str">
        <f ca="1">IFERROR(__xludf.DUMMYFUNCTION("""COMPUTED_VALUE"""),"dikshakumari225@gmail.com")</f>
        <v>dikshakumari225@gmail.com</v>
      </c>
      <c r="C1174" s="1" t="str">
        <f ca="1">IFERROR(__xludf.DUMMYFUNCTION("""COMPUTED_VALUE"""),"Diksha")</f>
        <v>Diksha</v>
      </c>
      <c r="D1174" s="1">
        <f ca="1">IFERROR(__xludf.DUMMYFUNCTION("""COMPUTED_VALUE"""),8750259176)</f>
        <v>8750259176</v>
      </c>
      <c r="E1174" s="1" t="str">
        <f ca="1">IFERROR(__xludf.DUMMYFUNCTION("""COMPUTED_VALUE"""),"No")</f>
        <v>No</v>
      </c>
      <c r="F1174" s="1" t="str">
        <f ca="1">IFERROR(__xludf.DUMMYFUNCTION("""COMPUTED_VALUE"""),"हिन्दी")</f>
        <v>हिन्दी</v>
      </c>
      <c r="G1174" s="1" t="str">
        <f ca="1">IFERROR(__xludf.DUMMYFUNCTION("""COMPUTED_VALUE"""),"व्यक्ति निर्माण, युवा/विद्यार्थी एवं शिक्षक")</f>
        <v>व्यक्ति निर्माण, युवा/विद्यार्थी एवं शिक्षक</v>
      </c>
      <c r="H1174" s="1"/>
      <c r="I1174" s="1"/>
      <c r="J1174" s="1"/>
      <c r="K1174" s="1"/>
      <c r="L1174" s="1"/>
      <c r="M1174" s="1"/>
      <c r="N1174" s="1"/>
      <c r="O1174" s="1"/>
      <c r="P1174" s="1"/>
      <c r="Q1174" s="1"/>
      <c r="R1174" s="1"/>
      <c r="S1174" s="1"/>
      <c r="T1174" s="1" t="str">
        <f ca="1">IFERROR(__xludf.DUMMYFUNCTION("""COMPUTED_VALUE"""),"व्यक्तित्व परिष्कार")</f>
        <v>व्यक्तित्व परिष्कार</v>
      </c>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f ca="1">IFERROR(__xludf.DUMMYFUNCTION("""COMPUTED_VALUE"""),1)</f>
        <v>1</v>
      </c>
      <c r="BX1174" s="1">
        <f ca="1">IFERROR(__xludf.DUMMYFUNCTION("""COMPUTED_VALUE"""),0)</f>
        <v>0</v>
      </c>
      <c r="BY1174" s="1">
        <f ca="1">IFERROR(__xludf.DUMMYFUNCTION("""COMPUTED_VALUE"""),1)</f>
        <v>1</v>
      </c>
      <c r="BZ1174" s="1">
        <f ca="1">IFERROR(__xludf.DUMMYFUNCTION("""COMPUTED_VALUE"""),0)</f>
        <v>0</v>
      </c>
      <c r="CA1174" s="1" t="str">
        <f ca="1">IFERROR(__xludf.DUMMYFUNCTION("""COMPUTED_VALUE"""),"Yes")</f>
        <v>Yes</v>
      </c>
      <c r="CB1174" s="5">
        <f ca="1">IFERROR(__xludf.DUMMYFUNCTION("""COMPUTED_VALUE"""),44962.8330710763)</f>
        <v>44962.833071076297</v>
      </c>
      <c r="CC1174" s="1" t="str">
        <f ca="1">IFERROR(__xludf.DUMMYFUNCTION("""COMPUTED_VALUE"""),"अपना मूल्यांकन भी करते रहें : Rare Book")</f>
        <v>अपना मूल्यांकन भी करते रहें : Rare Book</v>
      </c>
      <c r="CD1174" s="3" t="str">
        <f ca="1">IFERROR(__xludf.DUMMYFUNCTION("""COMPUTED_VALUE"""),"https://vicharkrantibooks.org/productdetail?book_name=HINP0056_APANA_MULYANKAN_BHI_KARATE_RAHEN_xxyyyy&amp;product_id=621")</f>
        <v>https://vicharkrantibooks.org/productdetail?book_name=HINP0056_APANA_MULYANKAN_BHI_KARATE_RAHEN_xxyyyy&amp;product_id=621</v>
      </c>
      <c r="CE1174" s="1" t="str">
        <f ca="1">IFERROR(__xludf.DUMMYFUNCTION("""COMPUTED_VALUE"""),"Audiobook : अपना मूल्यांकन भी करते रहें : Rare Book : dikshakumari225@gmail.com : Recorded")</f>
        <v>Audiobook : अपना मूल्यांकन भी करते रहें : Rare Book : dikshakumari225@gmail.com : Recorded</v>
      </c>
      <c r="CF1174" s="1" t="str">
        <f ca="1">IFERROR(__xludf.DUMMYFUNCTION("""COMPUTED_VALUE"""),"#N/A")</f>
        <v>#N/A</v>
      </c>
      <c r="CG1174" s="1" t="str">
        <f ca="1">IFERROR(__xludf.DUMMYFUNCTION("""COMPUTED_VALUE"""),"Adarniya Diksha ji अपना मूल्यांकन भी करते रहें : Rare Book : Allocated on 26-Jan-23 Contact Number  8750259176")</f>
        <v>Adarniya Diksha ji अपना मूल्यांकन भी करते रहें : Rare Book : Allocated on 26-Jan-23 Contact Number  8750259176</v>
      </c>
      <c r="CH1174" s="1"/>
      <c r="CI1174" s="1"/>
    </row>
    <row r="1175" spans="1:87" x14ac:dyDescent="0.25">
      <c r="A1175" s="5">
        <f ca="1">IFERROR(__xludf.DUMMYFUNCTION("""COMPUTED_VALUE"""),44952.8260888541)</f>
        <v>44952.826088854097</v>
      </c>
      <c r="B1175" s="1" t="str">
        <f ca="1">IFERROR(__xludf.DUMMYFUNCTION("""COMPUTED_VALUE"""),"vandanasharma5656@gmail.com")</f>
        <v>vandanasharma5656@gmail.com</v>
      </c>
      <c r="C1175" s="1" t="str">
        <f ca="1">IFERROR(__xludf.DUMMYFUNCTION("""COMPUTED_VALUE"""),"Vandana sharma ")</f>
        <v xml:space="preserve">Vandana sharma </v>
      </c>
      <c r="D1175" s="1">
        <f ca="1">IFERROR(__xludf.DUMMYFUNCTION("""COMPUTED_VALUE"""),7500444484)</f>
        <v>7500444484</v>
      </c>
      <c r="E1175" s="1" t="str">
        <f ca="1">IFERROR(__xludf.DUMMYFUNCTION("""COMPUTED_VALUE"""),"Yes")</f>
        <v>Yes</v>
      </c>
      <c r="F1175" s="1" t="str">
        <f ca="1">IFERROR(__xludf.DUMMYFUNCTION("""COMPUTED_VALUE"""),"हिन्दी")</f>
        <v>हिन्दी</v>
      </c>
      <c r="G1175" s="1" t="str">
        <f ca="1">IFERROR(__xludf.DUMMYFUNCTION("""COMPUTED_VALUE"""),"अध्यात्म, धर्म एवं दर्शन")</f>
        <v>अध्यात्म, धर्म एवं दर्शन</v>
      </c>
      <c r="H1175" s="1" t="str">
        <f ca="1">IFERROR(__xludf.DUMMYFUNCTION("""COMPUTED_VALUE"""),"आत्मज्ञान एवं आत्मनिर्माण")</f>
        <v>आत्मज्ञान एवं आत्मनिर्माण</v>
      </c>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f ca="1">IFERROR(__xludf.DUMMYFUNCTION("""COMPUTED_VALUE"""),1)</f>
        <v>1</v>
      </c>
      <c r="BX1175" s="1">
        <f ca="1">IFERROR(__xludf.DUMMYFUNCTION("""COMPUTED_VALUE"""),0)</f>
        <v>0</v>
      </c>
      <c r="BY1175" s="1">
        <f ca="1">IFERROR(__xludf.DUMMYFUNCTION("""COMPUTED_VALUE"""),1)</f>
        <v>1</v>
      </c>
      <c r="BZ1175" s="1">
        <f ca="1">IFERROR(__xludf.DUMMYFUNCTION("""COMPUTED_VALUE"""),0)</f>
        <v>0</v>
      </c>
      <c r="CA1175" s="1" t="str">
        <f ca="1">IFERROR(__xludf.DUMMYFUNCTION("""COMPUTED_VALUE"""),"Yes")</f>
        <v>Yes</v>
      </c>
      <c r="CB1175" s="5">
        <f ca="1">IFERROR(__xludf.DUMMYFUNCTION("""COMPUTED_VALUE"""),44962.8260888541)</f>
        <v>44962.826088854097</v>
      </c>
      <c r="CC1175" s="1" t="str">
        <f ca="1">IFERROR(__xludf.DUMMYFUNCTION("""COMPUTED_VALUE"""),"आत्मीयता का अमृत और उसका रसास्वादन : Rare Book")</f>
        <v>आत्मीयता का अमृत और उसका रसास्वादन : Rare Book</v>
      </c>
      <c r="CD1175" s="3" t="str">
        <f ca="1">IFERROR(__xludf.DUMMYFUNCTION("""COMPUTED_VALUE"""),"https://vicharkrantibooks.org/productdetail?book_name=HINP0107_ATMIYATA_KA_AMRUT_AUR_USAKA_RASASVADAN_xx1981&amp;product_id=672")</f>
        <v>https://vicharkrantibooks.org/productdetail?book_name=HINP0107_ATMIYATA_KA_AMRUT_AUR_USAKA_RASASVADAN_xx1981&amp;product_id=672</v>
      </c>
      <c r="CE1175" s="1" t="str">
        <f ca="1">IFERROR(__xludf.DUMMYFUNCTION("""COMPUTED_VALUE"""),"Audiobook : आत्मीयता का अमृत और उसका रसास्वादन : Rare Book : vandanasharma5656@gmail.com : Recorded")</f>
        <v>Audiobook : आत्मीयता का अमृत और उसका रसास्वादन : Rare Book : vandanasharma5656@gmail.com : Recorded</v>
      </c>
      <c r="CF1175" s="1" t="str">
        <f ca="1">IFERROR(__xludf.DUMMYFUNCTION("""COMPUTED_VALUE"""),"#N/A")</f>
        <v>#N/A</v>
      </c>
      <c r="CG1175" s="1" t="str">
        <f ca="1">IFERROR(__xludf.DUMMYFUNCTION("""COMPUTED_VALUE"""),"Adarniya Vandana sharma  ji आत्मीयता का अमृत और उसका रसास्वादन : Rare Book : Allocated on 26-Jan-23 Contact Number  7500444484")</f>
        <v>Adarniya Vandana sharma  ji आत्मीयता का अमृत और उसका रसास्वादन : Rare Book : Allocated on 26-Jan-23 Contact Number  7500444484</v>
      </c>
      <c r="CH1175" s="1"/>
      <c r="CI1175" s="1"/>
    </row>
    <row r="1176" spans="1:87" x14ac:dyDescent="0.25">
      <c r="A1176" s="5">
        <f ca="1">IFERROR(__xludf.DUMMYFUNCTION("""COMPUTED_VALUE"""),44952.8017356134)</f>
        <v>44952.801735613401</v>
      </c>
      <c r="B1176" s="1" t="str">
        <f ca="1">IFERROR(__xludf.DUMMYFUNCTION("""COMPUTED_VALUE"""),"garimagangwar65@gmail.com")</f>
        <v>garimagangwar65@gmail.com</v>
      </c>
      <c r="C1176" s="1" t="str">
        <f ca="1">IFERROR(__xludf.DUMMYFUNCTION("""COMPUTED_VALUE"""),"Garima")</f>
        <v>Garima</v>
      </c>
      <c r="D1176" s="1">
        <f ca="1">IFERROR(__xludf.DUMMYFUNCTION("""COMPUTED_VALUE"""),7017731636)</f>
        <v>7017731636</v>
      </c>
      <c r="E1176" s="1" t="str">
        <f ca="1">IFERROR(__xludf.DUMMYFUNCTION("""COMPUTED_VALUE"""),"Yes")</f>
        <v>Yes</v>
      </c>
      <c r="F1176" s="1" t="str">
        <f ca="1">IFERROR(__xludf.DUMMYFUNCTION("""COMPUTED_VALUE"""),"हिन्दी")</f>
        <v>हिन्दी</v>
      </c>
      <c r="G1176" s="1" t="str">
        <f ca="1">IFERROR(__xludf.DUMMYFUNCTION("""COMPUTED_VALUE"""),"व्यक्ति निर्माण, युवा/विद्यार्थी एवं शिक्षक")</f>
        <v>व्यक्ति निर्माण, युवा/विद्यार्थी एवं शिक्षक</v>
      </c>
      <c r="H1176" s="1"/>
      <c r="I1176" s="1"/>
      <c r="J1176" s="1"/>
      <c r="K1176" s="1"/>
      <c r="L1176" s="1"/>
      <c r="M1176" s="1"/>
      <c r="N1176" s="1"/>
      <c r="O1176" s="1"/>
      <c r="P1176" s="1"/>
      <c r="Q1176" s="1"/>
      <c r="R1176" s="1"/>
      <c r="S1176" s="1"/>
      <c r="T1176" s="1" t="str">
        <f ca="1">IFERROR(__xludf.DUMMYFUNCTION("""COMPUTED_VALUE"""),"व्यक्तित्व परिष्कार")</f>
        <v>व्यक्तित्व परिष्कार</v>
      </c>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f ca="1">IFERROR(__xludf.DUMMYFUNCTION("""COMPUTED_VALUE"""),1)</f>
        <v>1</v>
      </c>
      <c r="BX1176" s="1">
        <f ca="1">IFERROR(__xludf.DUMMYFUNCTION("""COMPUTED_VALUE"""),0)</f>
        <v>0</v>
      </c>
      <c r="BY1176" s="1">
        <f ca="1">IFERROR(__xludf.DUMMYFUNCTION("""COMPUTED_VALUE"""),1)</f>
        <v>1</v>
      </c>
      <c r="BZ1176" s="1">
        <f ca="1">IFERROR(__xludf.DUMMYFUNCTION("""COMPUTED_VALUE"""),0)</f>
        <v>0</v>
      </c>
      <c r="CA1176" s="1" t="str">
        <f ca="1">IFERROR(__xludf.DUMMYFUNCTION("""COMPUTED_VALUE"""),"Yes")</f>
        <v>Yes</v>
      </c>
      <c r="CB1176" s="5">
        <f ca="1">IFERROR(__xludf.DUMMYFUNCTION("""COMPUTED_VALUE"""),44962.8017356134)</f>
        <v>44962.801735613401</v>
      </c>
      <c r="CC1176" s="1" t="str">
        <f ca="1">IFERROR(__xludf.DUMMYFUNCTION("""COMPUTED_VALUE"""),"अपना आपा कितना महान कितना समर्थ : Rare Book")</f>
        <v>अपना आपा कितना महान कितना समर्थ : Rare Book</v>
      </c>
      <c r="CD1176" s="3" t="str">
        <f ca="1">IFERROR(__xludf.DUMMYFUNCTION("""COMPUTED_VALUE"""),"https://vicharkrantibooks.org/productdetail?book_name=HINP0055_APANA_APA_KITANA_MAHAN_KITANA_SAMARTH_xx1982&amp;product_id=620")</f>
        <v>https://vicharkrantibooks.org/productdetail?book_name=HINP0055_APANA_APA_KITANA_MAHAN_KITANA_SAMARTH_xx1982&amp;product_id=620</v>
      </c>
      <c r="CE1176" s="1" t="str">
        <f ca="1">IFERROR(__xludf.DUMMYFUNCTION("""COMPUTED_VALUE"""),"Audiobook : अपना आपा कितना महान कितना समर्थ : Rare Book : garimagangwar65@gmail.com : Recorded")</f>
        <v>Audiobook : अपना आपा कितना महान कितना समर्थ : Rare Book : garimagangwar65@gmail.com : Recorded</v>
      </c>
      <c r="CF1176" s="1" t="str">
        <f ca="1">IFERROR(__xludf.DUMMYFUNCTION("""COMPUTED_VALUE"""),"#N/A")</f>
        <v>#N/A</v>
      </c>
      <c r="CG1176" s="1" t="str">
        <f ca="1">IFERROR(__xludf.DUMMYFUNCTION("""COMPUTED_VALUE"""),"Adarniya Garima ji अपना आपा कितना महान कितना समर्थ : Rare Book : Allocated on 26-Jan-23 Contact Number  7017731636")</f>
        <v>Adarniya Garima ji अपना आपा कितना महान कितना समर्थ : Rare Book : Allocated on 26-Jan-23 Contact Number  7017731636</v>
      </c>
      <c r="CH1176" s="1"/>
      <c r="CI1176" s="1"/>
    </row>
    <row r="1177" spans="1:87" x14ac:dyDescent="0.25">
      <c r="A1177" s="5">
        <f ca="1">IFERROR(__xludf.DUMMYFUNCTION("""COMPUTED_VALUE"""),44952.2071692476)</f>
        <v>44952.207169247602</v>
      </c>
      <c r="B1177" s="1" t="str">
        <f ca="1">IFERROR(__xludf.DUMMYFUNCTION("""COMPUTED_VALUE"""),"sanjayneha1@yahoo.com")</f>
        <v>sanjayneha1@yahoo.com</v>
      </c>
      <c r="C1177" s="1" t="str">
        <f ca="1">IFERROR(__xludf.DUMMYFUNCTION("""COMPUTED_VALUE"""),"Neha Manocha")</f>
        <v>Neha Manocha</v>
      </c>
      <c r="D1177" s="1">
        <f ca="1">IFERROR(__xludf.DUMMYFUNCTION("""COMPUTED_VALUE"""),16174130446)</f>
        <v>16174130446</v>
      </c>
      <c r="E1177" s="1" t="str">
        <f ca="1">IFERROR(__xludf.DUMMYFUNCTION("""COMPUTED_VALUE"""),"Yes")</f>
        <v>Yes</v>
      </c>
      <c r="F1177" s="1" t="str">
        <f ca="1">IFERROR(__xludf.DUMMYFUNCTION("""COMPUTED_VALUE"""),"हिन्दी or English")</f>
        <v>हिन्दी or English</v>
      </c>
      <c r="G1177" s="1" t="str">
        <f ca="1">IFERROR(__xludf.DUMMYFUNCTION("""COMPUTED_VALUE"""),"जीवन प्रबंध")</f>
        <v>जीवन प्रबंध</v>
      </c>
      <c r="H1177" s="1"/>
      <c r="I1177" s="1"/>
      <c r="J1177" s="1"/>
      <c r="K1177" s="1"/>
      <c r="L1177" s="1" t="str">
        <f ca="1">IFERROR(__xludf.DUMMYFUNCTION("""COMPUTED_VALUE"""),"सफल, संतुष्ट एवं सुखी जीवन")</f>
        <v>सफल, संतुष्ट एवं सुखी जीवन</v>
      </c>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f ca="1">IFERROR(__xludf.DUMMYFUNCTION("""COMPUTED_VALUE"""),33)</f>
        <v>33</v>
      </c>
      <c r="BX1177" s="1">
        <f ca="1">IFERROR(__xludf.DUMMYFUNCTION("""COMPUTED_VALUE"""),40)</f>
        <v>40</v>
      </c>
      <c r="BY1177" s="1">
        <f ca="1">IFERROR(__xludf.DUMMYFUNCTION("""COMPUTED_VALUE"""),3)</f>
        <v>3</v>
      </c>
      <c r="BZ1177" s="1">
        <f ca="1">IFERROR(__xludf.DUMMYFUNCTION("""COMPUTED_VALUE"""),22)</f>
        <v>22</v>
      </c>
      <c r="CA1177" s="1" t="str">
        <f ca="1">IFERROR(__xludf.DUMMYFUNCTION("""COMPUTED_VALUE"""),"Yes")</f>
        <v>Yes</v>
      </c>
      <c r="CB1177" s="5">
        <f ca="1">IFERROR(__xludf.DUMMYFUNCTION("""COMPUTED_VALUE"""),44962.2071692476)</f>
        <v>44962.207169247602</v>
      </c>
      <c r="CC1177" s="1" t="str">
        <f ca="1">IFERROR(__xludf.DUMMYFUNCTION("""COMPUTED_VALUE"""),"Why Suicides? : EP_40")</f>
        <v>Why Suicides? : EP_40</v>
      </c>
      <c r="CD1177" s="3" t="str">
        <f ca="1">IFERROR(__xludf.DUMMYFUNCTION("""COMPUTED_VALUE"""),"https://vicharkrantibooks.org/productdetail?book_name=ENGPE040_WHY_SUICIDES_xxyyyy&amp;product_id=3433")</f>
        <v>https://vicharkrantibooks.org/productdetail?book_name=ENGPE040_WHY_SUICIDES_xxyyyy&amp;product_id=3433</v>
      </c>
      <c r="CE1177" s="1" t="str">
        <f ca="1">IFERROR(__xludf.DUMMYFUNCTION("""COMPUTED_VALUE"""),"Audiobook : Why Suicides? : EP_40 : sanjayneha1@yahoo.com : Recorded")</f>
        <v>Audiobook : Why Suicides? : EP_40 : sanjayneha1@yahoo.com : Recorded</v>
      </c>
      <c r="CF1177" s="1" t="str">
        <f ca="1">IFERROR(__xludf.DUMMYFUNCTION("""COMPUTED_VALUE"""),"Audiobook : Why Suicides? : EP_40 : sanjayneha1@yahoo.com : Recorded")</f>
        <v>Audiobook : Why Suicides? : EP_40 : sanjayneha1@yahoo.com : Recorded</v>
      </c>
      <c r="CG1177" s="1" t="str">
        <f ca="1">IFERROR(__xludf.DUMMYFUNCTION("""COMPUTED_VALUE"""),"Adarniya Neha Manocha ji Why Suicides? : EP_40 : Allocated on 26-Jan-23 Contact Number  16174130446")</f>
        <v>Adarniya Neha Manocha ji Why Suicides? : EP_40 : Allocated on 26-Jan-23 Contact Number  16174130446</v>
      </c>
      <c r="CH1177" s="1"/>
      <c r="CI1177" s="1"/>
    </row>
    <row r="1178" spans="1:87" x14ac:dyDescent="0.25">
      <c r="A1178" s="5">
        <f ca="1">IFERROR(__xludf.DUMMYFUNCTION("""COMPUTED_VALUE"""),44951.7230361921)</f>
        <v>44951.723036192103</v>
      </c>
      <c r="B1178" s="1" t="str">
        <f ca="1">IFERROR(__xludf.DUMMYFUNCTION("""COMPUTED_VALUE"""),"csprasad108@gmail.com")</f>
        <v>csprasad108@gmail.com</v>
      </c>
      <c r="C1178" s="1" t="str">
        <f ca="1">IFERROR(__xludf.DUMMYFUNCTION("""COMPUTED_VALUE"""),"Kumkum prasad")</f>
        <v>Kumkum prasad</v>
      </c>
      <c r="D1178" s="1">
        <f ca="1">IFERROR(__xludf.DUMMYFUNCTION("""COMPUTED_VALUE"""),7978055621)</f>
        <v>7978055621</v>
      </c>
      <c r="E1178" s="1" t="str">
        <f ca="1">IFERROR(__xludf.DUMMYFUNCTION("""COMPUTED_VALUE"""),"Yes")</f>
        <v>Yes</v>
      </c>
      <c r="F1178" s="1" t="str">
        <f ca="1">IFERROR(__xludf.DUMMYFUNCTION("""COMPUTED_VALUE"""),"हिन्दी")</f>
        <v>हिन्दी</v>
      </c>
      <c r="G1178" s="1" t="str">
        <f ca="1">IFERROR(__xludf.DUMMYFUNCTION("""COMPUTED_VALUE"""),"संस्कार, कर्मकाण्ड, पाठ, पूजा, गीत-संगीत")</f>
        <v>संस्कार, कर्मकाण्ड, पाठ, पूजा, गीत-संगीत</v>
      </c>
      <c r="H1178" s="1"/>
      <c r="I1178" s="1"/>
      <c r="J1178" s="1"/>
      <c r="K1178" s="1"/>
      <c r="L1178" s="1"/>
      <c r="M1178" s="1"/>
      <c r="N1178" s="1"/>
      <c r="O1178" s="1"/>
      <c r="P1178" s="1"/>
      <c r="Q1178" s="1"/>
      <c r="R1178" s="1"/>
      <c r="S1178" s="1"/>
      <c r="T1178" s="1"/>
      <c r="U1178" s="1"/>
      <c r="V1178" s="1"/>
      <c r="W1178" s="1" t="str">
        <f ca="1">IFERROR(__xludf.DUMMYFUNCTION("""COMPUTED_VALUE"""),"संस्कार")</f>
        <v>संस्कार</v>
      </c>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f ca="1">IFERROR(__xludf.DUMMYFUNCTION("""COMPUTED_VALUE"""),52)</f>
        <v>52</v>
      </c>
      <c r="BX1178" s="1">
        <f ca="1">IFERROR(__xludf.DUMMYFUNCTION("""COMPUTED_VALUE"""),54)</f>
        <v>54</v>
      </c>
      <c r="BY1178" s="1">
        <f ca="1">IFERROR(__xludf.DUMMYFUNCTION("""COMPUTED_VALUE"""),3)</f>
        <v>3</v>
      </c>
      <c r="BZ1178" s="1">
        <f ca="1">IFERROR(__xludf.DUMMYFUNCTION("""COMPUTED_VALUE"""),24)</f>
        <v>24</v>
      </c>
      <c r="CA1178" s="1" t="str">
        <f ca="1">IFERROR(__xludf.DUMMYFUNCTION("""COMPUTED_VALUE"""),"Yes")</f>
        <v>Yes</v>
      </c>
      <c r="CB1178" s="5">
        <f ca="1">IFERROR(__xludf.DUMMYFUNCTION("""COMPUTED_VALUE"""),44961.7230361921)</f>
        <v>44961.723036192103</v>
      </c>
      <c r="CC1178" s="1" t="str">
        <f ca="1">IFERROR(__xludf.DUMMYFUNCTION("""COMPUTED_VALUE"""),"चिंतन चरित्र को उँचा उठाएँ : H_JS_49")</f>
        <v>चिंतन चरित्र को उँचा उठाएँ : H_JS_49</v>
      </c>
      <c r="CD1178" s="3" t="str">
        <f ca="1">IFERROR(__xludf.DUMMYFUNCTION("""COMPUTED_VALUE"""),"https://vicharkrantibooks.org/productdetail?book_name=HINP0195_CHINTAN_CHARITR_KO_UNCHA_UTHAEN_xx2011&amp;product_id=760")</f>
        <v>https://vicharkrantibooks.org/productdetail?book_name=HINP0195_CHINTAN_CHARITR_KO_UNCHA_UTHAEN_xx2011&amp;product_id=760</v>
      </c>
      <c r="CE1178" s="1" t="str">
        <f ca="1">IFERROR(__xludf.DUMMYFUNCTION("""COMPUTED_VALUE"""),"Audiobook : चिंतन चरित्र को उँचा उठाएँ : H_JS_49 : csprasad108@gmail.com : Recorded")</f>
        <v>Audiobook : चिंतन चरित्र को उँचा उठाएँ : H_JS_49 : csprasad108@gmail.com : Recorded</v>
      </c>
      <c r="CF1178" s="1" t="str">
        <f ca="1">IFERROR(__xludf.DUMMYFUNCTION("""COMPUTED_VALUE"""),"Audiobook : चिंतन चरित्र को उँचा उठाएँ : H_JS_49 : csprasad108@gmail.com : Recorded")</f>
        <v>Audiobook : चिंतन चरित्र को उँचा उठाएँ : H_JS_49 : csprasad108@gmail.com : Recorded</v>
      </c>
      <c r="CG1178" s="1" t="str">
        <f ca="1">IFERROR(__xludf.DUMMYFUNCTION("""COMPUTED_VALUE"""),"Adarniya Kumkum prasad ji चिंतन चरित्र को उँचा उठाएँ : H_JS_49 : Allocated on 25-Jan-23 Contact Number  7978055621")</f>
        <v>Adarniya Kumkum prasad ji चिंतन चरित्र को उँचा उठाएँ : H_JS_49 : Allocated on 25-Jan-23 Contact Number  7978055621</v>
      </c>
      <c r="CH1178" s="1"/>
      <c r="CI1178" s="1"/>
    </row>
    <row r="1179" spans="1:87" x14ac:dyDescent="0.25">
      <c r="A1179" s="5">
        <f ca="1">IFERROR(__xludf.DUMMYFUNCTION("""COMPUTED_VALUE"""),44951.3445329861)</f>
        <v>44951.344532986099</v>
      </c>
      <c r="B1179" s="1" t="str">
        <f ca="1">IFERROR(__xludf.DUMMYFUNCTION("""COMPUTED_VALUE"""),"pratibha.jojare@gmail.com")</f>
        <v>pratibha.jojare@gmail.com</v>
      </c>
      <c r="C1179" s="1" t="str">
        <f ca="1">IFERROR(__xludf.DUMMYFUNCTION("""COMPUTED_VALUE"""),"Pratibha subhash kulthe")</f>
        <v>Pratibha subhash kulthe</v>
      </c>
      <c r="D1179" s="1">
        <f ca="1">IFERROR(__xludf.DUMMYFUNCTION("""COMPUTED_VALUE"""),9096621395)</f>
        <v>9096621395</v>
      </c>
      <c r="E1179" s="1" t="str">
        <f ca="1">IFERROR(__xludf.DUMMYFUNCTION("""COMPUTED_VALUE"""),"Yes")</f>
        <v>Yes</v>
      </c>
      <c r="F1179" s="1" t="str">
        <f ca="1">IFERROR(__xludf.DUMMYFUNCTION("""COMPUTED_VALUE"""),"हिन्दी")</f>
        <v>हिन्दी</v>
      </c>
      <c r="G1179" s="1" t="str">
        <f ca="1">IFERROR(__xludf.DUMMYFUNCTION("""COMPUTED_VALUE"""),"भारतीय संस्कृति")</f>
        <v>भारतीय संस्कृति</v>
      </c>
      <c r="H1179" s="1"/>
      <c r="I1179" s="1"/>
      <c r="J1179" s="1"/>
      <c r="K1179" s="1"/>
      <c r="L1179" s="1"/>
      <c r="M1179" s="1"/>
      <c r="N1179" s="1"/>
      <c r="O1179" s="1" t="str">
        <f ca="1">IFERROR(__xludf.DUMMYFUNCTION("""COMPUTED_VALUE"""),"गायत्री")</f>
        <v>गायत्री</v>
      </c>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f ca="1">IFERROR(__xludf.DUMMYFUNCTION("""COMPUTED_VALUE"""),2)</f>
        <v>2</v>
      </c>
      <c r="BX1179" s="1">
        <f ca="1">IFERROR(__xludf.DUMMYFUNCTION("""COMPUTED_VALUE"""),0)</f>
        <v>0</v>
      </c>
      <c r="BY1179" s="1">
        <f ca="1">IFERROR(__xludf.DUMMYFUNCTION("""COMPUTED_VALUE"""),2)</f>
        <v>2</v>
      </c>
      <c r="BZ1179" s="1">
        <f ca="1">IFERROR(__xludf.DUMMYFUNCTION("""COMPUTED_VALUE"""),0)</f>
        <v>0</v>
      </c>
      <c r="CA1179" s="1" t="str">
        <f ca="1">IFERROR(__xludf.DUMMYFUNCTION("""COMPUTED_VALUE"""),"Yes")</f>
        <v>Yes</v>
      </c>
      <c r="CB1179" s="5">
        <f ca="1">IFERROR(__xludf.DUMMYFUNCTION("""COMPUTED_VALUE"""),44961.3445329861)</f>
        <v>44961.344532986099</v>
      </c>
      <c r="CC1179" s="1" t="str">
        <f ca="1">IFERROR(__xludf.DUMMYFUNCTION("""COMPUTED_VALUE"""),"गायत्री उपासना के चमत्कारी सत्परिणाम : Rare Book")</f>
        <v>गायत्री उपासना के चमत्कारी सत्परिणाम : Rare Book</v>
      </c>
      <c r="CD1179" s="3" t="str">
        <f ca="1">IFERROR(__xludf.DUMMYFUNCTION("""COMPUTED_VALUE"""),"https://vicharkrantibooks.org/productdetail?book_name=HINP0295_GAYATRI_UPASANA_KE_CHAMATKARI_SATPARINAM_xx1979&amp;product_id=860")</f>
        <v>https://vicharkrantibooks.org/productdetail?book_name=HINP0295_GAYATRI_UPASANA_KE_CHAMATKARI_SATPARINAM_xx1979&amp;product_id=860</v>
      </c>
      <c r="CE1179" s="1" t="str">
        <f ca="1">IFERROR(__xludf.DUMMYFUNCTION("""COMPUTED_VALUE"""),"Audiobook : गायत्री उपासना के चमत्कारी सत्परिणाम : Rare Book : pratibha.jojare@gmail.com : Recorded")</f>
        <v>Audiobook : गायत्री उपासना के चमत्कारी सत्परिणाम : Rare Book : pratibha.jojare@gmail.com : Recorded</v>
      </c>
      <c r="CF1179" s="1" t="str">
        <f ca="1">IFERROR(__xludf.DUMMYFUNCTION("""COMPUTED_VALUE"""),"#N/A")</f>
        <v>#N/A</v>
      </c>
      <c r="CG1179" s="1" t="str">
        <f ca="1">IFERROR(__xludf.DUMMYFUNCTION("""COMPUTED_VALUE"""),"Adarniya Pratibha subhash kulthe ji गायत्री उपासना के चमत्कारी सत्परिणाम : Rare Book : Allocated on 25-Jan-23 Contact Number  9096621395")</f>
        <v>Adarniya Pratibha subhash kulthe ji गायत्री उपासना के चमत्कारी सत्परिणाम : Rare Book : Allocated on 25-Jan-23 Contact Number  9096621395</v>
      </c>
      <c r="CH1179" s="1"/>
      <c r="CI1179" s="1"/>
    </row>
    <row r="1180" spans="1:87" x14ac:dyDescent="0.25">
      <c r="A1180" s="5">
        <f ca="1">IFERROR(__xludf.DUMMYFUNCTION("""COMPUTED_VALUE"""),44950.8581886342)</f>
        <v>44950.8581886342</v>
      </c>
      <c r="B1180" s="1" t="str">
        <f ca="1">IFERROR(__xludf.DUMMYFUNCTION("""COMPUTED_VALUE"""),"savita.dubey@gmail.com")</f>
        <v>savita.dubey@gmail.com</v>
      </c>
      <c r="C1180" s="1" t="str">
        <f ca="1">IFERROR(__xludf.DUMMYFUNCTION("""COMPUTED_VALUE"""),"Savita")</f>
        <v>Savita</v>
      </c>
      <c r="D1180" s="1">
        <f ca="1">IFERROR(__xludf.DUMMYFUNCTION("""COMPUTED_VALUE"""),4692640779)</f>
        <v>4692640779</v>
      </c>
      <c r="E1180" s="1" t="str">
        <f ca="1">IFERROR(__xludf.DUMMYFUNCTION("""COMPUTED_VALUE"""),"Yes")</f>
        <v>Yes</v>
      </c>
      <c r="F1180" s="1" t="str">
        <f ca="1">IFERROR(__xludf.DUMMYFUNCTION("""COMPUTED_VALUE"""),"हिन्दी or English")</f>
        <v>हिन्दी or English</v>
      </c>
      <c r="G1180" s="1" t="str">
        <f ca="1">IFERROR(__xludf.DUMMYFUNCTION("""COMPUTED_VALUE"""),"राष्ट्र निर्माण")</f>
        <v>राष्ट्र निर्माण</v>
      </c>
      <c r="H1180" s="1"/>
      <c r="I1180" s="1"/>
      <c r="J1180" s="1"/>
      <c r="K1180" s="1"/>
      <c r="L1180" s="1"/>
      <c r="M1180" s="1"/>
      <c r="N1180" s="1"/>
      <c r="O1180" s="1"/>
      <c r="P1180" s="1"/>
      <c r="Q1180" s="1"/>
      <c r="R1180" s="1" t="str">
        <f ca="1">IFERROR(__xludf.DUMMYFUNCTION("""COMPUTED_VALUE"""),"सार्थक एवं समग्र शिक्षा")</f>
        <v>सार्थक एवं समग्र शिक्षा</v>
      </c>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f ca="1">IFERROR(__xludf.DUMMYFUNCTION("""COMPUTED_VALUE"""),9)</f>
        <v>9</v>
      </c>
      <c r="BX1180" s="1">
        <f ca="1">IFERROR(__xludf.DUMMYFUNCTION("""COMPUTED_VALUE"""),10)</f>
        <v>10</v>
      </c>
      <c r="BY1180" s="1">
        <f ca="1">IFERROR(__xludf.DUMMYFUNCTION("""COMPUTED_VALUE"""),3)</f>
        <v>3</v>
      </c>
      <c r="BZ1180" s="1">
        <f ca="1">IFERROR(__xludf.DUMMYFUNCTION("""COMPUTED_VALUE"""),9)</f>
        <v>9</v>
      </c>
      <c r="CA1180" s="1" t="str">
        <f ca="1">IFERROR(__xludf.DUMMYFUNCTION("""COMPUTED_VALUE"""),"Yes")</f>
        <v>Yes</v>
      </c>
      <c r="CB1180" s="5">
        <f ca="1">IFERROR(__xludf.DUMMYFUNCTION("""COMPUTED_VALUE"""),44960.8581886342)</f>
        <v>44960.8581886342</v>
      </c>
      <c r="CC1180" s="1" t="str">
        <f ca="1">IFERROR(__xludf.DUMMYFUNCTION("""COMPUTED_VALUE"""),"अध्यात्म परक शिक्षा के मूलभूत आधार : Rare Book")</f>
        <v>अध्यात्म परक शिक्षा के मूलभूत आधार : Rare Book</v>
      </c>
      <c r="CD1180" s="3" t="str">
        <f ca="1">IFERROR(__xludf.DUMMYFUNCTION("""COMPUTED_VALUE"""),"https://vicharkrantibooks.org/productdetail?book_name=HINP0019_ADHYATM_PARAK_SHIKSHA_KE_MULBHUT_ADHAR_xx1982&amp;product_id=584")</f>
        <v>https://vicharkrantibooks.org/productdetail?book_name=HINP0019_ADHYATM_PARAK_SHIKSHA_KE_MULBHUT_ADHAR_xx1982&amp;product_id=584</v>
      </c>
      <c r="CE1180" s="1" t="str">
        <f ca="1">IFERROR(__xludf.DUMMYFUNCTION("""COMPUTED_VALUE"""),"Audiobook : अध्यात्म परक शिक्षा के मूलभूत आधार : Rare Book : savita.dubey@gmail.com : Recorded")</f>
        <v>Audiobook : अध्यात्म परक शिक्षा के मूलभूत आधार : Rare Book : savita.dubey@gmail.com : Recorded</v>
      </c>
      <c r="CF1180" s="1" t="str">
        <f ca="1">IFERROR(__xludf.DUMMYFUNCTION("""COMPUTED_VALUE"""),"Audiobook : अध्यात्म परक शिक्षा के मूलभूत आधार : Rare Book : savita.dubey@gmail.com : Recorded")</f>
        <v>Audiobook : अध्यात्म परक शिक्षा के मूलभूत आधार : Rare Book : savita.dubey@gmail.com : Recorded</v>
      </c>
      <c r="CG1180" s="1" t="str">
        <f ca="1">IFERROR(__xludf.DUMMYFUNCTION("""COMPUTED_VALUE"""),"Adarniya Savita ji अध्यात्म परक शिक्षा के मूलभूत आधार : Rare Book : Allocated on 24-Jan-23 Contact Number  4692640779")</f>
        <v>Adarniya Savita ji अध्यात्म परक शिक्षा के मूलभूत आधार : Rare Book : Allocated on 24-Jan-23 Contact Number  4692640779</v>
      </c>
      <c r="CH1180" s="1"/>
      <c r="CI1180" s="1"/>
    </row>
    <row r="1181" spans="1:87" x14ac:dyDescent="0.25">
      <c r="A1181" s="5">
        <f ca="1">IFERROR(__xludf.DUMMYFUNCTION("""COMPUTED_VALUE"""),44950.2842239699)</f>
        <v>44950.284223969902</v>
      </c>
      <c r="B1181" s="1" t="str">
        <f ca="1">IFERROR(__xludf.DUMMYFUNCTION("""COMPUTED_VALUE"""),"druma4107@gmail.com")</f>
        <v>druma4107@gmail.com</v>
      </c>
      <c r="C1181" s="1" t="str">
        <f ca="1">IFERROR(__xludf.DUMMYFUNCTION("""COMPUTED_VALUE"""),"Dr Uma Agrawal")</f>
        <v>Dr Uma Agrawal</v>
      </c>
      <c r="D1181" s="1">
        <f ca="1">IFERROR(__xludf.DUMMYFUNCTION("""COMPUTED_VALUE"""),9410861182)</f>
        <v>9410861182</v>
      </c>
      <c r="E1181" s="1" t="str">
        <f ca="1">IFERROR(__xludf.DUMMYFUNCTION("""COMPUTED_VALUE"""),"Yes")</f>
        <v>Yes</v>
      </c>
      <c r="F1181" s="1" t="str">
        <f ca="1">IFERROR(__xludf.DUMMYFUNCTION("""COMPUTED_VALUE"""),"हिन्दी")</f>
        <v>हिन्दी</v>
      </c>
      <c r="G1181" s="1" t="str">
        <f ca="1">IFERROR(__xludf.DUMMYFUNCTION("""COMPUTED_VALUE"""),"अध्यात्म, धर्म एवं दर्शन")</f>
        <v>अध्यात्म, धर्म एवं दर्शन</v>
      </c>
      <c r="H1181" s="1" t="str">
        <f ca="1">IFERROR(__xludf.DUMMYFUNCTION("""COMPUTED_VALUE"""),"अध्यात्म, धर्म एवं आस्तिकता")</f>
        <v>अध्यात्म, धर्म एवं आस्तिकता</v>
      </c>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f ca="1">IFERROR(__xludf.DUMMYFUNCTION("""COMPUTED_VALUE"""),104)</f>
        <v>104</v>
      </c>
      <c r="BX1181" s="1">
        <f ca="1">IFERROR(__xludf.DUMMYFUNCTION("""COMPUTED_VALUE"""),106)</f>
        <v>106</v>
      </c>
      <c r="BY1181" s="1">
        <f ca="1">IFERROR(__xludf.DUMMYFUNCTION("""COMPUTED_VALUE"""),9)</f>
        <v>9</v>
      </c>
      <c r="BZ1181" s="1">
        <f ca="1">IFERROR(__xludf.DUMMYFUNCTION("""COMPUTED_VALUE"""),43)</f>
        <v>43</v>
      </c>
      <c r="CA1181" s="1" t="str">
        <f ca="1">IFERROR(__xludf.DUMMYFUNCTION("""COMPUTED_VALUE"""),"Yes")</f>
        <v>Yes</v>
      </c>
      <c r="CB1181" s="5">
        <f ca="1">IFERROR(__xludf.DUMMYFUNCTION("""COMPUTED_VALUE"""),44960.2842239699)</f>
        <v>44960.284223969902</v>
      </c>
      <c r="CC1181" s="1" t="str">
        <f ca="1">IFERROR(__xludf.DUMMYFUNCTION("""COMPUTED_VALUE"""),"आत्मनिर्माण जीवन की महान सफ़लता  : Rare Book")</f>
        <v>आत्मनिर्माण जीवन की महान सफ़लता  : Rare Book</v>
      </c>
      <c r="CD1181" s="3" t="str">
        <f ca="1">IFERROR(__xludf.DUMMYFUNCTION("""COMPUTED_VALUE"""),"https://vicharkrantibooks.org/productdetail?book_name=HINP0096_ATMANIRMAN_JIVAN_KI_MAHAN_SAPHALATA_xx1978&amp;product_id=661")</f>
        <v>https://vicharkrantibooks.org/productdetail?book_name=HINP0096_ATMANIRMAN_JIVAN_KI_MAHAN_SAPHALATA_xx1978&amp;product_id=661</v>
      </c>
      <c r="CE1181" s="1" t="str">
        <f ca="1">IFERROR(__xludf.DUMMYFUNCTION("""COMPUTED_VALUE"""),"Audiobook : आत्मनिर्माण जीवन की महान सफ़लता  : Rare Book : druma4107@gmail.com : Recorded")</f>
        <v>Audiobook : आत्मनिर्माण जीवन की महान सफ़लता  : Rare Book : druma4107@gmail.com : Recorded</v>
      </c>
      <c r="CF1181" s="1" t="str">
        <f ca="1">IFERROR(__xludf.DUMMYFUNCTION("""COMPUTED_VALUE"""),"Audiobook : आत्मनिर्माण जीवन की महान सफ़लता  : Rare Book : druma4107@gmail.com : Recorded")</f>
        <v>Audiobook : आत्मनिर्माण जीवन की महान सफ़लता  : Rare Book : druma4107@gmail.com : Recorded</v>
      </c>
      <c r="CG1181" s="1" t="str">
        <f ca="1">IFERROR(__xludf.DUMMYFUNCTION("""COMPUTED_VALUE"""),"Adarniya Dr Uma Agrawal ji आत्मनिर्माण जीवन की महान सफ़लता  : Rare Book : Allocated on 24-Jan-23 Contact Number  9410861182")</f>
        <v>Adarniya Dr Uma Agrawal ji आत्मनिर्माण जीवन की महान सफ़लता  : Rare Book : Allocated on 24-Jan-23 Contact Number  9410861182</v>
      </c>
      <c r="CH1181" s="1"/>
      <c r="CI1181" s="1"/>
    </row>
    <row r="1182" spans="1:87" x14ac:dyDescent="0.25">
      <c r="A1182" s="5">
        <f ca="1">IFERROR(__xludf.DUMMYFUNCTION("""COMPUTED_VALUE"""),44949.7397286689)</f>
        <v>44949.739728668901</v>
      </c>
      <c r="B1182" s="1" t="str">
        <f ca="1">IFERROR(__xludf.DUMMYFUNCTION("""COMPUTED_VALUE"""),"rashmi0363@gmail.com")</f>
        <v>rashmi0363@gmail.com</v>
      </c>
      <c r="C1182" s="1" t="str">
        <f ca="1">IFERROR(__xludf.DUMMYFUNCTION("""COMPUTED_VALUE"""),"Rashmi Sinha ")</f>
        <v xml:space="preserve">Rashmi Sinha </v>
      </c>
      <c r="D1182" s="1">
        <f ca="1">IFERROR(__xludf.DUMMYFUNCTION("""COMPUTED_VALUE"""),9212688575)</f>
        <v>9212688575</v>
      </c>
      <c r="E1182" s="1" t="str">
        <f ca="1">IFERROR(__xludf.DUMMYFUNCTION("""COMPUTED_VALUE"""),"No")</f>
        <v>No</v>
      </c>
      <c r="F1182" s="1" t="str">
        <f ca="1">IFERROR(__xludf.DUMMYFUNCTION("""COMPUTED_VALUE"""),"हिन्दी")</f>
        <v>हिन्दी</v>
      </c>
      <c r="G1182" s="1" t="str">
        <f ca="1">IFERROR(__xludf.DUMMYFUNCTION("""COMPUTED_VALUE"""),"अध्यात्म, धर्म एवं दर्शन")</f>
        <v>अध्यात्म, धर्म एवं दर्शन</v>
      </c>
      <c r="H1182" s="1" t="str">
        <f ca="1">IFERROR(__xludf.DUMMYFUNCTION("""COMPUTED_VALUE"""),"उपासना")</f>
        <v>उपासना</v>
      </c>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f ca="1">IFERROR(__xludf.DUMMYFUNCTION("""COMPUTED_VALUE"""),8)</f>
        <v>8</v>
      </c>
      <c r="BX1182" s="1">
        <f ca="1">IFERROR(__xludf.DUMMYFUNCTION("""COMPUTED_VALUE"""),11)</f>
        <v>11</v>
      </c>
      <c r="BY1182" s="1">
        <f ca="1">IFERROR(__xludf.DUMMYFUNCTION("""COMPUTED_VALUE"""),1)</f>
        <v>1</v>
      </c>
      <c r="BZ1182" s="1">
        <f ca="1">IFERROR(__xludf.DUMMYFUNCTION("""COMPUTED_VALUE"""),5)</f>
        <v>5</v>
      </c>
      <c r="CA1182" s="1" t="str">
        <f ca="1">IFERROR(__xludf.DUMMYFUNCTION("""COMPUTED_VALUE"""),"Yes")</f>
        <v>Yes</v>
      </c>
      <c r="CB1182" s="5">
        <f ca="1">IFERROR(__xludf.DUMMYFUNCTION("""COMPUTED_VALUE"""),44959.7397286689)</f>
        <v>44959.739728668901</v>
      </c>
      <c r="CC1182" s="1" t="str">
        <f ca="1">IFERROR(__xludf.DUMMYFUNCTION("""COMPUTED_VALUE"""),"आत्मिक प्रगति के चार चरण : Rare Book")</f>
        <v>आत्मिक प्रगति के चार चरण : Rare Book</v>
      </c>
      <c r="CD1182" s="1" t="str">
        <f ca="1">IFERROR(__xludf.DUMMYFUNCTION("""COMPUTED_VALUE"""),"#N/A")</f>
        <v>#N/A</v>
      </c>
      <c r="CE1182" s="1" t="str">
        <f ca="1">IFERROR(__xludf.DUMMYFUNCTION("""COMPUTED_VALUE"""),"Audiobook : आत्मिक प्रगति के चार चरण : Rare Book : rashmi0363@gmail.com : Recorded")</f>
        <v>Audiobook : आत्मिक प्रगति के चार चरण : Rare Book : rashmi0363@gmail.com : Recorded</v>
      </c>
      <c r="CF1182" s="1" t="str">
        <f ca="1">IFERROR(__xludf.DUMMYFUNCTION("""COMPUTED_VALUE"""),"Audiobook : आत्मिक प्रगति के चार चरण : Rare Book : rashmi0363@gmail.com : Recorded")</f>
        <v>Audiobook : आत्मिक प्रगति के चार चरण : Rare Book : rashmi0363@gmail.com : Recorded</v>
      </c>
      <c r="CG1182" s="1" t="str">
        <f ca="1">IFERROR(__xludf.DUMMYFUNCTION("""COMPUTED_VALUE"""),"Adarniya Rashmi Sinha  ji आत्मिक प्रगति के चार चरण : Rare Book : Allocated on 23-Jan-23 Contact Number  9212688575")</f>
        <v>Adarniya Rashmi Sinha  ji आत्मिक प्रगति के चार चरण : Rare Book : Allocated on 23-Jan-23 Contact Number  9212688575</v>
      </c>
      <c r="CH1182" s="1"/>
      <c r="CI1182" s="1"/>
    </row>
    <row r="1183" spans="1:87" x14ac:dyDescent="0.25">
      <c r="A1183" s="5">
        <f ca="1">IFERROR(__xludf.DUMMYFUNCTION("""COMPUTED_VALUE"""),44948.536006875)</f>
        <v>44948.536006875001</v>
      </c>
      <c r="B1183" s="1" t="str">
        <f ca="1">IFERROR(__xludf.DUMMYFUNCTION("""COMPUTED_VALUE"""),"jamunashukla17@gmail.com")</f>
        <v>jamunashukla17@gmail.com</v>
      </c>
      <c r="C1183" s="1" t="str">
        <f ca="1">IFERROR(__xludf.DUMMYFUNCTION("""COMPUTED_VALUE"""),"jamuna shukla")</f>
        <v>jamuna shukla</v>
      </c>
      <c r="D1183" s="1" t="str">
        <f ca="1">IFERROR(__xludf.DUMMYFUNCTION("""COMPUTED_VALUE"""),"+918390353167")</f>
        <v>+918390353167</v>
      </c>
      <c r="E1183" s="1" t="str">
        <f ca="1">IFERROR(__xludf.DUMMYFUNCTION("""COMPUTED_VALUE"""),"Yes")</f>
        <v>Yes</v>
      </c>
      <c r="F1183" s="1" t="str">
        <f ca="1">IFERROR(__xludf.DUMMYFUNCTION("""COMPUTED_VALUE"""),"हिन्दी")</f>
        <v>हिन्दी</v>
      </c>
      <c r="G1183" s="1" t="str">
        <f ca="1">IFERROR(__xludf.DUMMYFUNCTION("""COMPUTED_VALUE"""),"अध्यात्म, धर्म एवं दर्शन")</f>
        <v>अध्यात्म, धर्म एवं दर्शन</v>
      </c>
      <c r="H1183" s="1" t="str">
        <f ca="1">IFERROR(__xludf.DUMMYFUNCTION("""COMPUTED_VALUE"""),"आत्मज्ञान एवं आत्मनिर्माण")</f>
        <v>आत्मज्ञान एवं आत्मनिर्माण</v>
      </c>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f ca="1">IFERROR(__xludf.DUMMYFUNCTION("""COMPUTED_VALUE"""),53)</f>
        <v>53</v>
      </c>
      <c r="BX1183" s="1">
        <f ca="1">IFERROR(__xludf.DUMMYFUNCTION("""COMPUTED_VALUE"""),53)</f>
        <v>53</v>
      </c>
      <c r="BY1183" s="1">
        <f ca="1">IFERROR(__xludf.DUMMYFUNCTION("""COMPUTED_VALUE"""),9)</f>
        <v>9</v>
      </c>
      <c r="BZ1183" s="1">
        <f ca="1">IFERROR(__xludf.DUMMYFUNCTION("""COMPUTED_VALUE"""),25)</f>
        <v>25</v>
      </c>
      <c r="CA1183" s="1" t="str">
        <f ca="1">IFERROR(__xludf.DUMMYFUNCTION("""COMPUTED_VALUE"""),"Yes")</f>
        <v>Yes</v>
      </c>
      <c r="CB1183" s="5">
        <f ca="1">IFERROR(__xludf.DUMMYFUNCTION("""COMPUTED_VALUE"""),44958.536006875)</f>
        <v>44958.536006875001</v>
      </c>
      <c r="CC1183" s="1" t="str">
        <f ca="1">IFERROR(__xludf.DUMMYFUNCTION("""COMPUTED_VALUE"""),"आत्मानुशासन का प्रशिक्षण अध्यात्म की पाठशाला में : Rare Book")</f>
        <v>आत्मानुशासन का प्रशिक्षण अध्यात्म की पाठशाला में : Rare Book</v>
      </c>
      <c r="CD1183" s="3" t="str">
        <f ca="1">IFERROR(__xludf.DUMMYFUNCTION("""COMPUTED_VALUE"""),"https://vicharkrantibooks.org/productdetail?book_name=HINP0098_ATMANUSHASAN_KA_PRASHIKSHAN_ADHYATM_KI_PATHASHALA_MEIN_xx1981&amp;product_id=663")</f>
        <v>https://vicharkrantibooks.org/productdetail?book_name=HINP0098_ATMANUSHASAN_KA_PRASHIKSHAN_ADHYATM_KI_PATHASHALA_MEIN_xx1981&amp;product_id=663</v>
      </c>
      <c r="CE1183" s="1" t="str">
        <f ca="1">IFERROR(__xludf.DUMMYFUNCTION("""COMPUTED_VALUE"""),"Audiobook : आत्मानुशासन का प्रशिक्षण अध्यात्म की पाठशाला में : Rare Book : jamunashukla17@gmail.com : Recorded")</f>
        <v>Audiobook : आत्मानुशासन का प्रशिक्षण अध्यात्म की पाठशाला में : Rare Book : jamunashukla17@gmail.com : Recorded</v>
      </c>
      <c r="CF1183" s="1" t="str">
        <f ca="1">IFERROR(__xludf.DUMMYFUNCTION("""COMPUTED_VALUE"""),"Audiobook : आत्मानुशासन का प्रशिक्षण अध्यात्म की पाठशाला में : Rare Book : jamunashukla17@gmail.com : Recorded")</f>
        <v>Audiobook : आत्मानुशासन का प्रशिक्षण अध्यात्म की पाठशाला में : Rare Book : jamunashukla17@gmail.com : Recorded</v>
      </c>
      <c r="CG1183" s="1" t="str">
        <f ca="1">IFERROR(__xludf.DUMMYFUNCTION("""COMPUTED_VALUE"""),"Adarniya jamuna shukla ji आत्मानुशासन का प्रशिक्षण अध्यात्म की पाठशाला में : Rare Book : Allocated on 22-Jan-23 Contact Number  +918390353167")</f>
        <v>Adarniya jamuna shukla ji आत्मानुशासन का प्रशिक्षण अध्यात्म की पाठशाला में : Rare Book : Allocated on 22-Jan-23 Contact Number  +918390353167</v>
      </c>
      <c r="CH1183" s="1"/>
      <c r="CI1183" s="1"/>
    </row>
    <row r="1184" spans="1:87" x14ac:dyDescent="0.25">
      <c r="A1184" s="5">
        <f ca="1">IFERROR(__xludf.DUMMYFUNCTION("""COMPUTED_VALUE"""),44946.7545059606)</f>
        <v>44946.754505960598</v>
      </c>
      <c r="B1184" s="1" t="str">
        <f ca="1">IFERROR(__xludf.DUMMYFUNCTION("""COMPUTED_VALUE"""),"csprasad108@gmail.com")</f>
        <v>csprasad108@gmail.com</v>
      </c>
      <c r="C1184" s="1" t="str">
        <f ca="1">IFERROR(__xludf.DUMMYFUNCTION("""COMPUTED_VALUE"""),"Kumkum prasad")</f>
        <v>Kumkum prasad</v>
      </c>
      <c r="D1184" s="1">
        <f ca="1">IFERROR(__xludf.DUMMYFUNCTION("""COMPUTED_VALUE"""),7978055621)</f>
        <v>7978055621</v>
      </c>
      <c r="E1184" s="1" t="str">
        <f ca="1">IFERROR(__xludf.DUMMYFUNCTION("""COMPUTED_VALUE"""),"Yes")</f>
        <v>Yes</v>
      </c>
      <c r="F1184" s="1" t="str">
        <f ca="1">IFERROR(__xludf.DUMMYFUNCTION("""COMPUTED_VALUE"""),"हिन्दी")</f>
        <v>हिन्दी</v>
      </c>
      <c r="G1184" s="1" t="str">
        <f ca="1">IFERROR(__xludf.DUMMYFUNCTION("""COMPUTED_VALUE"""),"संस्कार, कर्मकाण्ड, पाठ, पूजा, गीत-संगीत")</f>
        <v>संस्कार, कर्मकाण्ड, पाठ, पूजा, गीत-संगीत</v>
      </c>
      <c r="H1184" s="1"/>
      <c r="I1184" s="1"/>
      <c r="J1184" s="1"/>
      <c r="K1184" s="1"/>
      <c r="L1184" s="1"/>
      <c r="M1184" s="1"/>
      <c r="N1184" s="1"/>
      <c r="O1184" s="1"/>
      <c r="P1184" s="1"/>
      <c r="Q1184" s="1"/>
      <c r="R1184" s="1"/>
      <c r="S1184" s="1"/>
      <c r="T1184" s="1"/>
      <c r="U1184" s="1"/>
      <c r="V1184" s="1"/>
      <c r="W1184" s="1" t="str">
        <f ca="1">IFERROR(__xludf.DUMMYFUNCTION("""COMPUTED_VALUE"""),"संस्कार")</f>
        <v>संस्कार</v>
      </c>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t="str">
        <f ca="1">IFERROR(__xludf.DUMMYFUNCTION("""COMPUTED_VALUE"""),"अंत्येष्ठि संस्कार विवेचन")</f>
        <v>अंत्येष्ठि संस्कार विवेचन</v>
      </c>
      <c r="BJ1184" s="1"/>
      <c r="BK1184" s="1"/>
      <c r="BL1184" s="1"/>
      <c r="BM1184" s="1"/>
      <c r="BN1184" s="1"/>
      <c r="BO1184" s="1"/>
      <c r="BP1184" s="1"/>
      <c r="BQ1184" s="1"/>
      <c r="BR1184" s="1"/>
      <c r="BS1184" s="1"/>
      <c r="BT1184" s="1"/>
      <c r="BU1184" s="1"/>
      <c r="BV1184" s="1"/>
      <c r="BW1184" s="1">
        <f ca="1">IFERROR(__xludf.DUMMYFUNCTION("""COMPUTED_VALUE"""),52)</f>
        <v>52</v>
      </c>
      <c r="BX1184" s="1">
        <f ca="1">IFERROR(__xludf.DUMMYFUNCTION("""COMPUTED_VALUE"""),54)</f>
        <v>54</v>
      </c>
      <c r="BY1184" s="1">
        <f ca="1">IFERROR(__xludf.DUMMYFUNCTION("""COMPUTED_VALUE"""),3)</f>
        <v>3</v>
      </c>
      <c r="BZ1184" s="1">
        <f ca="1">IFERROR(__xludf.DUMMYFUNCTION("""COMPUTED_VALUE"""),24)</f>
        <v>24</v>
      </c>
      <c r="CA1184" s="1" t="str">
        <f ca="1">IFERROR(__xludf.DUMMYFUNCTION("""COMPUTED_VALUE"""),"Yes")</f>
        <v>Yes</v>
      </c>
      <c r="CB1184" s="5">
        <f ca="1">IFERROR(__xludf.DUMMYFUNCTION("""COMPUTED_VALUE"""),44956.7545059606)</f>
        <v>44956.754505960598</v>
      </c>
      <c r="CC1184" s="1" t="str">
        <f ca="1">IFERROR(__xludf.DUMMYFUNCTION("""COMPUTED_VALUE"""),"स्वाध्याय की उपेक्षा न करें : Rare Book")</f>
        <v>स्वाध्याय की उपेक्षा न करें : Rare Book</v>
      </c>
      <c r="CD1184" s="3" t="str">
        <f ca="1">IFERROR(__xludf.DUMMYFUNCTION("""COMPUTED_VALUE"""),"https://vicharkrantibooks.org/productdetail?book_name=HINP0888_SWADHYAY_KI_UPEKSHA_NA_KAREN_xx1978&amp;product_id=1453")</f>
        <v>https://vicharkrantibooks.org/productdetail?book_name=HINP0888_SWADHYAY_KI_UPEKSHA_NA_KAREN_xx1978&amp;product_id=1453</v>
      </c>
      <c r="CE1184" s="1" t="str">
        <f ca="1">IFERROR(__xludf.DUMMYFUNCTION("""COMPUTED_VALUE"""),"Audiobook : स्वाध्याय की उपेक्षा न करें : Rare Book : csprasad108@gmail.com : Recorded")</f>
        <v>Audiobook : स्वाध्याय की उपेक्षा न करें : Rare Book : csprasad108@gmail.com : Recorded</v>
      </c>
      <c r="CF1184" s="1" t="str">
        <f ca="1">IFERROR(__xludf.DUMMYFUNCTION("""COMPUTED_VALUE"""),"Audiobook : स्वाध्याय की उपेक्षा न करें : Rare Book : csprasad108@gmail.com : Recorded")</f>
        <v>Audiobook : स्वाध्याय की उपेक्षा न करें : Rare Book : csprasad108@gmail.com : Recorded</v>
      </c>
      <c r="CG1184" s="1" t="str">
        <f ca="1">IFERROR(__xludf.DUMMYFUNCTION("""COMPUTED_VALUE"""),"Adarniya Kumkum prasad ji स्वाध्याय की उपेक्षा न करें : Rare Book : Allocated on 20-Jan-23 Contact Number  7978055621")</f>
        <v>Adarniya Kumkum prasad ji स्वाध्याय की उपेक्षा न करें : Rare Book : Allocated on 20-Jan-23 Contact Number  7978055621</v>
      </c>
      <c r="CH1184" s="1"/>
      <c r="CI1184" s="1"/>
    </row>
    <row r="1185" spans="1:87" x14ac:dyDescent="0.25">
      <c r="A1185" s="5">
        <f ca="1">IFERROR(__xludf.DUMMYFUNCTION("""COMPUTED_VALUE"""),44946.7066140046)</f>
        <v>44946.706614004601</v>
      </c>
      <c r="B1185" s="1" t="str">
        <f ca="1">IFERROR(__xludf.DUMMYFUNCTION("""COMPUTED_VALUE"""),"samidhachhr@gmail.com")</f>
        <v>samidhachhr@gmail.com</v>
      </c>
      <c r="C1185" s="1" t="str">
        <f ca="1">IFERROR(__xludf.DUMMYFUNCTION("""COMPUTED_VALUE"""),"Samidha Kendurkar ")</f>
        <v xml:space="preserve">Samidha Kendurkar </v>
      </c>
      <c r="D1185" s="1" t="str">
        <f ca="1">IFERROR(__xludf.DUMMYFUNCTION("""COMPUTED_VALUE"""),"+919977227429")</f>
        <v>+919977227429</v>
      </c>
      <c r="E1185" s="1" t="str">
        <f ca="1">IFERROR(__xludf.DUMMYFUNCTION("""COMPUTED_VALUE"""),"Yes")</f>
        <v>Yes</v>
      </c>
      <c r="F1185" s="1" t="str">
        <f ca="1">IFERROR(__xludf.DUMMYFUNCTION("""COMPUTED_VALUE"""),"हिन्दी")</f>
        <v>हिन्दी</v>
      </c>
      <c r="G1185" s="1" t="str">
        <f ca="1">IFERROR(__xludf.DUMMYFUNCTION("""COMPUTED_VALUE"""),"परिवार निर्माण")</f>
        <v>परिवार निर्माण</v>
      </c>
      <c r="H1185" s="1"/>
      <c r="I1185" s="1"/>
      <c r="J1185" s="1"/>
      <c r="K1185" s="1"/>
      <c r="L1185" s="1"/>
      <c r="M1185" s="1" t="str">
        <f ca="1">IFERROR(__xludf.DUMMYFUNCTION("""COMPUTED_VALUE"""),"परिवार")</f>
        <v>परिवार</v>
      </c>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f ca="1">IFERROR(__xludf.DUMMYFUNCTION("""COMPUTED_VALUE"""),7)</f>
        <v>7</v>
      </c>
      <c r="BX1185" s="1">
        <f ca="1">IFERROR(__xludf.DUMMYFUNCTION("""COMPUTED_VALUE"""),6)</f>
        <v>6</v>
      </c>
      <c r="BY1185" s="1">
        <f ca="1">IFERROR(__xludf.DUMMYFUNCTION("""COMPUTED_VALUE"""),4)</f>
        <v>4</v>
      </c>
      <c r="BZ1185" s="1">
        <f ca="1">IFERROR(__xludf.DUMMYFUNCTION("""COMPUTED_VALUE"""),3)</f>
        <v>3</v>
      </c>
      <c r="CA1185" s="1" t="str">
        <f ca="1">IFERROR(__xludf.DUMMYFUNCTION("""COMPUTED_VALUE"""),"Yes")</f>
        <v>Yes</v>
      </c>
      <c r="CB1185" s="5">
        <f ca="1">IFERROR(__xludf.DUMMYFUNCTION("""COMPUTED_VALUE"""),44956.7066140046)</f>
        <v>44956.706614004601</v>
      </c>
      <c r="CC1185" s="1" t="str">
        <f ca="1">IFERROR(__xludf.DUMMYFUNCTION("""COMPUTED_VALUE"""),"गायत्री का शक्ति स्त्रोत सविता देवता : Rare Book")</f>
        <v>गायत्री का शक्ति स्त्रोत सविता देवता : Rare Book</v>
      </c>
      <c r="CD1185" s="3" t="str">
        <f ca="1">IFERROR(__xludf.DUMMYFUNCTION("""COMPUTED_VALUE"""),"https://vicharkrantibooks.org/productdetail?book_name=HINP1108_GAYATRI_KA_SHAKTI_STROT_SAVITA_DEVATA_xx1979&amp;product_id=1673")</f>
        <v>https://vicharkrantibooks.org/productdetail?book_name=HINP1108_GAYATRI_KA_SHAKTI_STROT_SAVITA_DEVATA_xx1979&amp;product_id=1673</v>
      </c>
      <c r="CE1185" s="1" t="str">
        <f ca="1">IFERROR(__xludf.DUMMYFUNCTION("""COMPUTED_VALUE"""),"Audiobook : गायत्री का शक्ति स्त्रोत सविता देवता : Rare Book : samidhachhr@gmail.com : Recorded")</f>
        <v>Audiobook : गायत्री का शक्ति स्त्रोत सविता देवता : Rare Book : samidhachhr@gmail.com : Recorded</v>
      </c>
      <c r="CF1185" s="1" t="str">
        <f ca="1">IFERROR(__xludf.DUMMYFUNCTION("""COMPUTED_VALUE"""),"Audiobook : गायत्री का शक्ति स्त्रोत सविता देवता : Rare Book : samidhachhr@gmail.com : Recorded")</f>
        <v>Audiobook : गायत्री का शक्ति स्त्रोत सविता देवता : Rare Book : samidhachhr@gmail.com : Recorded</v>
      </c>
      <c r="CG1185" s="1" t="str">
        <f ca="1">IFERROR(__xludf.DUMMYFUNCTION("""COMPUTED_VALUE"""),"Adarniya Samidha Kendurkar  ji गायत्री का शक्ति स्त्रोत सविता देवता : Rare Book : Allocated on 20-Jan-23 Contact Number  +919977227429")</f>
        <v>Adarniya Samidha Kendurkar  ji गायत्री का शक्ति स्त्रोत सविता देवता : Rare Book : Allocated on 20-Jan-23 Contact Number  +919977227429</v>
      </c>
      <c r="CH1185" s="1"/>
      <c r="CI1185" s="1"/>
    </row>
    <row r="1186" spans="1:87" x14ac:dyDescent="0.25">
      <c r="A1186" s="5">
        <f ca="1">IFERROR(__xludf.DUMMYFUNCTION("""COMPUTED_VALUE"""),44946.468592905)</f>
        <v>44946.468592905003</v>
      </c>
      <c r="B1186" s="1" t="str">
        <f ca="1">IFERROR(__xludf.DUMMYFUNCTION("""COMPUTED_VALUE"""),"richasharma310575@gmail.com")</f>
        <v>richasharma310575@gmail.com</v>
      </c>
      <c r="C1186" s="1" t="str">
        <f ca="1">IFERROR(__xludf.DUMMYFUNCTION("""COMPUTED_VALUE"""),"Richa Sharma ")</f>
        <v xml:space="preserve">Richa Sharma </v>
      </c>
      <c r="D1186" s="1">
        <f ca="1">IFERROR(__xludf.DUMMYFUNCTION("""COMPUTED_VALUE"""),9479664049)</f>
        <v>9479664049</v>
      </c>
      <c r="E1186" s="1" t="str">
        <f ca="1">IFERROR(__xludf.DUMMYFUNCTION("""COMPUTED_VALUE"""),"Yes")</f>
        <v>Yes</v>
      </c>
      <c r="F1186" s="1" t="str">
        <f ca="1">IFERROR(__xludf.DUMMYFUNCTION("""COMPUTED_VALUE"""),"हिन्दी")</f>
        <v>हिन्दी</v>
      </c>
      <c r="G1186" s="1" t="str">
        <f ca="1">IFERROR(__xludf.DUMMYFUNCTION("""COMPUTED_VALUE"""),"भारतीय संस्कृति")</f>
        <v>भारतीय संस्कृति</v>
      </c>
      <c r="H1186" s="1"/>
      <c r="I1186" s="1"/>
      <c r="J1186" s="1"/>
      <c r="K1186" s="1"/>
      <c r="L1186" s="1"/>
      <c r="M1186" s="1"/>
      <c r="N1186" s="1"/>
      <c r="O1186" s="1" t="str">
        <f ca="1">IFERROR(__xludf.DUMMYFUNCTION("""COMPUTED_VALUE"""),"यज्ञ")</f>
        <v>यज्ञ</v>
      </c>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f ca="1">IFERROR(__xludf.DUMMYFUNCTION("""COMPUTED_VALUE"""),23)</f>
        <v>23</v>
      </c>
      <c r="BX1186" s="1">
        <f ca="1">IFERROR(__xludf.DUMMYFUNCTION("""COMPUTED_VALUE"""),28)</f>
        <v>28</v>
      </c>
      <c r="BY1186" s="1">
        <f ca="1">IFERROR(__xludf.DUMMYFUNCTION("""COMPUTED_VALUE"""),2)</f>
        <v>2</v>
      </c>
      <c r="BZ1186" s="1">
        <f ca="1">IFERROR(__xludf.DUMMYFUNCTION("""COMPUTED_VALUE"""),24)</f>
        <v>24</v>
      </c>
      <c r="CA1186" s="1" t="str">
        <f ca="1">IFERROR(__xludf.DUMMYFUNCTION("""COMPUTED_VALUE"""),"Yes")</f>
        <v>Yes</v>
      </c>
      <c r="CB1186" s="5">
        <f ca="1">IFERROR(__xludf.DUMMYFUNCTION("""COMPUTED_VALUE"""),44956.468592905)</f>
        <v>44956.468592905003</v>
      </c>
      <c r="CC1186" s="1" t="str">
        <f ca="1">IFERROR(__xludf.DUMMYFUNCTION("""COMPUTED_VALUE"""),"गायत्री यज्ञ और उसकी प्रेरणा : Rare Book")</f>
        <v>गायत्री यज्ञ और उसकी प्रेरणा : Rare Book</v>
      </c>
      <c r="CD1186" s="3" t="str">
        <f ca="1">IFERROR(__xludf.DUMMYFUNCTION("""COMPUTED_VALUE"""),"https://vicharkrantibooks.org/productdetail?book_name=HINP0302_GAYATRI_YAGY_AUR_USAKI_PRERANA_1st1976&amp;product_id=867")</f>
        <v>https://vicharkrantibooks.org/productdetail?book_name=HINP0302_GAYATRI_YAGY_AUR_USAKI_PRERANA_1st1976&amp;product_id=867</v>
      </c>
      <c r="CE1186" s="1" t="str">
        <f ca="1">IFERROR(__xludf.DUMMYFUNCTION("""COMPUTED_VALUE"""),"Audiobook : गायत्री यज्ञ और उसकी प्रेरणा : Rare Book : richasharma310575@gmail.com : Recorded")</f>
        <v>Audiobook : गायत्री यज्ञ और उसकी प्रेरणा : Rare Book : richasharma310575@gmail.com : Recorded</v>
      </c>
      <c r="CF1186" s="1" t="str">
        <f ca="1">IFERROR(__xludf.DUMMYFUNCTION("""COMPUTED_VALUE"""),"Audiobook : गायत्री यज्ञ और उसकी प्रेरणा : Rare Book : richasharma310575@gmail.com : Recorded")</f>
        <v>Audiobook : गायत्री यज्ञ और उसकी प्रेरणा : Rare Book : richasharma310575@gmail.com : Recorded</v>
      </c>
      <c r="CG1186" s="1" t="str">
        <f ca="1">IFERROR(__xludf.DUMMYFUNCTION("""COMPUTED_VALUE"""),"Adarniya Richa Sharma  ji गायत्री यज्ञ और उसकी प्रेरणा : Rare Book : Allocated on 20-Jan-23 Contact Number  9479664049")</f>
        <v>Adarniya Richa Sharma  ji गायत्री यज्ञ और उसकी प्रेरणा : Rare Book : Allocated on 20-Jan-23 Contact Number  9479664049</v>
      </c>
      <c r="CH1186" s="1"/>
      <c r="CI1186" s="1"/>
    </row>
    <row r="1187" spans="1:87" x14ac:dyDescent="0.25">
      <c r="A1187" s="5">
        <f ca="1">IFERROR(__xludf.DUMMYFUNCTION("""COMPUTED_VALUE"""),44945.5380827314)</f>
        <v>44945.5380827314</v>
      </c>
      <c r="B1187" s="1" t="str">
        <f ca="1">IFERROR(__xludf.DUMMYFUNCTION("""COMPUTED_VALUE"""),"druma4107@gmail.com")</f>
        <v>druma4107@gmail.com</v>
      </c>
      <c r="C1187" s="1" t="str">
        <f ca="1">IFERROR(__xludf.DUMMYFUNCTION("""COMPUTED_VALUE"""),"Dr Uma Agrawal")</f>
        <v>Dr Uma Agrawal</v>
      </c>
      <c r="D1187" s="1">
        <f ca="1">IFERROR(__xludf.DUMMYFUNCTION("""COMPUTED_VALUE"""),9410861182)</f>
        <v>9410861182</v>
      </c>
      <c r="E1187" s="1" t="str">
        <f ca="1">IFERROR(__xludf.DUMMYFUNCTION("""COMPUTED_VALUE"""),"Yes")</f>
        <v>Yes</v>
      </c>
      <c r="F1187" s="1" t="str">
        <f ca="1">IFERROR(__xludf.DUMMYFUNCTION("""COMPUTED_VALUE"""),"हिन्दी")</f>
        <v>हिन्दी</v>
      </c>
      <c r="G1187" s="1" t="str">
        <f ca="1">IFERROR(__xludf.DUMMYFUNCTION("""COMPUTED_VALUE"""),"अध्यात्म, धर्म एवं दर्शन")</f>
        <v>अध्यात्म, धर्म एवं दर्शन</v>
      </c>
      <c r="H1187" s="1" t="str">
        <f ca="1">IFERROR(__xludf.DUMMYFUNCTION("""COMPUTED_VALUE"""),"अध्यात्म, धर्म एवं आस्तिकता")</f>
        <v>अध्यात्म, धर्म एवं आस्तिकता</v>
      </c>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f ca="1">IFERROR(__xludf.DUMMYFUNCTION("""COMPUTED_VALUE"""),104)</f>
        <v>104</v>
      </c>
      <c r="BX1187" s="1">
        <f ca="1">IFERROR(__xludf.DUMMYFUNCTION("""COMPUTED_VALUE"""),106)</f>
        <v>106</v>
      </c>
      <c r="BY1187" s="1">
        <f ca="1">IFERROR(__xludf.DUMMYFUNCTION("""COMPUTED_VALUE"""),9)</f>
        <v>9</v>
      </c>
      <c r="BZ1187" s="1">
        <f ca="1">IFERROR(__xludf.DUMMYFUNCTION("""COMPUTED_VALUE"""),43)</f>
        <v>43</v>
      </c>
      <c r="CA1187" s="1" t="str">
        <f ca="1">IFERROR(__xludf.DUMMYFUNCTION("""COMPUTED_VALUE"""),"Yes")</f>
        <v>Yes</v>
      </c>
      <c r="CB1187" s="5">
        <f ca="1">IFERROR(__xludf.DUMMYFUNCTION("""COMPUTED_VALUE"""),44955.5380827314)</f>
        <v>44955.5380827314</v>
      </c>
      <c r="CC1187" s="1" t="str">
        <f ca="1">IFERROR(__xludf.DUMMYFUNCTION("""COMPUTED_VALUE"""),"आत्मविकास के चार चरण : H_JS_77")</f>
        <v>आत्मविकास के चार चरण : H_JS_77</v>
      </c>
      <c r="CD1187" s="3" t="str">
        <f ca="1">IFERROR(__xludf.DUMMYFUNCTION("""COMPUTED_VALUE"""),"https://vicharkrantibooks.org/productdetail?book_name=HINP0111_ATMVIKAS_KE_CHAR_CHARAN_xx2011&amp;product_id=676")</f>
        <v>https://vicharkrantibooks.org/productdetail?book_name=HINP0111_ATMVIKAS_KE_CHAR_CHARAN_xx2011&amp;product_id=676</v>
      </c>
      <c r="CE1187" s="1" t="str">
        <f ca="1">IFERROR(__xludf.DUMMYFUNCTION("""COMPUTED_VALUE"""),"Audiobook : आत्मविकास के चार चरण : H_JS_77 : druma4107@gmail.com : Recorded")</f>
        <v>Audiobook : आत्मविकास के चार चरण : H_JS_77 : druma4107@gmail.com : Recorded</v>
      </c>
      <c r="CF1187" s="1" t="str">
        <f ca="1">IFERROR(__xludf.DUMMYFUNCTION("""COMPUTED_VALUE"""),"Audiobook : आत्मविकास के चार चरण : H_JS_77 : druma4107@gmail.com : Recorded")</f>
        <v>Audiobook : आत्मविकास के चार चरण : H_JS_77 : druma4107@gmail.com : Recorded</v>
      </c>
      <c r="CG1187" s="1" t="str">
        <f ca="1">IFERROR(__xludf.DUMMYFUNCTION("""COMPUTED_VALUE"""),"Adarniya Dr Uma Agrawal ji आत्मविकास के चार चरण : H_JS_77 : Allocated on 19-Jan-23 Contact Number  9410861182")</f>
        <v>Adarniya Dr Uma Agrawal ji आत्मविकास के चार चरण : H_JS_77 : Allocated on 19-Jan-23 Contact Number  9410861182</v>
      </c>
      <c r="CH1187" s="1"/>
      <c r="CI1187" s="1"/>
    </row>
    <row r="1188" spans="1:87" x14ac:dyDescent="0.25">
      <c r="A1188" s="5">
        <f ca="1">IFERROR(__xludf.DUMMYFUNCTION("""COMPUTED_VALUE"""),44944.5167293287)</f>
        <v>44944.516729328701</v>
      </c>
      <c r="B1188" s="1" t="str">
        <f ca="1">IFERROR(__xludf.DUMMYFUNCTION("""COMPUTED_VALUE"""),"anshu14.singh@yahoo.in")</f>
        <v>anshu14.singh@yahoo.in</v>
      </c>
      <c r="C1188" s="1" t="str">
        <f ca="1">IFERROR(__xludf.DUMMYFUNCTION("""COMPUTED_VALUE"""),"Anshu singh")</f>
        <v>Anshu singh</v>
      </c>
      <c r="D1188" s="1">
        <f ca="1">IFERROR(__xludf.DUMMYFUNCTION("""COMPUTED_VALUE"""),9977301575)</f>
        <v>9977301575</v>
      </c>
      <c r="E1188" s="1" t="str">
        <f ca="1">IFERROR(__xludf.DUMMYFUNCTION("""COMPUTED_VALUE"""),"Yes")</f>
        <v>Yes</v>
      </c>
      <c r="F1188" s="1" t="str">
        <f ca="1">IFERROR(__xludf.DUMMYFUNCTION("""COMPUTED_VALUE"""),"हिन्दी")</f>
        <v>हिन्दी</v>
      </c>
      <c r="G1188" s="1" t="str">
        <f ca="1">IFERROR(__xludf.DUMMYFUNCTION("""COMPUTED_VALUE"""),"अध्यात्म, धर्म एवं दर्शन")</f>
        <v>अध्यात्म, धर्म एवं दर्शन</v>
      </c>
      <c r="H1188" s="1" t="str">
        <f ca="1">IFERROR(__xludf.DUMMYFUNCTION("""COMPUTED_VALUE"""),"अध्यात्म, धर्म एवं आस्तिकता")</f>
        <v>अध्यात्म, धर्म एवं आस्तिकता</v>
      </c>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f ca="1">IFERROR(__xludf.DUMMYFUNCTION("""COMPUTED_VALUE"""),9)</f>
        <v>9</v>
      </c>
      <c r="BX1188" s="1">
        <f ca="1">IFERROR(__xludf.DUMMYFUNCTION("""COMPUTED_VALUE"""),5)</f>
        <v>5</v>
      </c>
      <c r="BY1188" s="1">
        <f ca="1">IFERROR(__xludf.DUMMYFUNCTION("""COMPUTED_VALUE"""),4)</f>
        <v>4</v>
      </c>
      <c r="BZ1188" s="1">
        <f ca="1">IFERROR(__xludf.DUMMYFUNCTION("""COMPUTED_VALUE"""),0)</f>
        <v>0</v>
      </c>
      <c r="CA1188" s="1" t="str">
        <f ca="1">IFERROR(__xludf.DUMMYFUNCTION("""COMPUTED_VALUE"""),"Yes")</f>
        <v>Yes</v>
      </c>
      <c r="CB1188" s="5">
        <f ca="1">IFERROR(__xludf.DUMMYFUNCTION("""COMPUTED_VALUE"""),44954.5167293287)</f>
        <v>44954.516729328701</v>
      </c>
      <c r="CC1188" s="1" t="str">
        <f ca="1">IFERROR(__xludf.DUMMYFUNCTION("""COMPUTED_VALUE"""),"आत्मविकास का राजमार्ग : Rare Book")</f>
        <v>आत्मविकास का राजमार्ग : Rare Book</v>
      </c>
      <c r="CD1188" s="3" t="str">
        <f ca="1">IFERROR(__xludf.DUMMYFUNCTION("""COMPUTED_VALUE"""),"https://vicharkrantibooks.org/productdetail?book_name=HINP0099_ATMAVIKAS_KA_RAJMARG_xx1982&amp;product_id=664")</f>
        <v>https://vicharkrantibooks.org/productdetail?book_name=HINP0099_ATMAVIKAS_KA_RAJMARG_xx1982&amp;product_id=664</v>
      </c>
      <c r="CE1188" s="1" t="str">
        <f ca="1">IFERROR(__xludf.DUMMYFUNCTION("""COMPUTED_VALUE"""),"Audiobook : आत्मविकास का राजमार्ग : Rare Book : anshu14.singh@yahoo.in : Recorded")</f>
        <v>Audiobook : आत्मविकास का राजमार्ग : Rare Book : anshu14.singh@yahoo.in : Recorded</v>
      </c>
      <c r="CF1188" s="1" t="str">
        <f ca="1">IFERROR(__xludf.DUMMYFUNCTION("""COMPUTED_VALUE"""),"Audiobook : आत्मविकास का राजमार्ग : Rare Book : anshu14.singh@yahoo.in : Recorded")</f>
        <v>Audiobook : आत्मविकास का राजमार्ग : Rare Book : anshu14.singh@yahoo.in : Recorded</v>
      </c>
      <c r="CG1188" s="1" t="str">
        <f ca="1">IFERROR(__xludf.DUMMYFUNCTION("""COMPUTED_VALUE"""),"Adarniya Anshu singh ji आत्मविकास का राजमार्ग : Rare Book : Allocated on 18-Jan-23 Contact Number  9977301575")</f>
        <v>Adarniya Anshu singh ji आत्मविकास का राजमार्ग : Rare Book : Allocated on 18-Jan-23 Contact Number  9977301575</v>
      </c>
      <c r="CH1188" s="1"/>
      <c r="CI1188" s="1"/>
    </row>
    <row r="1189" spans="1:87" x14ac:dyDescent="0.25">
      <c r="A1189" s="5">
        <f ca="1">IFERROR(__xludf.DUMMYFUNCTION("""COMPUTED_VALUE"""),44943.9463613425)</f>
        <v>44943.946361342503</v>
      </c>
      <c r="B1189" s="1" t="str">
        <f ca="1">IFERROR(__xludf.DUMMYFUNCTION("""COMPUTED_VALUE"""),"csprasad108@gmail.com")</f>
        <v>csprasad108@gmail.com</v>
      </c>
      <c r="C1189" s="1" t="str">
        <f ca="1">IFERROR(__xludf.DUMMYFUNCTION("""COMPUTED_VALUE"""),"Kumkum prasad")</f>
        <v>Kumkum prasad</v>
      </c>
      <c r="D1189" s="1">
        <f ca="1">IFERROR(__xludf.DUMMYFUNCTION("""COMPUTED_VALUE"""),7978055621)</f>
        <v>7978055621</v>
      </c>
      <c r="E1189" s="1" t="str">
        <f ca="1">IFERROR(__xludf.DUMMYFUNCTION("""COMPUTED_VALUE"""),"Yes")</f>
        <v>Yes</v>
      </c>
      <c r="F1189" s="1" t="str">
        <f ca="1">IFERROR(__xludf.DUMMYFUNCTION("""COMPUTED_VALUE"""),"हिन्दी")</f>
        <v>हिन्दी</v>
      </c>
      <c r="G1189" s="1" t="str">
        <f ca="1">IFERROR(__xludf.DUMMYFUNCTION("""COMPUTED_VALUE"""),"अध्यात्म, धर्म एवं दर्शन")</f>
        <v>अध्यात्म, धर्म एवं दर्शन</v>
      </c>
      <c r="H1189" s="1" t="str">
        <f ca="1">IFERROR(__xludf.DUMMYFUNCTION("""COMPUTED_VALUE"""),"अध्यात्म, धर्म एवं आस्तिकता")</f>
        <v>अध्यात्म, धर्म एवं आस्तिकता</v>
      </c>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f ca="1">IFERROR(__xludf.DUMMYFUNCTION("""COMPUTED_VALUE"""),52)</f>
        <v>52</v>
      </c>
      <c r="BX1189" s="1">
        <f ca="1">IFERROR(__xludf.DUMMYFUNCTION("""COMPUTED_VALUE"""),54)</f>
        <v>54</v>
      </c>
      <c r="BY1189" s="1">
        <f ca="1">IFERROR(__xludf.DUMMYFUNCTION("""COMPUTED_VALUE"""),3)</f>
        <v>3</v>
      </c>
      <c r="BZ1189" s="1">
        <f ca="1">IFERROR(__xludf.DUMMYFUNCTION("""COMPUTED_VALUE"""),24)</f>
        <v>24</v>
      </c>
      <c r="CA1189" s="1" t="str">
        <f ca="1">IFERROR(__xludf.DUMMYFUNCTION("""COMPUTED_VALUE"""),"Yes")</f>
        <v>Yes</v>
      </c>
      <c r="CB1189" s="5">
        <f ca="1">IFERROR(__xludf.DUMMYFUNCTION("""COMPUTED_VALUE"""),44953.9463613425)</f>
        <v>44953.946361342503</v>
      </c>
      <c r="CC1189" s="1" t="str">
        <f ca="1">IFERROR(__xludf.DUMMYFUNCTION("""COMPUTED_VALUE"""),"आत्मनिर्माण-जीवन का प्रथम सोपान : Rare Book")</f>
        <v>आत्मनिर्माण-जीवन का प्रथम सोपान : Rare Book</v>
      </c>
      <c r="CD1189" s="3" t="str">
        <f ca="1">IFERROR(__xludf.DUMMYFUNCTION("""COMPUTED_VALUE"""),"https://vicharkrantibooks.org/productdetail?book_name=HINF0049_ATMANIRMAN_JIVAN_KA_PRATHAM_SOPAN_xxyyyy&amp;product_id=269")</f>
        <v>https://vicharkrantibooks.org/productdetail?book_name=HINF0049_ATMANIRMAN_JIVAN_KA_PRATHAM_SOPAN_xxyyyy&amp;product_id=269</v>
      </c>
      <c r="CE1189" s="1" t="str">
        <f ca="1">IFERROR(__xludf.DUMMYFUNCTION("""COMPUTED_VALUE"""),"Audiobook : आत्मनिर्माण-जीवन का प्रथम सोपान : Rare Book : csprasad108@gmail.com : Recorded")</f>
        <v>Audiobook : आत्मनिर्माण-जीवन का प्रथम सोपान : Rare Book : csprasad108@gmail.com : Recorded</v>
      </c>
      <c r="CF1189" s="1" t="str">
        <f ca="1">IFERROR(__xludf.DUMMYFUNCTION("""COMPUTED_VALUE"""),"Audiobook : आत्मनिर्माण-जीवन का प्रथम सोपान : Rare Book : csprasad108@gmail.com : Recorded")</f>
        <v>Audiobook : आत्मनिर्माण-जीवन का प्रथम सोपान : Rare Book : csprasad108@gmail.com : Recorded</v>
      </c>
      <c r="CG1189" s="1" t="str">
        <f ca="1">IFERROR(__xludf.DUMMYFUNCTION("""COMPUTED_VALUE"""),"Adarniya Kumkum prasad ji आत्मनिर्माण-जीवन का प्रथम सोपान : Rare Book : Allocated on 17-Jan-23 Contact Number  7978055621")</f>
        <v>Adarniya Kumkum prasad ji आत्मनिर्माण-जीवन का प्रथम सोपान : Rare Book : Allocated on 17-Jan-23 Contact Number  7978055621</v>
      </c>
      <c r="CH1189" s="1"/>
      <c r="CI1189" s="1"/>
    </row>
    <row r="1190" spans="1:87" x14ac:dyDescent="0.25">
      <c r="A1190" s="5">
        <f ca="1">IFERROR(__xludf.DUMMYFUNCTION("""COMPUTED_VALUE"""),44943.3569066435)</f>
        <v>44943.356906643501</v>
      </c>
      <c r="B1190" s="1" t="str">
        <f ca="1">IFERROR(__xludf.DUMMYFUNCTION("""COMPUTED_VALUE"""),"nksaxena.yoga@gmail.com")</f>
        <v>nksaxena.yoga@gmail.com</v>
      </c>
      <c r="C1190" s="1" t="str">
        <f ca="1">IFERROR(__xludf.DUMMYFUNCTION("""COMPUTED_VALUE"""),"Narendra Kumar Saxena")</f>
        <v>Narendra Kumar Saxena</v>
      </c>
      <c r="D1190" s="1" t="str">
        <f ca="1">IFERROR(__xludf.DUMMYFUNCTION("""COMPUTED_VALUE"""),"+918826499188")</f>
        <v>+918826499188</v>
      </c>
      <c r="E1190" s="1" t="str">
        <f ca="1">IFERROR(__xludf.DUMMYFUNCTION("""COMPUTED_VALUE"""),"Yes")</f>
        <v>Yes</v>
      </c>
      <c r="F1190" s="1" t="str">
        <f ca="1">IFERROR(__xludf.DUMMYFUNCTION("""COMPUTED_VALUE"""),"हिन्दी")</f>
        <v>हिन्दी</v>
      </c>
      <c r="G1190" s="1" t="str">
        <f ca="1">IFERROR(__xludf.DUMMYFUNCTION("""COMPUTED_VALUE"""),"समग्र स्वास्थ्य")</f>
        <v>समग्र स्वास्थ्य</v>
      </c>
      <c r="H1190" s="1"/>
      <c r="I1190" s="1"/>
      <c r="J1190" s="1"/>
      <c r="K1190" s="1"/>
      <c r="L1190" s="1"/>
      <c r="M1190" s="1"/>
      <c r="N1190" s="1"/>
      <c r="O1190" s="1"/>
      <c r="P1190" s="1"/>
      <c r="Q1190" s="1"/>
      <c r="R1190" s="1"/>
      <c r="S1190" s="1"/>
      <c r="T1190" s="1"/>
      <c r="U1190" s="1" t="str">
        <f ca="1">IFERROR(__xludf.DUMMYFUNCTION("""COMPUTED_VALUE"""),"आहार-विहार एवं उपवास")</f>
        <v>आहार-विहार एवं उपवास</v>
      </c>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f ca="1">IFERROR(__xludf.DUMMYFUNCTION("""COMPUTED_VALUE"""),29)</f>
        <v>29</v>
      </c>
      <c r="BX1190" s="1">
        <f ca="1">IFERROR(__xludf.DUMMYFUNCTION("""COMPUTED_VALUE"""),30)</f>
        <v>30</v>
      </c>
      <c r="BY1190" s="1">
        <f ca="1">IFERROR(__xludf.DUMMYFUNCTION("""COMPUTED_VALUE"""),3)</f>
        <v>3</v>
      </c>
      <c r="BZ1190" s="1">
        <f ca="1">IFERROR(__xludf.DUMMYFUNCTION("""COMPUTED_VALUE"""),25)</f>
        <v>25</v>
      </c>
      <c r="CA1190" s="1" t="str">
        <f ca="1">IFERROR(__xludf.DUMMYFUNCTION("""COMPUTED_VALUE"""),"Yes")</f>
        <v>Yes</v>
      </c>
      <c r="CB1190" s="5">
        <f ca="1">IFERROR(__xludf.DUMMYFUNCTION("""COMPUTED_VALUE"""),44953.3569066435)</f>
        <v>44953.356906643501</v>
      </c>
      <c r="CC1190" s="1" t="str">
        <f ca="1">IFERROR(__xludf.DUMMYFUNCTION("""COMPUTED_VALUE"""),"आसन उपचार से आरोग्य की प्राप्ति : Rare Book")</f>
        <v>आसन उपचार से आरोग्य की प्राप्ति : Rare Book</v>
      </c>
      <c r="CD1190" s="3" t="str">
        <f ca="1">IFERROR(__xludf.DUMMYFUNCTION("""COMPUTED_VALUE"""),"https://vicharkrantibooks.org/productdetail?book_name=HINP0073_ASAN_UPACHAR_SE_AROGY_KI_PRAPTI_xx1981&amp;product_id=638")</f>
        <v>https://vicharkrantibooks.org/productdetail?book_name=HINP0073_ASAN_UPACHAR_SE_AROGY_KI_PRAPTI_xx1981&amp;product_id=638</v>
      </c>
      <c r="CE1190" s="1" t="str">
        <f ca="1">IFERROR(__xludf.DUMMYFUNCTION("""COMPUTED_VALUE"""),"Audiobook : आसन उपचार से आरोग्य की प्राप्ति : Rare Book : nksaxena.yoga@gmail.com : Recorded")</f>
        <v>Audiobook : आसन उपचार से आरोग्य की प्राप्ति : Rare Book : nksaxena.yoga@gmail.com : Recorded</v>
      </c>
      <c r="CF1190" s="1" t="str">
        <f ca="1">IFERROR(__xludf.DUMMYFUNCTION("""COMPUTED_VALUE"""),"Audiobook : आसन उपचार से आरोग्य की प्राप्ति : Rare Book : nksaxena.yoga@gmail.com : Recorded")</f>
        <v>Audiobook : आसन उपचार से आरोग्य की प्राप्ति : Rare Book : nksaxena.yoga@gmail.com : Recorded</v>
      </c>
      <c r="CG1190" s="1" t="str">
        <f ca="1">IFERROR(__xludf.DUMMYFUNCTION("""COMPUTED_VALUE"""),"Adarniya Narendra Kumar Saxena ji आसन उपचार से आरोग्य की प्राप्ति : Rare Book : Allocated on 17-Jan-23 Contact Number  +918826499188")</f>
        <v>Adarniya Narendra Kumar Saxena ji आसन उपचार से आरोग्य की प्राप्ति : Rare Book : Allocated on 17-Jan-23 Contact Number  +918826499188</v>
      </c>
      <c r="CH1190" s="1"/>
      <c r="CI1190" s="1"/>
    </row>
    <row r="1191" spans="1:87" x14ac:dyDescent="0.25">
      <c r="A1191" s="5">
        <f ca="1">IFERROR(__xludf.DUMMYFUNCTION("""COMPUTED_VALUE"""),44942.9163993171)</f>
        <v>44942.916399317102</v>
      </c>
      <c r="B1191" s="1" t="str">
        <f ca="1">IFERROR(__xludf.DUMMYFUNCTION("""COMPUTED_VALUE"""),"smitadubeyhere@gmail.com")</f>
        <v>smitadubeyhere@gmail.com</v>
      </c>
      <c r="C1191" s="1" t="str">
        <f ca="1">IFERROR(__xludf.DUMMYFUNCTION("""COMPUTED_VALUE"""),"Smita Dubey ")</f>
        <v xml:space="preserve">Smita Dubey </v>
      </c>
      <c r="D1191" s="1" t="str">
        <f ca="1">IFERROR(__xludf.DUMMYFUNCTION("""COMPUTED_VALUE"""),"92845 18176 ")</f>
        <v xml:space="preserve">92845 18176 </v>
      </c>
      <c r="E1191" s="1" t="str">
        <f ca="1">IFERROR(__xludf.DUMMYFUNCTION("""COMPUTED_VALUE"""),"Yes")</f>
        <v>Yes</v>
      </c>
      <c r="F1191" s="1" t="str">
        <f ca="1">IFERROR(__xludf.DUMMYFUNCTION("""COMPUTED_VALUE"""),"हिन्दी")</f>
        <v>हिन्दी</v>
      </c>
      <c r="G1191" s="1" t="str">
        <f ca="1">IFERROR(__xludf.DUMMYFUNCTION("""COMPUTED_VALUE"""),"परिवार निर्माण")</f>
        <v>परिवार निर्माण</v>
      </c>
      <c r="H1191" s="1"/>
      <c r="I1191" s="1"/>
      <c r="J1191" s="1"/>
      <c r="K1191" s="1"/>
      <c r="L1191" s="1"/>
      <c r="M1191" s="1" t="str">
        <f ca="1">IFERROR(__xludf.DUMMYFUNCTION("""COMPUTED_VALUE"""),"बाल मनोविज्ञान")</f>
        <v>बाल मनोविज्ञान</v>
      </c>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f ca="1">IFERROR(__xludf.DUMMYFUNCTION("""COMPUTED_VALUE"""),2)</f>
        <v>2</v>
      </c>
      <c r="BX1191" s="1">
        <f ca="1">IFERROR(__xludf.DUMMYFUNCTION("""COMPUTED_VALUE"""),6)</f>
        <v>6</v>
      </c>
      <c r="BY1191" s="1">
        <f ca="1">IFERROR(__xludf.DUMMYFUNCTION("""COMPUTED_VALUE"""),0)</f>
        <v>0</v>
      </c>
      <c r="BZ1191" s="1">
        <f ca="1">IFERROR(__xludf.DUMMYFUNCTION("""COMPUTED_VALUE"""),4)</f>
        <v>4</v>
      </c>
      <c r="CA1191" s="1" t="str">
        <f ca="1">IFERROR(__xludf.DUMMYFUNCTION("""COMPUTED_VALUE"""),"Yes")</f>
        <v>Yes</v>
      </c>
      <c r="CB1191" s="5">
        <f ca="1">IFERROR(__xludf.DUMMYFUNCTION("""COMPUTED_VALUE"""),44952.9163993171)</f>
        <v>44952.916399317102</v>
      </c>
      <c r="CC1191" s="1" t="str">
        <f ca="1">IFERROR(__xludf.DUMMYFUNCTION("""COMPUTED_VALUE"""),"पथभ्रष्ट परिवार कैसे सुधरें ? : Rare Book")</f>
        <v>पथभ्रष्ट परिवार कैसे सुधरें ? : Rare Book</v>
      </c>
      <c r="CD1191" s="3" t="str">
        <f ca="1">IFERROR(__xludf.DUMMYFUNCTION("""COMPUTED_VALUE"""),"https://vicharkrantibooks.org/productdetail?book_name=HINP0643_PATHABHRASHT_PARIWAR_KAISE_SUDHAREN_xxyyyy&amp;product_id=1208")</f>
        <v>https://vicharkrantibooks.org/productdetail?book_name=HINP0643_PATHABHRASHT_PARIWAR_KAISE_SUDHAREN_xxyyyy&amp;product_id=1208</v>
      </c>
      <c r="CE1191" s="1" t="str">
        <f ca="1">IFERROR(__xludf.DUMMYFUNCTION("""COMPUTED_VALUE"""),"Audiobook : पथभ्रष्ट परिवार कैसे सुधरें ? : Rare Book : smitadubeyhere@gmail.com : Recorded")</f>
        <v>Audiobook : पथभ्रष्ट परिवार कैसे सुधरें ? : Rare Book : smitadubeyhere@gmail.com : Recorded</v>
      </c>
      <c r="CF1191" s="1" t="str">
        <f ca="1">IFERROR(__xludf.DUMMYFUNCTION("""COMPUTED_VALUE"""),"Audiobook : पथभ्रष्ट परिवार कैसे सुधरें ? : Rare Book : smitadubeyhere@gmail.com : Recorded")</f>
        <v>Audiobook : पथभ्रष्ट परिवार कैसे सुधरें ? : Rare Book : smitadubeyhere@gmail.com : Recorded</v>
      </c>
      <c r="CG1191" s="1" t="str">
        <f ca="1">IFERROR(__xludf.DUMMYFUNCTION("""COMPUTED_VALUE"""),"Adarniya Smita Dubey  ji पथभ्रष्ट परिवार कैसे सुधरें ? : Rare Book : Allocated on 16-Jan-23 Contact Number  92845 18176 ")</f>
        <v xml:space="preserve">Adarniya Smita Dubey  ji पथभ्रष्ट परिवार कैसे सुधरें ? : Rare Book : Allocated on 16-Jan-23 Contact Number  92845 18176 </v>
      </c>
      <c r="CH1191" s="1"/>
      <c r="CI1191" s="1"/>
    </row>
    <row r="1192" spans="1:87" x14ac:dyDescent="0.25">
      <c r="A1192" s="5">
        <f ca="1">IFERROR(__xludf.DUMMYFUNCTION("""COMPUTED_VALUE"""),44942.31942228)</f>
        <v>44942.319422280001</v>
      </c>
      <c r="B1192" s="1" t="str">
        <f ca="1">IFERROR(__xludf.DUMMYFUNCTION("""COMPUTED_VALUE"""),"savita.dubey@gmail.com")</f>
        <v>savita.dubey@gmail.com</v>
      </c>
      <c r="C1192" s="1" t="str">
        <f ca="1">IFERROR(__xludf.DUMMYFUNCTION("""COMPUTED_VALUE"""),"Savita")</f>
        <v>Savita</v>
      </c>
      <c r="D1192" s="1">
        <f ca="1">IFERROR(__xludf.DUMMYFUNCTION("""COMPUTED_VALUE"""),4692640779)</f>
        <v>4692640779</v>
      </c>
      <c r="E1192" s="1" t="str">
        <f ca="1">IFERROR(__xludf.DUMMYFUNCTION("""COMPUTED_VALUE"""),"Yes")</f>
        <v>Yes</v>
      </c>
      <c r="F1192" s="1" t="str">
        <f ca="1">IFERROR(__xludf.DUMMYFUNCTION("""COMPUTED_VALUE"""),"English")</f>
        <v>English</v>
      </c>
      <c r="G1192" s="1" t="str">
        <f ca="1">IFERROR(__xludf.DUMMYFUNCTION("""COMPUTED_VALUE"""),"English")</f>
        <v>English</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f ca="1">IFERROR(__xludf.DUMMYFUNCTION("""COMPUTED_VALUE"""),9)</f>
        <v>9</v>
      </c>
      <c r="BX1192" s="1">
        <f ca="1">IFERROR(__xludf.DUMMYFUNCTION("""COMPUTED_VALUE"""),10)</f>
        <v>10</v>
      </c>
      <c r="BY1192" s="1">
        <f ca="1">IFERROR(__xludf.DUMMYFUNCTION("""COMPUTED_VALUE"""),3)</f>
        <v>3</v>
      </c>
      <c r="BZ1192" s="1">
        <f ca="1">IFERROR(__xludf.DUMMYFUNCTION("""COMPUTED_VALUE"""),9)</f>
        <v>9</v>
      </c>
      <c r="CA1192" s="1" t="str">
        <f ca="1">IFERROR(__xludf.DUMMYFUNCTION("""COMPUTED_VALUE"""),"Yes")</f>
        <v>Yes</v>
      </c>
      <c r="CB1192" s="5">
        <f ca="1">IFERROR(__xludf.DUMMYFUNCTION("""COMPUTED_VALUE"""),44952.31942228)</f>
        <v>44952.319422280001</v>
      </c>
      <c r="CC1192" s="1" t="str">
        <f ca="1">IFERROR(__xludf.DUMMYFUNCTION("""COMPUTED_VALUE"""),"In The Angelic Light Of Rishi Thoughts 2 : EP_70_2")</f>
        <v>In The Angelic Light Of Rishi Thoughts 2 : EP_70_2</v>
      </c>
      <c r="CD1192" s="3" t="str">
        <f ca="1">IFERROR(__xludf.DUMMYFUNCTION("""COMPUTED_VALUE"""),"https://vicharkrantibooks.org/productdetail?book_name=ENGP0713_IN_THE_ANGELIC_LIGHT_OF_RISHI_THOUGHTS_2_xxyyyy&amp;product_id=3461")</f>
        <v>https://vicharkrantibooks.org/productdetail?book_name=ENGP0713_IN_THE_ANGELIC_LIGHT_OF_RISHI_THOUGHTS_2_xxyyyy&amp;product_id=3461</v>
      </c>
      <c r="CE1192" s="1" t="str">
        <f ca="1">IFERROR(__xludf.DUMMYFUNCTION("""COMPUTED_VALUE"""),"Audiobook : In The Angelic Light Of Rishi Thoughts 2 : EP_70_2 : savita.dubey@gmail.com : Recorded")</f>
        <v>Audiobook : In The Angelic Light Of Rishi Thoughts 2 : EP_70_2 : savita.dubey@gmail.com : Recorded</v>
      </c>
      <c r="CF1192" s="1" t="str">
        <f ca="1">IFERROR(__xludf.DUMMYFUNCTION("""COMPUTED_VALUE"""),"Audiobook : In The Angelic Light Of Rishi Thoughts 2 : EP_70_2 : Savita.dubey@gmail.com : Recorded")</f>
        <v>Audiobook : In The Angelic Light Of Rishi Thoughts 2 : EP_70_2 : Savita.dubey@gmail.com : Recorded</v>
      </c>
      <c r="CG1192" s="1" t="str">
        <f ca="1">IFERROR(__xludf.DUMMYFUNCTION("""COMPUTED_VALUE"""),"Adarniya Savita ji In The Angelic Light Of Rishi Thoughts 2 : EP_70_2 : Allocated on 16-Jan-23 Contact Number  4692640779")</f>
        <v>Adarniya Savita ji In The Angelic Light Of Rishi Thoughts 2 : EP_70_2 : Allocated on 16-Jan-23 Contact Number  4692640779</v>
      </c>
      <c r="CH1192" s="1"/>
      <c r="CI1192" s="1"/>
    </row>
    <row r="1193" spans="1:87" x14ac:dyDescent="0.25">
      <c r="A1193" s="5">
        <f ca="1">IFERROR(__xludf.DUMMYFUNCTION("""COMPUTED_VALUE"""),44942.2305969791)</f>
        <v>44942.230596979098</v>
      </c>
      <c r="B1193" s="1" t="str">
        <f ca="1">IFERROR(__xludf.DUMMYFUNCTION("""COMPUTED_VALUE"""),"sanjayneha1@yahoo.com")</f>
        <v>sanjayneha1@yahoo.com</v>
      </c>
      <c r="C1193" s="1" t="str">
        <f ca="1">IFERROR(__xludf.DUMMYFUNCTION("""COMPUTED_VALUE"""),"Neha Manocha")</f>
        <v>Neha Manocha</v>
      </c>
      <c r="D1193" s="1">
        <f ca="1">IFERROR(__xludf.DUMMYFUNCTION("""COMPUTED_VALUE"""),16174130446)</f>
        <v>16174130446</v>
      </c>
      <c r="E1193" s="1" t="str">
        <f ca="1">IFERROR(__xludf.DUMMYFUNCTION("""COMPUTED_VALUE"""),"Yes")</f>
        <v>Yes</v>
      </c>
      <c r="F1193" s="1" t="str">
        <f ca="1">IFERROR(__xludf.DUMMYFUNCTION("""COMPUTED_VALUE"""),"हिन्दी or English")</f>
        <v>हिन्दी or English</v>
      </c>
      <c r="G1193" s="1" t="str">
        <f ca="1">IFERROR(__xludf.DUMMYFUNCTION("""COMPUTED_VALUE"""),"जीवन प्रबंध")</f>
        <v>जीवन प्रबंध</v>
      </c>
      <c r="H1193" s="1"/>
      <c r="I1193" s="1"/>
      <c r="J1193" s="1"/>
      <c r="K1193" s="1"/>
      <c r="L1193" s="1" t="str">
        <f ca="1">IFERROR(__xludf.DUMMYFUNCTION("""COMPUTED_VALUE"""),"सफल, संतुष्ट एवं सुखी जीवन")</f>
        <v>सफल, संतुष्ट एवं सुखी जीवन</v>
      </c>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f ca="1">IFERROR(__xludf.DUMMYFUNCTION("""COMPUTED_VALUE"""),33)</f>
        <v>33</v>
      </c>
      <c r="BX1193" s="1">
        <f ca="1">IFERROR(__xludf.DUMMYFUNCTION("""COMPUTED_VALUE"""),40)</f>
        <v>40</v>
      </c>
      <c r="BY1193" s="1">
        <f ca="1">IFERROR(__xludf.DUMMYFUNCTION("""COMPUTED_VALUE"""),3)</f>
        <v>3</v>
      </c>
      <c r="BZ1193" s="1">
        <f ca="1">IFERROR(__xludf.DUMMYFUNCTION("""COMPUTED_VALUE"""),22)</f>
        <v>22</v>
      </c>
      <c r="CA1193" s="1" t="str">
        <f ca="1">IFERROR(__xludf.DUMMYFUNCTION("""COMPUTED_VALUE"""),"Yes")</f>
        <v>Yes</v>
      </c>
      <c r="CB1193" s="5">
        <f ca="1">IFERROR(__xludf.DUMMYFUNCTION("""COMPUTED_VALUE"""),44952.2305969791)</f>
        <v>44952.230596979098</v>
      </c>
      <c r="CC1193" s="1" t="str">
        <f ca="1">IFERROR(__xludf.DUMMYFUNCTION("""COMPUTED_VALUE"""),"Loose Not Your Heart : EP_41")</f>
        <v>Loose Not Your Heart : EP_41</v>
      </c>
      <c r="CD1193" s="3" t="str">
        <f ca="1">IFERROR(__xludf.DUMMYFUNCTION("""COMPUTED_VALUE"""),"https://vicharkrantibooks.org/productdetail?book_name=ENGP0343_LOOSE_NOT_YOUR_HEART_xxyyyy&amp;product_id=3434")</f>
        <v>https://vicharkrantibooks.org/productdetail?book_name=ENGP0343_LOOSE_NOT_YOUR_HEART_xxyyyy&amp;product_id=3434</v>
      </c>
      <c r="CE1193" s="1" t="str">
        <f ca="1">IFERROR(__xludf.DUMMYFUNCTION("""COMPUTED_VALUE"""),"Audiobook : Loose Not Your Heart : EP_41 : sanjayneha1@yahoo.com : Recorded")</f>
        <v>Audiobook : Loose Not Your Heart : EP_41 : sanjayneha1@yahoo.com : Recorded</v>
      </c>
      <c r="CF1193" s="1" t="str">
        <f ca="1">IFERROR(__xludf.DUMMYFUNCTION("""COMPUTED_VALUE"""),"Audiobook : Loose Not Your Heart : EP_41 : sanjayneha1@yahoo.com : Recorded")</f>
        <v>Audiobook : Loose Not Your Heart : EP_41 : sanjayneha1@yahoo.com : Recorded</v>
      </c>
      <c r="CG1193" s="1" t="str">
        <f ca="1">IFERROR(__xludf.DUMMYFUNCTION("""COMPUTED_VALUE"""),"Adarniya Neha Manocha ji Loose Not Your Heart : EP_41 : Allocated on 16-Jan-23 Contact Number  16174130446")</f>
        <v>Adarniya Neha Manocha ji Loose Not Your Heart : EP_41 : Allocated on 16-Jan-23 Contact Number  16174130446</v>
      </c>
      <c r="CH1193" s="1"/>
      <c r="CI1193" s="1"/>
    </row>
    <row r="1194" spans="1:87" x14ac:dyDescent="0.25">
      <c r="A1194" s="5">
        <f ca="1">IFERROR(__xludf.DUMMYFUNCTION("""COMPUTED_VALUE"""),44941.6798959953)</f>
        <v>44941.679895995301</v>
      </c>
      <c r="B1194" s="1" t="str">
        <f ca="1">IFERROR(__xludf.DUMMYFUNCTION("""COMPUTED_VALUE"""),"sbdswati@gmail.com")</f>
        <v>sbdswati@gmail.com</v>
      </c>
      <c r="C1194" s="1" t="str">
        <f ca="1">IFERROR(__xludf.DUMMYFUNCTION("""COMPUTED_VALUE"""),"Swati Srivastava ")</f>
        <v xml:space="preserve">Swati Srivastava </v>
      </c>
      <c r="D1194" s="1">
        <f ca="1">IFERROR(__xludf.DUMMYFUNCTION("""COMPUTED_VALUE"""),6397862188)</f>
        <v>6397862188</v>
      </c>
      <c r="E1194" s="1" t="str">
        <f ca="1">IFERROR(__xludf.DUMMYFUNCTION("""COMPUTED_VALUE"""),"No")</f>
        <v>No</v>
      </c>
      <c r="F1194" s="1" t="str">
        <f ca="1">IFERROR(__xludf.DUMMYFUNCTION("""COMPUTED_VALUE"""),"हिन्दी")</f>
        <v>हिन्दी</v>
      </c>
      <c r="G1194" s="1" t="str">
        <f ca="1">IFERROR(__xludf.DUMMYFUNCTION("""COMPUTED_VALUE"""),"परिवार निर्माण")</f>
        <v>परिवार निर्माण</v>
      </c>
      <c r="H1194" s="1"/>
      <c r="I1194" s="1"/>
      <c r="J1194" s="1"/>
      <c r="K1194" s="1"/>
      <c r="L1194" s="1"/>
      <c r="M1194" s="1" t="str">
        <f ca="1">IFERROR(__xludf.DUMMYFUNCTION("""COMPUTED_VALUE"""),"गर्भ संस्कार")</f>
        <v>गर्भ संस्कार</v>
      </c>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f ca="1">IFERROR(__xludf.DUMMYFUNCTION("""COMPUTED_VALUE"""),10)</f>
        <v>10</v>
      </c>
      <c r="BX1194" s="1">
        <f ca="1">IFERROR(__xludf.DUMMYFUNCTION("""COMPUTED_VALUE"""),12)</f>
        <v>12</v>
      </c>
      <c r="BY1194" s="1">
        <f ca="1">IFERROR(__xludf.DUMMYFUNCTION("""COMPUTED_VALUE"""),2)</f>
        <v>2</v>
      </c>
      <c r="BZ1194" s="1">
        <f ca="1">IFERROR(__xludf.DUMMYFUNCTION("""COMPUTED_VALUE"""),1)</f>
        <v>1</v>
      </c>
      <c r="CA1194" s="1" t="str">
        <f ca="1">IFERROR(__xludf.DUMMYFUNCTION("""COMPUTED_VALUE"""),"Yes")</f>
        <v>Yes</v>
      </c>
      <c r="CB1194" s="5">
        <f ca="1">IFERROR(__xludf.DUMMYFUNCTION("""COMPUTED_VALUE"""),44951.6798959953)</f>
        <v>44951.679895995301</v>
      </c>
      <c r="CC1194" s="1" t="str">
        <f ca="1">IFERROR(__xludf.DUMMYFUNCTION("""COMPUTED_VALUE"""),"गृहस्थाश्रम श्रेष्ठ आश्रम : Rare Book")</f>
        <v>गृहस्थाश्रम श्रेष्ठ आश्रम : Rare Book</v>
      </c>
      <c r="CD1194" s="3" t="str">
        <f ca="1">IFERROR(__xludf.DUMMYFUNCTION("""COMPUTED_VALUE"""),"https://vicharkrantibooks.org/productdetail?book_name=HINP0314_GRUHASTHASHRAM_SHRESHTH_ASHRAM_xxyyyy&amp;product_id=879")</f>
        <v>https://vicharkrantibooks.org/productdetail?book_name=HINP0314_GRUHASTHASHRAM_SHRESHTH_ASHRAM_xxyyyy&amp;product_id=879</v>
      </c>
      <c r="CE1194" s="1" t="str">
        <f ca="1">IFERROR(__xludf.DUMMYFUNCTION("""COMPUTED_VALUE"""),"Audiobook : गृहस्थाश्रम श्रेष्ठ आश्रम : Rare Book : sbdswati@gmail.com : Recorded")</f>
        <v>Audiobook : गृहस्थाश्रम श्रेष्ठ आश्रम : Rare Book : sbdswati@gmail.com : Recorded</v>
      </c>
      <c r="CF1194" s="1" t="str">
        <f ca="1">IFERROR(__xludf.DUMMYFUNCTION("""COMPUTED_VALUE"""),"Audiobook : गृहस्थाश्रम श्रेष्ठ आश्रम : Rare Book : sbdswati@gmail.com : Recorded")</f>
        <v>Audiobook : गृहस्थाश्रम श्रेष्ठ आश्रम : Rare Book : sbdswati@gmail.com : Recorded</v>
      </c>
      <c r="CG1194" s="1" t="str">
        <f ca="1">IFERROR(__xludf.DUMMYFUNCTION("""COMPUTED_VALUE"""),"Adarniya Swati Srivastava  ji गृहस्थाश्रम श्रेष्ठ आश्रम : Rare Book : Allocated on 15-Jan-23 Contact Number  6397862188")</f>
        <v>Adarniya Swati Srivastava  ji गृहस्थाश्रम श्रेष्ठ आश्रम : Rare Book : Allocated on 15-Jan-23 Contact Number  6397862188</v>
      </c>
      <c r="CH1194" s="1"/>
      <c r="CI1194" s="1"/>
    </row>
    <row r="1195" spans="1:87" x14ac:dyDescent="0.25">
      <c r="A1195" s="5">
        <f ca="1">IFERROR(__xludf.DUMMYFUNCTION("""COMPUTED_VALUE"""),44941.5913803935)</f>
        <v>44941.591380393496</v>
      </c>
      <c r="B1195" s="1" t="str">
        <f ca="1">IFERROR(__xludf.DUMMYFUNCTION("""COMPUTED_VALUE"""),"binitathakur1005@gmail.com")</f>
        <v>binitathakur1005@gmail.com</v>
      </c>
      <c r="C1195" s="1" t="str">
        <f ca="1">IFERROR(__xludf.DUMMYFUNCTION("""COMPUTED_VALUE"""),"Binitathakur ")</f>
        <v xml:space="preserve">Binitathakur </v>
      </c>
      <c r="D1195" s="1">
        <f ca="1">IFERROR(__xludf.DUMMYFUNCTION("""COMPUTED_VALUE"""),9939304105)</f>
        <v>9939304105</v>
      </c>
      <c r="E1195" s="1" t="str">
        <f ca="1">IFERROR(__xludf.DUMMYFUNCTION("""COMPUTED_VALUE"""),"Yes")</f>
        <v>Yes</v>
      </c>
      <c r="F1195" s="1" t="str">
        <f ca="1">IFERROR(__xludf.DUMMYFUNCTION("""COMPUTED_VALUE"""),"हिन्दी")</f>
        <v>हिन्दी</v>
      </c>
      <c r="G1195" s="1" t="str">
        <f ca="1">IFERROR(__xludf.DUMMYFUNCTION("""COMPUTED_VALUE"""),"अध्यात्म, धर्म एवं दर्शन")</f>
        <v>अध्यात्म, धर्म एवं दर्शन</v>
      </c>
      <c r="H1195" s="1" t="str">
        <f ca="1">IFERROR(__xludf.DUMMYFUNCTION("""COMPUTED_VALUE"""),"अध्यात्म, धर्म एवं आस्तिकता")</f>
        <v>अध्यात्म, धर्म एवं आस्तिकता</v>
      </c>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f ca="1">IFERROR(__xludf.DUMMYFUNCTION("""COMPUTED_VALUE"""),5)</f>
        <v>5</v>
      </c>
      <c r="BX1195" s="1">
        <f ca="1">IFERROR(__xludf.DUMMYFUNCTION("""COMPUTED_VALUE"""),3)</f>
        <v>3</v>
      </c>
      <c r="BY1195" s="1">
        <f ca="1">IFERROR(__xludf.DUMMYFUNCTION("""COMPUTED_VALUE"""),1)</f>
        <v>1</v>
      </c>
      <c r="BZ1195" s="1">
        <f ca="1">IFERROR(__xludf.DUMMYFUNCTION("""COMPUTED_VALUE"""),1)</f>
        <v>1</v>
      </c>
      <c r="CA1195" s="1" t="str">
        <f ca="1">IFERROR(__xludf.DUMMYFUNCTION("""COMPUTED_VALUE"""),"Yes")</f>
        <v>Yes</v>
      </c>
      <c r="CB1195" s="5">
        <f ca="1">IFERROR(__xludf.DUMMYFUNCTION("""COMPUTED_VALUE"""),44951.5913803935)</f>
        <v>44951.591380393496</v>
      </c>
      <c r="CC1195" s="1" t="str">
        <f ca="1">IFERROR(__xludf.DUMMYFUNCTION("""COMPUTED_VALUE"""),"आत्मनिर्माण सबसे बड़ा पुरुषार्थ : Rare Book")</f>
        <v>आत्मनिर्माण सबसे बड़ा पुरुषार्थ : Rare Book</v>
      </c>
      <c r="CD1195" s="3" t="str">
        <f ca="1">IFERROR(__xludf.DUMMYFUNCTION("""COMPUTED_VALUE"""),"https://vicharkrantibooks.org/productdetail?book_name=HINP0097_ATMANIRMAN_SABASE_BADA_PURUSARTH_xx1981&amp;product_id=662")</f>
        <v>https://vicharkrantibooks.org/productdetail?book_name=HINP0097_ATMANIRMAN_SABASE_BADA_PURUSARTH_xx1981&amp;product_id=662</v>
      </c>
      <c r="CE1195" s="1" t="str">
        <f ca="1">IFERROR(__xludf.DUMMYFUNCTION("""COMPUTED_VALUE"""),"Audiobook : आत्मनिर्माण सबसे बड़ा पुरुषार्थ : Rare Book : binitathakur1005@gmail.com : Recorded")</f>
        <v>Audiobook : आत्मनिर्माण सबसे बड़ा पुरुषार्थ : Rare Book : binitathakur1005@gmail.com : Recorded</v>
      </c>
      <c r="CF1195" s="1" t="str">
        <f ca="1">IFERROR(__xludf.DUMMYFUNCTION("""COMPUTED_VALUE"""),"Audiobook : आत्मनिर्माण सबसे बड़ा पुरुषार्थ : Rare Book : binitathakur1005@gmail.com : Recorded")</f>
        <v>Audiobook : आत्मनिर्माण सबसे बड़ा पुरुषार्थ : Rare Book : binitathakur1005@gmail.com : Recorded</v>
      </c>
      <c r="CG1195" s="1" t="str">
        <f ca="1">IFERROR(__xludf.DUMMYFUNCTION("""COMPUTED_VALUE"""),"Adarniya Binitathakur  ji आत्मनिर्माण सबसे बड़ा पुरुषार्थ : Rare Book : Allocated on 15-Jan-23 Contact Number  9939304105")</f>
        <v>Adarniya Binitathakur  ji आत्मनिर्माण सबसे बड़ा पुरुषार्थ : Rare Book : Allocated on 15-Jan-23 Contact Number  9939304105</v>
      </c>
      <c r="CH1195" s="1"/>
      <c r="CI1195" s="1"/>
    </row>
    <row r="1196" spans="1:87" x14ac:dyDescent="0.25">
      <c r="A1196" s="5">
        <f ca="1">IFERROR(__xludf.DUMMYFUNCTION("""COMPUTED_VALUE"""),44941.3365012384)</f>
        <v>44941.336501238402</v>
      </c>
      <c r="B1196" s="1" t="str">
        <f ca="1">IFERROR(__xludf.DUMMYFUNCTION("""COMPUTED_VALUE"""),"rtejasvi97@gmail.com")</f>
        <v>rtejasvi97@gmail.com</v>
      </c>
      <c r="C1196" s="1" t="str">
        <f ca="1">IFERROR(__xludf.DUMMYFUNCTION("""COMPUTED_VALUE"""),"RAVI RANJAN KUMAR")</f>
        <v>RAVI RANJAN KUMAR</v>
      </c>
      <c r="D1196" s="1" t="str">
        <f ca="1">IFERROR(__xludf.DUMMYFUNCTION("""COMPUTED_VALUE"""),"08809767960")</f>
        <v>08809767960</v>
      </c>
      <c r="E1196" s="1" t="str">
        <f ca="1">IFERROR(__xludf.DUMMYFUNCTION("""COMPUTED_VALUE"""),"Yes")</f>
        <v>Yes</v>
      </c>
      <c r="F1196" s="1" t="str">
        <f ca="1">IFERROR(__xludf.DUMMYFUNCTION("""COMPUTED_VALUE"""),"हिन्दी")</f>
        <v>हिन्दी</v>
      </c>
      <c r="G1196" s="1" t="str">
        <f ca="1">IFERROR(__xludf.DUMMYFUNCTION("""COMPUTED_VALUE"""),"युग द्रष्टा पं. श्रीराम शर्मा आचार्यजी")</f>
        <v>युग द्रष्टा पं. श्रीराम शर्मा आचार्यजी</v>
      </c>
      <c r="H1196" s="1"/>
      <c r="I1196" s="1"/>
      <c r="J1196" s="1"/>
      <c r="K1196" s="1"/>
      <c r="L1196" s="1"/>
      <c r="M1196" s="1"/>
      <c r="N1196" s="1"/>
      <c r="O1196" s="1"/>
      <c r="P1196" s="1" t="str">
        <f ca="1">IFERROR(__xludf.DUMMYFUNCTION("""COMPUTED_VALUE"""),"युगॠषी का जीवनदर्शन")</f>
        <v>युगॠषी का जीवनदर्शन</v>
      </c>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f ca="1">IFERROR(__xludf.DUMMYFUNCTION("""COMPUTED_VALUE"""),3)</f>
        <v>3</v>
      </c>
      <c r="BX1196" s="1">
        <f ca="1">IFERROR(__xludf.DUMMYFUNCTION("""COMPUTED_VALUE"""),3)</f>
        <v>3</v>
      </c>
      <c r="BY1196" s="1">
        <f ca="1">IFERROR(__xludf.DUMMYFUNCTION("""COMPUTED_VALUE"""),1)</f>
        <v>1</v>
      </c>
      <c r="BZ1196" s="1">
        <f ca="1">IFERROR(__xludf.DUMMYFUNCTION("""COMPUTED_VALUE"""),3)</f>
        <v>3</v>
      </c>
      <c r="CA1196" s="1" t="str">
        <f ca="1">IFERROR(__xludf.DUMMYFUNCTION("""COMPUTED_VALUE"""),"Yes")</f>
        <v>Yes</v>
      </c>
      <c r="CB1196" s="5">
        <f ca="1">IFERROR(__xludf.DUMMYFUNCTION("""COMPUTED_VALUE"""),44951.3365012384)</f>
        <v>44951.336501238402</v>
      </c>
      <c r="CC1196" s="1" t="str">
        <f ca="1">IFERROR(__xludf.DUMMYFUNCTION("""COMPUTED_VALUE"""),"संभवामि युगे युगे : H_JS_93")</f>
        <v>संभवामि युगे युगे : H_JS_93</v>
      </c>
      <c r="CD1196" s="3" t="str">
        <f ca="1">IFERROR(__xludf.DUMMYFUNCTION("""COMPUTED_VALUE"""),"https://vicharkrantibooks.org/productdetail?book_name=HINP0775_SAMBHAVAMI_YUGE_YUGE_xx2011&amp;product_id=1340")</f>
        <v>https://vicharkrantibooks.org/productdetail?book_name=HINP0775_SAMBHAVAMI_YUGE_YUGE_xx2011&amp;product_id=1340</v>
      </c>
      <c r="CE1196" s="1" t="str">
        <f ca="1">IFERROR(__xludf.DUMMYFUNCTION("""COMPUTED_VALUE"""),"Audiobook : संभवामि युगे युगे : H_JS_93 : rtejasvi97@gmail.com : Recorded")</f>
        <v>Audiobook : संभवामि युगे युगे : H_JS_93 : rtejasvi97@gmail.com : Recorded</v>
      </c>
      <c r="CF1196" s="1" t="str">
        <f ca="1">IFERROR(__xludf.DUMMYFUNCTION("""COMPUTED_VALUE"""),"#N/A")</f>
        <v>#N/A</v>
      </c>
      <c r="CG1196" s="1" t="str">
        <f ca="1">IFERROR(__xludf.DUMMYFUNCTION("""COMPUTED_VALUE"""),"Adarniya RAVI RANJAN KUMAR ji संभवामि युगे युगे : H_JS_93 : Allocated on 15-Jan-23 Contact Number  08809767960")</f>
        <v>Adarniya RAVI RANJAN KUMAR ji संभवामि युगे युगे : H_JS_93 : Allocated on 15-Jan-23 Contact Number  08809767960</v>
      </c>
      <c r="CH1196" s="1"/>
      <c r="CI1196" s="1"/>
    </row>
    <row r="1197" spans="1:87" x14ac:dyDescent="0.25">
      <c r="A1197" s="5">
        <f ca="1">IFERROR(__xludf.DUMMYFUNCTION("""COMPUTED_VALUE"""),44940.8536145138)</f>
        <v>44940.853614513799</v>
      </c>
      <c r="B1197" s="1" t="str">
        <f ca="1">IFERROR(__xludf.DUMMYFUNCTION("""COMPUTED_VALUE"""),"surendra.shantikunj@gmail.com")</f>
        <v>surendra.shantikunj@gmail.com</v>
      </c>
      <c r="C1197" s="1" t="str">
        <f ca="1">IFERROR(__xludf.DUMMYFUNCTION("""COMPUTED_VALUE"""),"Surendrs Singh")</f>
        <v>Surendrs Singh</v>
      </c>
      <c r="D1197" s="1" t="str">
        <f ca="1">IFERROR(__xludf.DUMMYFUNCTION("""COMPUTED_VALUE"""),"+919431606383")</f>
        <v>+919431606383</v>
      </c>
      <c r="E1197" s="1" t="str">
        <f ca="1">IFERROR(__xludf.DUMMYFUNCTION("""COMPUTED_VALUE"""),"No")</f>
        <v>No</v>
      </c>
      <c r="F1197" s="1" t="str">
        <f ca="1">IFERROR(__xludf.DUMMYFUNCTION("""COMPUTED_VALUE"""),"हिन्दी")</f>
        <v>हिन्दी</v>
      </c>
      <c r="G1197" s="1" t="str">
        <f ca="1">IFERROR(__xludf.DUMMYFUNCTION("""COMPUTED_VALUE"""),"युग द्रष्टा पं. श्रीराम शर्मा आचार्यजी")</f>
        <v>युग द्रष्टा पं. श्रीराम शर्मा आचार्यजी</v>
      </c>
      <c r="H1197" s="1"/>
      <c r="I1197" s="1"/>
      <c r="J1197" s="1"/>
      <c r="K1197" s="1"/>
      <c r="L1197" s="1"/>
      <c r="M1197" s="1"/>
      <c r="N1197" s="1"/>
      <c r="O1197" s="1"/>
      <c r="P1197" s="1" t="str">
        <f ca="1">IFERROR(__xludf.DUMMYFUNCTION("""COMPUTED_VALUE"""),"युगॠषी की अमृतवाणी")</f>
        <v>युगॠषी की अमृतवाणी</v>
      </c>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f ca="1">IFERROR(__xludf.DUMMYFUNCTION("""COMPUTED_VALUE"""),1)</f>
        <v>1</v>
      </c>
      <c r="BX1197" s="1">
        <f ca="1">IFERROR(__xludf.DUMMYFUNCTION("""COMPUTED_VALUE"""),0)</f>
        <v>0</v>
      </c>
      <c r="BY1197" s="1">
        <f ca="1">IFERROR(__xludf.DUMMYFUNCTION("""COMPUTED_VALUE"""),1)</f>
        <v>1</v>
      </c>
      <c r="BZ1197" s="1">
        <f ca="1">IFERROR(__xludf.DUMMYFUNCTION("""COMPUTED_VALUE"""),0)</f>
        <v>0</v>
      </c>
      <c r="CA1197" s="1" t="str">
        <f ca="1">IFERROR(__xludf.DUMMYFUNCTION("""COMPUTED_VALUE"""),"Yes")</f>
        <v>Yes</v>
      </c>
      <c r="CB1197" s="5">
        <f ca="1">IFERROR(__xludf.DUMMYFUNCTION("""COMPUTED_VALUE"""),44950.8536145138)</f>
        <v>44950.853614513799</v>
      </c>
      <c r="CC1197" s="1" t="str">
        <f ca="1">IFERROR(__xludf.DUMMYFUNCTION("""COMPUTED_VALUE"""),"युग ऋषि एवं उनकी योजना : H_SJ_71")</f>
        <v>युग ऋषि एवं उनकी योजना : H_SJ_71</v>
      </c>
      <c r="CD1197" s="3" t="str">
        <f ca="1">IFERROR(__xludf.DUMMYFUNCTION("""COMPUTED_VALUE"""),"https://vicharkrantibooks.org/productdetail?book_name=HINP1067_YUGRUSHI_EVAM_UNAKI_YOJANA_xxyyyy&amp;product_id=1632")</f>
        <v>https://vicharkrantibooks.org/productdetail?book_name=HINP1067_YUGRUSHI_EVAM_UNAKI_YOJANA_xxyyyy&amp;product_id=1632</v>
      </c>
      <c r="CE1197" s="1" t="str">
        <f ca="1">IFERROR(__xludf.DUMMYFUNCTION("""COMPUTED_VALUE"""),"Audiobook : युग ऋषि एवं उनकी योजना : H_SJ_71 : surendra.shantikunj@gmail.com : Recorded")</f>
        <v>Audiobook : युग ऋषि एवं उनकी योजना : H_SJ_71 : surendra.shantikunj@gmail.com : Recorded</v>
      </c>
      <c r="CF1197" s="1" t="str">
        <f ca="1">IFERROR(__xludf.DUMMYFUNCTION("""COMPUTED_VALUE"""),"#N/A")</f>
        <v>#N/A</v>
      </c>
      <c r="CG1197" s="1" t="str">
        <f ca="1">IFERROR(__xludf.DUMMYFUNCTION("""COMPUTED_VALUE"""),"Adarniya Surendrs Singh ji युग ऋषि एवं उनकी योजना : H_SJ_71 : Allocated on 14-Jan-23 Contact Number  +919431606383")</f>
        <v>Adarniya Surendrs Singh ji युग ऋषि एवं उनकी योजना : H_SJ_71 : Allocated on 14-Jan-23 Contact Number  +919431606383</v>
      </c>
      <c r="CH1197" s="1"/>
      <c r="CI1197" s="1"/>
    </row>
    <row r="1198" spans="1:87" x14ac:dyDescent="0.25">
      <c r="A1198" s="5">
        <f ca="1">IFERROR(__xludf.DUMMYFUNCTION("""COMPUTED_VALUE"""),44940.6113266898)</f>
        <v>44940.611326689803</v>
      </c>
      <c r="B1198" s="1" t="str">
        <f ca="1">IFERROR(__xludf.DUMMYFUNCTION("""COMPUTED_VALUE"""),"csprasad108@gmail.com")</f>
        <v>csprasad108@gmail.com</v>
      </c>
      <c r="C1198" s="1" t="str">
        <f ca="1">IFERROR(__xludf.DUMMYFUNCTION("""COMPUTED_VALUE"""),"Kumkum prasad")</f>
        <v>Kumkum prasad</v>
      </c>
      <c r="D1198" s="1">
        <f ca="1">IFERROR(__xludf.DUMMYFUNCTION("""COMPUTED_VALUE"""),7978055621)</f>
        <v>7978055621</v>
      </c>
      <c r="E1198" s="1" t="str">
        <f ca="1">IFERROR(__xludf.DUMMYFUNCTION("""COMPUTED_VALUE"""),"Yes")</f>
        <v>Yes</v>
      </c>
      <c r="F1198" s="1" t="str">
        <f ca="1">IFERROR(__xludf.DUMMYFUNCTION("""COMPUTED_VALUE"""),"हिन्दी")</f>
        <v>हिन्दी</v>
      </c>
      <c r="G1198" s="1" t="str">
        <f ca="1">IFERROR(__xludf.DUMMYFUNCTION("""COMPUTED_VALUE"""),"भारतीय संस्कृति")</f>
        <v>भारतीय संस्कृति</v>
      </c>
      <c r="H1198" s="1"/>
      <c r="I1198" s="1"/>
      <c r="J1198" s="1"/>
      <c r="K1198" s="1"/>
      <c r="L1198" s="1"/>
      <c r="M1198" s="1"/>
      <c r="N1198" s="1"/>
      <c r="O1198" s="1" t="str">
        <f ca="1">IFERROR(__xludf.DUMMYFUNCTION("""COMPUTED_VALUE"""),"यज्ञ")</f>
        <v>यज्ञ</v>
      </c>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f ca="1">IFERROR(__xludf.DUMMYFUNCTION("""COMPUTED_VALUE"""),52)</f>
        <v>52</v>
      </c>
      <c r="BX1198" s="1">
        <f ca="1">IFERROR(__xludf.DUMMYFUNCTION("""COMPUTED_VALUE"""),54)</f>
        <v>54</v>
      </c>
      <c r="BY1198" s="1">
        <f ca="1">IFERROR(__xludf.DUMMYFUNCTION("""COMPUTED_VALUE"""),3)</f>
        <v>3</v>
      </c>
      <c r="BZ1198" s="1">
        <f ca="1">IFERROR(__xludf.DUMMYFUNCTION("""COMPUTED_VALUE"""),24)</f>
        <v>24</v>
      </c>
      <c r="CA1198" s="1" t="str">
        <f ca="1">IFERROR(__xludf.DUMMYFUNCTION("""COMPUTED_VALUE"""),"Yes")</f>
        <v>Yes</v>
      </c>
      <c r="CB1198" s="5">
        <f ca="1">IFERROR(__xludf.DUMMYFUNCTION("""COMPUTED_VALUE"""),44950.6113266898)</f>
        <v>44950.611326689803</v>
      </c>
      <c r="CC1198" s="1" t="str">
        <f ca="1">IFERROR(__xludf.DUMMYFUNCTION("""COMPUTED_VALUE"""),"गायत्री और यज्ञ भारतीय संस्कृति के माता पिता : Rare Book")</f>
        <v>गायत्री और यज्ञ भारतीय संस्कृति के माता पिता : Rare Book</v>
      </c>
      <c r="CD1198" s="3" t="str">
        <f ca="1">IFERROR(__xludf.DUMMYFUNCTION("""COMPUTED_VALUE"""),"https://vicharkrantibooks.org/productdetail?book_name=HINF0380_GAYATRI_AUR_YAGY_BHARATIY_SANSKRUTI_KE_MATA_PITA_xxyyyy&amp;product_id=4399")</f>
        <v>https://vicharkrantibooks.org/productdetail?book_name=HINF0380_GAYATRI_AUR_YAGY_BHARATIY_SANSKRUTI_KE_MATA_PITA_xxyyyy&amp;product_id=4399</v>
      </c>
      <c r="CE1198" s="1" t="str">
        <f ca="1">IFERROR(__xludf.DUMMYFUNCTION("""COMPUTED_VALUE"""),"Audiobook : गायत्री और यज्ञ भारतीय संस्कृति के माता पिता : Rare Book : csprasad108@gmail.com : Recorded")</f>
        <v>Audiobook : गायत्री और यज्ञ भारतीय संस्कृति के माता पिता : Rare Book : csprasad108@gmail.com : Recorded</v>
      </c>
      <c r="CF1198" s="1" t="str">
        <f ca="1">IFERROR(__xludf.DUMMYFUNCTION("""COMPUTED_VALUE"""),"Audiobook : गायत्री और यज्ञ भारतीय संस्कृति के माता पिता : Rare Book : csprasad108@gmail.com : Recorded")</f>
        <v>Audiobook : गायत्री और यज्ञ भारतीय संस्कृति के माता पिता : Rare Book : csprasad108@gmail.com : Recorded</v>
      </c>
      <c r="CG1198" s="1" t="str">
        <f ca="1">IFERROR(__xludf.DUMMYFUNCTION("""COMPUTED_VALUE"""),"Adarniya Kumkum prasad ji गायत्री और यज्ञ भारतीय संस्कृति के माता पिता : Rare Book : Allocated on 14-Jan-23 Contact Number  7978055621")</f>
        <v>Adarniya Kumkum prasad ji गायत्री और यज्ञ भारतीय संस्कृति के माता पिता : Rare Book : Allocated on 14-Jan-23 Contact Number  7978055621</v>
      </c>
      <c r="CH1198" s="1"/>
      <c r="CI1198" s="1"/>
    </row>
    <row r="1199" spans="1:87" x14ac:dyDescent="0.25">
      <c r="A1199" s="5">
        <f ca="1">IFERROR(__xludf.DUMMYFUNCTION("""COMPUTED_VALUE"""),44940.3695929166)</f>
        <v>44940.369592916599</v>
      </c>
      <c r="B1199" s="1" t="str">
        <f ca="1">IFERROR(__xludf.DUMMYFUNCTION("""COMPUTED_VALUE"""),"druma4107@gmail.com")</f>
        <v>druma4107@gmail.com</v>
      </c>
      <c r="C1199" s="1" t="str">
        <f ca="1">IFERROR(__xludf.DUMMYFUNCTION("""COMPUTED_VALUE"""),"Dr uma Agrawal")</f>
        <v>Dr uma Agrawal</v>
      </c>
      <c r="D1199" s="1">
        <f ca="1">IFERROR(__xludf.DUMMYFUNCTION("""COMPUTED_VALUE"""),9410861182)</f>
        <v>9410861182</v>
      </c>
      <c r="E1199" s="1" t="str">
        <f ca="1">IFERROR(__xludf.DUMMYFUNCTION("""COMPUTED_VALUE"""),"Yes")</f>
        <v>Yes</v>
      </c>
      <c r="F1199" s="1" t="str">
        <f ca="1">IFERROR(__xludf.DUMMYFUNCTION("""COMPUTED_VALUE"""),"हिन्दी")</f>
        <v>हिन्दी</v>
      </c>
      <c r="G1199" s="1" t="str">
        <f ca="1">IFERROR(__xludf.DUMMYFUNCTION("""COMPUTED_VALUE"""),"अध्यात्म, धर्म एवं दर्शन")</f>
        <v>अध्यात्म, धर्म एवं दर्शन</v>
      </c>
      <c r="H1199" s="1" t="str">
        <f ca="1">IFERROR(__xludf.DUMMYFUNCTION("""COMPUTED_VALUE"""),"अध्यात्म, धर्म एवं आस्तिकता")</f>
        <v>अध्यात्म, धर्म एवं आस्तिकता</v>
      </c>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f ca="1">IFERROR(__xludf.DUMMYFUNCTION("""COMPUTED_VALUE"""),104)</f>
        <v>104</v>
      </c>
      <c r="BX1199" s="1">
        <f ca="1">IFERROR(__xludf.DUMMYFUNCTION("""COMPUTED_VALUE"""),106)</f>
        <v>106</v>
      </c>
      <c r="BY1199" s="1">
        <f ca="1">IFERROR(__xludf.DUMMYFUNCTION("""COMPUTED_VALUE"""),9)</f>
        <v>9</v>
      </c>
      <c r="BZ1199" s="1">
        <f ca="1">IFERROR(__xludf.DUMMYFUNCTION("""COMPUTED_VALUE"""),43)</f>
        <v>43</v>
      </c>
      <c r="CA1199" s="1" t="str">
        <f ca="1">IFERROR(__xludf.DUMMYFUNCTION("""COMPUTED_VALUE"""),"Yes")</f>
        <v>Yes</v>
      </c>
      <c r="CB1199" s="5">
        <f ca="1">IFERROR(__xludf.DUMMYFUNCTION("""COMPUTED_VALUE"""),44950.3695929166)</f>
        <v>44950.369592916599</v>
      </c>
      <c r="CC1199" s="1" t="str">
        <f ca="1">IFERROR(__xludf.DUMMYFUNCTION("""COMPUTED_VALUE"""),"आत्मतेजोबलम बलम : Rare Book")</f>
        <v>आत्मतेजोबलम बलम : Rare Book</v>
      </c>
      <c r="CD1199" s="3" t="str">
        <f ca="1">IFERROR(__xludf.DUMMYFUNCTION("""COMPUTED_VALUE"""),"https://vicharkrantibooks.org/productdetail?book_name=HINP0110_ATMTEJOBALAM_BALAM_xx1979&amp;product_id=675")</f>
        <v>https://vicharkrantibooks.org/productdetail?book_name=HINP0110_ATMTEJOBALAM_BALAM_xx1979&amp;product_id=675</v>
      </c>
      <c r="CE1199" s="1" t="str">
        <f ca="1">IFERROR(__xludf.DUMMYFUNCTION("""COMPUTED_VALUE"""),"Audiobook : आत्मतेजोबलम बलम : Rare Book : druma4107@gmail.com : Recorded")</f>
        <v>Audiobook : आत्मतेजोबलम बलम : Rare Book : druma4107@gmail.com : Recorded</v>
      </c>
      <c r="CF1199" s="1" t="str">
        <f ca="1">IFERROR(__xludf.DUMMYFUNCTION("""COMPUTED_VALUE"""),"#N/A")</f>
        <v>#N/A</v>
      </c>
      <c r="CG1199" s="1" t="str">
        <f ca="1">IFERROR(__xludf.DUMMYFUNCTION("""COMPUTED_VALUE"""),"Adarniya Dr uma Agrawal ji आत्मतेजोबलम बलम : Rare Book : Allocated on 14-Jan-23 Contact Number  9410861182")</f>
        <v>Adarniya Dr uma Agrawal ji आत्मतेजोबलम बलम : Rare Book : Allocated on 14-Jan-23 Contact Number  9410861182</v>
      </c>
      <c r="CH1199" s="1"/>
      <c r="CI1199" s="1"/>
    </row>
    <row r="1200" spans="1:87" x14ac:dyDescent="0.25">
      <c r="A1200" s="5">
        <f ca="1">IFERROR(__xludf.DUMMYFUNCTION("""COMPUTED_VALUE"""),44940.3309208449)</f>
        <v>44940.330920844899</v>
      </c>
      <c r="B1200" s="1" t="str">
        <f ca="1">IFERROR(__xludf.DUMMYFUNCTION("""COMPUTED_VALUE"""),"jamunashukla17@gmail.com")</f>
        <v>jamunashukla17@gmail.com</v>
      </c>
      <c r="C1200" s="1" t="str">
        <f ca="1">IFERROR(__xludf.DUMMYFUNCTION("""COMPUTED_VALUE"""),"jamuna shukla")</f>
        <v>jamuna shukla</v>
      </c>
      <c r="D1200" s="1" t="str">
        <f ca="1">IFERROR(__xludf.DUMMYFUNCTION("""COMPUTED_VALUE"""),"+918390353167")</f>
        <v>+918390353167</v>
      </c>
      <c r="E1200" s="1" t="str">
        <f ca="1">IFERROR(__xludf.DUMMYFUNCTION("""COMPUTED_VALUE"""),"No")</f>
        <v>No</v>
      </c>
      <c r="F1200" s="1" t="str">
        <f ca="1">IFERROR(__xludf.DUMMYFUNCTION("""COMPUTED_VALUE"""),"हिन्दी")</f>
        <v>हिन्दी</v>
      </c>
      <c r="G1200" s="1" t="str">
        <f ca="1">IFERROR(__xludf.DUMMYFUNCTION("""COMPUTED_VALUE"""),"समग्र स्वास्थ्य")</f>
        <v>समग्र स्वास्थ्य</v>
      </c>
      <c r="H1200" s="1"/>
      <c r="I1200" s="1"/>
      <c r="J1200" s="1"/>
      <c r="K1200" s="1"/>
      <c r="L1200" s="1"/>
      <c r="M1200" s="1"/>
      <c r="N1200" s="1"/>
      <c r="O1200" s="1"/>
      <c r="P1200" s="1"/>
      <c r="Q1200" s="1"/>
      <c r="R1200" s="1"/>
      <c r="S1200" s="1"/>
      <c r="T1200" s="1"/>
      <c r="U1200" s="1" t="str">
        <f ca="1">IFERROR(__xludf.DUMMYFUNCTION("""COMPUTED_VALUE"""),"मानसिक स्वास्थ्य")</f>
        <v>मानसिक स्वास्थ्य</v>
      </c>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f ca="1">IFERROR(__xludf.DUMMYFUNCTION("""COMPUTED_VALUE"""),53)</f>
        <v>53</v>
      </c>
      <c r="BX1200" s="1">
        <f ca="1">IFERROR(__xludf.DUMMYFUNCTION("""COMPUTED_VALUE"""),53)</f>
        <v>53</v>
      </c>
      <c r="BY1200" s="1">
        <f ca="1">IFERROR(__xludf.DUMMYFUNCTION("""COMPUTED_VALUE"""),9)</f>
        <v>9</v>
      </c>
      <c r="BZ1200" s="1">
        <f ca="1">IFERROR(__xludf.DUMMYFUNCTION("""COMPUTED_VALUE"""),25)</f>
        <v>25</v>
      </c>
      <c r="CA1200" s="1" t="str">
        <f ca="1">IFERROR(__xludf.DUMMYFUNCTION("""COMPUTED_VALUE"""),"Yes")</f>
        <v>Yes</v>
      </c>
      <c r="CB1200" s="5">
        <f ca="1">IFERROR(__xludf.DUMMYFUNCTION("""COMPUTED_VALUE"""),44950.3309208449)</f>
        <v>44950.330920844899</v>
      </c>
      <c r="CC1200" s="1" t="str">
        <f ca="1">IFERROR(__xludf.DUMMYFUNCTION("""COMPUTED_VALUE"""),"आधि व्याधियों की बाढ और उनकी रोकथाम : Rare Book")</f>
        <v>आधि व्याधियों की बाढ और उनकी रोकथाम : Rare Book</v>
      </c>
      <c r="CD1200" s="3" t="str">
        <f ca="1">IFERROR(__xludf.DUMMYFUNCTION("""COMPUTED_VALUE"""),"https://vicharkrantibooks.org/productdetail?book_name=HINP0005_ADHI_VYADHIYON_KI_BADH_AUR_UNAKI_ROKATHAM_xx1981&amp;product_id=570")</f>
        <v>https://vicharkrantibooks.org/productdetail?book_name=HINP0005_ADHI_VYADHIYON_KI_BADH_AUR_UNAKI_ROKATHAM_xx1981&amp;product_id=570</v>
      </c>
      <c r="CE1200" s="1" t="str">
        <f ca="1">IFERROR(__xludf.DUMMYFUNCTION("""COMPUTED_VALUE"""),"Audiobook : आधि व्याधियों की बाढ और उनकी रोकथाम : Rare Book : jamunashukla17@gmail.com : Recorded")</f>
        <v>Audiobook : आधि व्याधियों की बाढ और उनकी रोकथाम : Rare Book : jamunashukla17@gmail.com : Recorded</v>
      </c>
      <c r="CF1200" s="1" t="str">
        <f ca="1">IFERROR(__xludf.DUMMYFUNCTION("""COMPUTED_VALUE"""),"Audiobook : आधि व्याधियों की बाढ और उनकी रोकथाम : Rare Book : jamunashukla17@gmail.com : Recorded")</f>
        <v>Audiobook : आधि व्याधियों की बाढ और उनकी रोकथाम : Rare Book : jamunashukla17@gmail.com : Recorded</v>
      </c>
      <c r="CG1200" s="1" t="str">
        <f ca="1">IFERROR(__xludf.DUMMYFUNCTION("""COMPUTED_VALUE"""),"Adarniya jamuna shukla ji आधि व्याधियों की बाढ और उनकी रोकथाम : Rare Book : Allocated on 14-Jan-23 Contact Number  +918390353167")</f>
        <v>Adarniya jamuna shukla ji आधि व्याधियों की बाढ और उनकी रोकथाम : Rare Book : Allocated on 14-Jan-23 Contact Number  +918390353167</v>
      </c>
      <c r="CH1200" s="1"/>
      <c r="CI1200" s="1"/>
    </row>
    <row r="1201" spans="1:87" x14ac:dyDescent="0.25">
      <c r="A1201" s="5">
        <f ca="1">IFERROR(__xludf.DUMMYFUNCTION("""COMPUTED_VALUE"""),44939.878063206)</f>
        <v>44939.878063206001</v>
      </c>
      <c r="B1201" s="1" t="str">
        <f ca="1">IFERROR(__xludf.DUMMYFUNCTION("""COMPUTED_VALUE"""),"shrutidube.86@gmail.com")</f>
        <v>shrutidube.86@gmail.com</v>
      </c>
      <c r="C1201" s="1" t="str">
        <f ca="1">IFERROR(__xludf.DUMMYFUNCTION("""COMPUTED_VALUE"""),"Shruti Dubey")</f>
        <v>Shruti Dubey</v>
      </c>
      <c r="D1201" s="1">
        <f ca="1">IFERROR(__xludf.DUMMYFUNCTION("""COMPUTED_VALUE"""),7021294023)</f>
        <v>7021294023</v>
      </c>
      <c r="E1201" s="1" t="str">
        <f ca="1">IFERROR(__xludf.DUMMYFUNCTION("""COMPUTED_VALUE"""),"No")</f>
        <v>No</v>
      </c>
      <c r="F1201" s="1" t="str">
        <f ca="1">IFERROR(__xludf.DUMMYFUNCTION("""COMPUTED_VALUE"""),"हिन्दी or English")</f>
        <v>हिन्दी or English</v>
      </c>
      <c r="G1201" s="1" t="str">
        <f ca="1">IFERROR(__xludf.DUMMYFUNCTION("""COMPUTED_VALUE"""),"जीवन प्रबंध")</f>
        <v>जीवन प्रबंध</v>
      </c>
      <c r="H1201" s="1"/>
      <c r="I1201" s="1"/>
      <c r="J1201" s="1"/>
      <c r="K1201" s="1"/>
      <c r="L1201" s="1" t="str">
        <f ca="1">IFERROR(__xludf.DUMMYFUNCTION("""COMPUTED_VALUE"""),"मन की शक्ति एवं मनोविज्ञान")</f>
        <v>मन की शक्ति एवं मनोविज्ञान</v>
      </c>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f ca="1">IFERROR(__xludf.DUMMYFUNCTION("""COMPUTED_VALUE"""),8)</f>
        <v>8</v>
      </c>
      <c r="BX1201" s="1">
        <f ca="1">IFERROR(__xludf.DUMMYFUNCTION("""COMPUTED_VALUE"""),4)</f>
        <v>4</v>
      </c>
      <c r="BY1201" s="1">
        <f ca="1">IFERROR(__xludf.DUMMYFUNCTION("""COMPUTED_VALUE"""),4)</f>
        <v>4</v>
      </c>
      <c r="BZ1201" s="1">
        <f ca="1">IFERROR(__xludf.DUMMYFUNCTION("""COMPUTED_VALUE"""),1)</f>
        <v>1</v>
      </c>
      <c r="CA1201" s="1" t="str">
        <f ca="1">IFERROR(__xludf.DUMMYFUNCTION("""COMPUTED_VALUE"""),"Yes")</f>
        <v>Yes</v>
      </c>
      <c r="CB1201" s="5">
        <f ca="1">IFERROR(__xludf.DUMMYFUNCTION("""COMPUTED_VALUE"""),44949.878063206)</f>
        <v>44949.878063206001</v>
      </c>
      <c r="CC1201" s="1" t="str">
        <f ca="1">IFERROR(__xludf.DUMMYFUNCTION("""COMPUTED_VALUE"""),"जीवन का परम लक्ष्य सत्यं, शिवं, सुन्दरम्‌ : Rare Book")</f>
        <v>जीवन का परम लक्ष्य सत्यं, शिवं, सुन्दरम्‌ : Rare Book</v>
      </c>
      <c r="CD1201" s="3" t="str">
        <f ca="1">IFERROR(__xludf.DUMMYFUNCTION("""COMPUTED_VALUE"""),"https://vicharkrantibooks.org/productdetail?book_name=HINP0388_JIVAN_KA_PARAM_LAKSHY_SATYAM_SHIVAM_SUNDARAM_xx1981&amp;product_id=953")</f>
        <v>https://vicharkrantibooks.org/productdetail?book_name=HINP0388_JIVAN_KA_PARAM_LAKSHY_SATYAM_SHIVAM_SUNDARAM_xx1981&amp;product_id=953</v>
      </c>
      <c r="CE1201" s="1" t="str">
        <f ca="1">IFERROR(__xludf.DUMMYFUNCTION("""COMPUTED_VALUE"""),"Audiobook : जीवन का परम लक्ष्य सत्यं, शिवं, सुन्दरम्‌ : Rare Book : shrutidube.86@gmail.com : Recorded")</f>
        <v>Audiobook : जीवन का परम लक्ष्य सत्यं, शिवं, सुन्दरम्‌ : Rare Book : shrutidube.86@gmail.com : Recorded</v>
      </c>
      <c r="CF1201" s="1" t="str">
        <f ca="1">IFERROR(__xludf.DUMMYFUNCTION("""COMPUTED_VALUE"""),"Audiobook : जीवन का परम लक्ष्य सत्यं, शिवं, सुन्दरम्‌ : Rare Book : shrutidube.86@gmail.com : Recorded")</f>
        <v>Audiobook : जीवन का परम लक्ष्य सत्यं, शिवं, सुन्दरम्‌ : Rare Book : shrutidube.86@gmail.com : Recorded</v>
      </c>
      <c r="CG1201" s="1" t="str">
        <f ca="1">IFERROR(__xludf.DUMMYFUNCTION("""COMPUTED_VALUE"""),"Adarniya Shruti Dubey ji जीवन का परम लक्ष्य सत्यं, शिवं, सुन्दरम्‌ : Rare Book : Allocated on 13-Jan-23 Contact Number  7021294023")</f>
        <v>Adarniya Shruti Dubey ji जीवन का परम लक्ष्य सत्यं, शिवं, सुन्दरम्‌ : Rare Book : Allocated on 13-Jan-23 Contact Number  7021294023</v>
      </c>
      <c r="CH1201" s="1"/>
      <c r="CI1201" s="1"/>
    </row>
    <row r="1202" spans="1:87" x14ac:dyDescent="0.25">
      <c r="A1202" s="5">
        <f ca="1">IFERROR(__xludf.DUMMYFUNCTION("""COMPUTED_VALUE"""),44939.8539753588)</f>
        <v>44939.853975358797</v>
      </c>
      <c r="B1202" s="1" t="str">
        <f ca="1">IFERROR(__xludf.DUMMYFUNCTION("""COMPUTED_VALUE"""),"binitathakur1005@gmail.com")</f>
        <v>binitathakur1005@gmail.com</v>
      </c>
      <c r="C1202" s="1" t="str">
        <f ca="1">IFERROR(__xludf.DUMMYFUNCTION("""COMPUTED_VALUE"""),"Binitathakur ")</f>
        <v xml:space="preserve">Binitathakur </v>
      </c>
      <c r="D1202" s="1">
        <f ca="1">IFERROR(__xludf.DUMMYFUNCTION("""COMPUTED_VALUE"""),9939304105)</f>
        <v>9939304105</v>
      </c>
      <c r="E1202" s="1" t="str">
        <f ca="1">IFERROR(__xludf.DUMMYFUNCTION("""COMPUTED_VALUE"""),"Yes")</f>
        <v>Yes</v>
      </c>
      <c r="F1202" s="1" t="str">
        <f ca="1">IFERROR(__xludf.DUMMYFUNCTION("""COMPUTED_VALUE"""),"हिन्दी")</f>
        <v>हिन्दी</v>
      </c>
      <c r="G1202" s="1" t="str">
        <f ca="1">IFERROR(__xludf.DUMMYFUNCTION("""COMPUTED_VALUE"""),"अध्यात्म, धर्म एवं दर्शन")</f>
        <v>अध्यात्म, धर्म एवं दर्शन</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f ca="1">IFERROR(__xludf.DUMMYFUNCTION("""COMPUTED_VALUE"""),5)</f>
        <v>5</v>
      </c>
      <c r="BX1202" s="1">
        <f ca="1">IFERROR(__xludf.DUMMYFUNCTION("""COMPUTED_VALUE"""),3)</f>
        <v>3</v>
      </c>
      <c r="BY1202" s="1">
        <f ca="1">IFERROR(__xludf.DUMMYFUNCTION("""COMPUTED_VALUE"""),1)</f>
        <v>1</v>
      </c>
      <c r="BZ1202" s="1">
        <f ca="1">IFERROR(__xludf.DUMMYFUNCTION("""COMPUTED_VALUE"""),1)</f>
        <v>1</v>
      </c>
      <c r="CA1202" s="1" t="str">
        <f ca="1">IFERROR(__xludf.DUMMYFUNCTION("""COMPUTED_VALUE"""),"Yes")</f>
        <v>Yes</v>
      </c>
      <c r="CB1202" s="5">
        <f ca="1">IFERROR(__xludf.DUMMYFUNCTION("""COMPUTED_VALUE"""),44949.8539753588)</f>
        <v>44949.853975358797</v>
      </c>
      <c r="CC1202" s="1" t="str">
        <f ca="1">IFERROR(__xludf.DUMMYFUNCTION("""COMPUTED_VALUE"""),"आत्मज्ञान और आत्मकल्याण का तत्वदर्शन : Rare Book")</f>
        <v>आत्मज्ञान और आत्मकल्याण का तत्वदर्शन : Rare Book</v>
      </c>
      <c r="CD1202" s="3" t="str">
        <f ca="1">IFERROR(__xludf.DUMMYFUNCTION("""COMPUTED_VALUE"""),"https://vicharkrantibooks.org/productdetail?book_name=HINP0093_ATMAGYAN_AUR_ATMKALYAN_KA_TATVADARSHAN_xx1981&amp;product_id=658")</f>
        <v>https://vicharkrantibooks.org/productdetail?book_name=HINP0093_ATMAGYAN_AUR_ATMKALYAN_KA_TATVADARSHAN_xx1981&amp;product_id=658</v>
      </c>
      <c r="CE1202" s="1" t="str">
        <f ca="1">IFERROR(__xludf.DUMMYFUNCTION("""COMPUTED_VALUE"""),"Audiobook : आत्मज्ञान और आत्मकल्याण का तत्वदर्शन : Rare Book : binitathakur1005@gmail.com : Recorded")</f>
        <v>Audiobook : आत्मज्ञान और आत्मकल्याण का तत्वदर्शन : Rare Book : binitathakur1005@gmail.com : Recorded</v>
      </c>
      <c r="CF1202" s="1" t="str">
        <f ca="1">IFERROR(__xludf.DUMMYFUNCTION("""COMPUTED_VALUE"""),"Audiobook : आत्मज्ञान और आत्मकल्याण का तत्वदर्शन : Rare Book : binitathakur1005@gmail.com : Recorded")</f>
        <v>Audiobook : आत्मज्ञान और आत्मकल्याण का तत्वदर्शन : Rare Book : binitathakur1005@gmail.com : Recorded</v>
      </c>
      <c r="CG1202" s="1" t="str">
        <f ca="1">IFERROR(__xludf.DUMMYFUNCTION("""COMPUTED_VALUE"""),"Adarniya Binitathakur  ji आत्मज्ञान और आत्मकल्याण का तत्वदर्शन : Rare Book : Allocated on 13-Jan-23 Contact Number  9939304105")</f>
        <v>Adarniya Binitathakur  ji आत्मज्ञान और आत्मकल्याण का तत्वदर्शन : Rare Book : Allocated on 13-Jan-23 Contact Number  9939304105</v>
      </c>
      <c r="CH1202" s="1"/>
      <c r="CI1202" s="1"/>
    </row>
    <row r="1203" spans="1:87" x14ac:dyDescent="0.25">
      <c r="A1203" s="5">
        <f ca="1">IFERROR(__xludf.DUMMYFUNCTION("""COMPUTED_VALUE"""),44938.9231442013)</f>
        <v>44938.923144201297</v>
      </c>
      <c r="B1203" s="1" t="str">
        <f ca="1">IFERROR(__xludf.DUMMYFUNCTION("""COMPUTED_VALUE"""),"spmittalmumbai@gmail.com")</f>
        <v>spmittalmumbai@gmail.com</v>
      </c>
      <c r="C1203" s="1" t="str">
        <f ca="1">IFERROR(__xludf.DUMMYFUNCTION("""COMPUTED_VALUE"""),"Satya prabha Mittal")</f>
        <v>Satya prabha Mittal</v>
      </c>
      <c r="D1203" s="1">
        <f ca="1">IFERROR(__xludf.DUMMYFUNCTION("""COMPUTED_VALUE"""),9860003407)</f>
        <v>9860003407</v>
      </c>
      <c r="E1203" s="1" t="str">
        <f ca="1">IFERROR(__xludf.DUMMYFUNCTION("""COMPUTED_VALUE"""),"Yes")</f>
        <v>Yes</v>
      </c>
      <c r="F1203" s="1" t="str">
        <f ca="1">IFERROR(__xludf.DUMMYFUNCTION("""COMPUTED_VALUE"""),"हिन्दी")</f>
        <v>हिन्दी</v>
      </c>
      <c r="G1203" s="1" t="str">
        <f ca="1">IFERROR(__xludf.DUMMYFUNCTION("""COMPUTED_VALUE"""),"जीवन प्रबंध")</f>
        <v>जीवन प्रबंध</v>
      </c>
      <c r="H1203" s="1"/>
      <c r="I1203" s="1"/>
      <c r="J1203" s="1"/>
      <c r="K1203" s="1"/>
      <c r="L1203" s="1" t="str">
        <f ca="1">IFERROR(__xludf.DUMMYFUNCTION("""COMPUTED_VALUE"""),"मन की शक्ति एवं मनोविज्ञान")</f>
        <v>मन की शक्ति एवं मनोविज्ञान</v>
      </c>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f ca="1">IFERROR(__xludf.DUMMYFUNCTION("""COMPUTED_VALUE"""),39)</f>
        <v>39</v>
      </c>
      <c r="BX1203" s="1">
        <f ca="1">IFERROR(__xludf.DUMMYFUNCTION("""COMPUTED_VALUE"""),32)</f>
        <v>32</v>
      </c>
      <c r="BY1203" s="1">
        <f ca="1">IFERROR(__xludf.DUMMYFUNCTION("""COMPUTED_VALUE"""),11)</f>
        <v>11</v>
      </c>
      <c r="BZ1203" s="1">
        <f ca="1">IFERROR(__xludf.DUMMYFUNCTION("""COMPUTED_VALUE"""),23)</f>
        <v>23</v>
      </c>
      <c r="CA1203" s="1" t="str">
        <f ca="1">IFERROR(__xludf.DUMMYFUNCTION("""COMPUTED_VALUE"""),"Yes")</f>
        <v>Yes</v>
      </c>
      <c r="CB1203" s="5">
        <f ca="1">IFERROR(__xludf.DUMMYFUNCTION("""COMPUTED_VALUE"""),44948.9231442013)</f>
        <v>44948.923144201297</v>
      </c>
      <c r="CC1203" s="1" t="str">
        <f ca="1">IFERROR(__xludf.DUMMYFUNCTION("""COMPUTED_VALUE"""),"ऋषि चिंतन के सान्निध्य में ०१ (पोकेट) : H_SJ_28_1")</f>
        <v>ऋषि चिंतन के सान्निध्य में ०१ (पोकेट) : H_SJ_28_1</v>
      </c>
      <c r="CD1203" s="3" t="str">
        <f ca="1">IFERROR(__xludf.DUMMYFUNCTION("""COMPUTED_VALUE"""),"https://vicharkrantibooks.org/productdetail?book_name=HINP0712_RUSHI_CHINTAN_KE_SANIDHYA_MEIN_01_(POCKET)_xxyyyy&amp;product_id=1277")</f>
        <v>https://vicharkrantibooks.org/productdetail?book_name=HINP0712_RUSHI_CHINTAN_KE_SANIDHYA_MEIN_01_(POCKET)_xxyyyy&amp;product_id=1277</v>
      </c>
      <c r="CE1203" s="1" t="str">
        <f ca="1">IFERROR(__xludf.DUMMYFUNCTION("""COMPUTED_VALUE"""),"Audiobook : ऋषि चिंतन के सान्निध्य में ०१ (पोकेट) : H_SJ_28_1 : spmittalmumbai@gmail.com : Recorded")</f>
        <v>Audiobook : ऋषि चिंतन के सान्निध्य में ०१ (पोकेट) : H_SJ_28_1 : spmittalmumbai@gmail.com : Recorded</v>
      </c>
      <c r="CF1203" s="1" t="str">
        <f ca="1">IFERROR(__xludf.DUMMYFUNCTION("""COMPUTED_VALUE"""),"Audiobook : ऋषि चिंतन के सान्निध्य में ०१ (पोकेट) : H_SJ_28_1 : spmittalmumbai@gmail.com : Recorded")</f>
        <v>Audiobook : ऋषि चिंतन के सान्निध्य में ०१ (पोकेट) : H_SJ_28_1 : spmittalmumbai@gmail.com : Recorded</v>
      </c>
      <c r="CG1203" s="1" t="str">
        <f ca="1">IFERROR(__xludf.DUMMYFUNCTION("""COMPUTED_VALUE"""),"Adarniya Satya prabha Mittal ji ऋषि चिंतन के सान्निध्य में ०१ (पोकेट) : H_SJ_28_1 : Allocated on 12-Jan-23 Contact Number  9860003407")</f>
        <v>Adarniya Satya prabha Mittal ji ऋषि चिंतन के सान्निध्य में ०१ (पोकेट) : H_SJ_28_1 : Allocated on 12-Jan-23 Contact Number  9860003407</v>
      </c>
      <c r="CH1203" s="1"/>
      <c r="CI1203" s="1"/>
    </row>
    <row r="1204" spans="1:87" x14ac:dyDescent="0.25">
      <c r="A1204" s="5">
        <f ca="1">IFERROR(__xludf.DUMMYFUNCTION("""COMPUTED_VALUE"""),44938.335697118)</f>
        <v>44938.335697117996</v>
      </c>
      <c r="B1204" s="1" t="str">
        <f ca="1">IFERROR(__xludf.DUMMYFUNCTION("""COMPUTED_VALUE"""),"samidhachhr@gmail.com")</f>
        <v>samidhachhr@gmail.com</v>
      </c>
      <c r="C1204" s="1" t="str">
        <f ca="1">IFERROR(__xludf.DUMMYFUNCTION("""COMPUTED_VALUE"""),"Samidha Kendurkar")</f>
        <v>Samidha Kendurkar</v>
      </c>
      <c r="D1204" s="1" t="str">
        <f ca="1">IFERROR(__xludf.DUMMYFUNCTION("""COMPUTED_VALUE"""),"+919977227429")</f>
        <v>+919977227429</v>
      </c>
      <c r="E1204" s="1" t="str">
        <f ca="1">IFERROR(__xludf.DUMMYFUNCTION("""COMPUTED_VALUE"""),"Yes")</f>
        <v>Yes</v>
      </c>
      <c r="F1204" s="1" t="str">
        <f ca="1">IFERROR(__xludf.DUMMYFUNCTION("""COMPUTED_VALUE"""),"हिन्दी")</f>
        <v>हिन्दी</v>
      </c>
      <c r="G1204" s="1" t="str">
        <f ca="1">IFERROR(__xludf.DUMMYFUNCTION("""COMPUTED_VALUE"""),"जीवन प्रबंध")</f>
        <v>जीवन प्रबंध</v>
      </c>
      <c r="H1204" s="1"/>
      <c r="I1204" s="1"/>
      <c r="J1204" s="1"/>
      <c r="K1204" s="1"/>
      <c r="L1204" s="1" t="str">
        <f ca="1">IFERROR(__xludf.DUMMYFUNCTION("""COMPUTED_VALUE"""),"सफल, संतुष्ट एवं सुखी जीवन")</f>
        <v>सफल, संतुष्ट एवं सुखी जीवन</v>
      </c>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f ca="1">IFERROR(__xludf.DUMMYFUNCTION("""COMPUTED_VALUE"""),7)</f>
        <v>7</v>
      </c>
      <c r="BX1204" s="1">
        <f ca="1">IFERROR(__xludf.DUMMYFUNCTION("""COMPUTED_VALUE"""),6)</f>
        <v>6</v>
      </c>
      <c r="BY1204" s="1">
        <f ca="1">IFERROR(__xludf.DUMMYFUNCTION("""COMPUTED_VALUE"""),4)</f>
        <v>4</v>
      </c>
      <c r="BZ1204" s="1">
        <f ca="1">IFERROR(__xludf.DUMMYFUNCTION("""COMPUTED_VALUE"""),3)</f>
        <v>3</v>
      </c>
      <c r="CA1204" s="1" t="str">
        <f ca="1">IFERROR(__xludf.DUMMYFUNCTION("""COMPUTED_VALUE"""),"Yes")</f>
        <v>Yes</v>
      </c>
      <c r="CB1204" s="5">
        <f ca="1">IFERROR(__xludf.DUMMYFUNCTION("""COMPUTED_VALUE"""),44948.335697118)</f>
        <v>44948.335697117996</v>
      </c>
      <c r="CC1204" s="1" t="str">
        <f ca="1">IFERROR(__xludf.DUMMYFUNCTION("""COMPUTED_VALUE"""),"जीवन को उत्कृष्ट बनाओ : Rare Book")</f>
        <v>जीवन को उत्कृष्ट बनाओ : Rare Book</v>
      </c>
      <c r="CD1204" s="3" t="str">
        <f ca="1">IFERROR(__xludf.DUMMYFUNCTION("""COMPUTED_VALUE"""),"https://vicharkrantibooks.org/productdetail?book_name=HINP0390_JIVAN_KO_UTKRUSHT_BANAO_xxyyyy&amp;product_id=955")</f>
        <v>https://vicharkrantibooks.org/productdetail?book_name=HINP0390_JIVAN_KO_UTKRUSHT_BANAO_xxyyyy&amp;product_id=955</v>
      </c>
      <c r="CE1204" s="1" t="str">
        <f ca="1">IFERROR(__xludf.DUMMYFUNCTION("""COMPUTED_VALUE"""),"Audiobook : जीवन को उत्कृष्ट बनाओ : Rare Book : samidhachhr@gmail.com : Recorded")</f>
        <v>Audiobook : जीवन को उत्कृष्ट बनाओ : Rare Book : samidhachhr@gmail.com : Recorded</v>
      </c>
      <c r="CF1204" s="1" t="str">
        <f ca="1">IFERROR(__xludf.DUMMYFUNCTION("""COMPUTED_VALUE"""),"#N/A")</f>
        <v>#N/A</v>
      </c>
      <c r="CG1204" s="1" t="str">
        <f ca="1">IFERROR(__xludf.DUMMYFUNCTION("""COMPUTED_VALUE"""),"Adarniya Samidha Kendurkar ji जीवन को उत्कृष्ट बनाओ : Rare Book : Allocated on 12-Jan-23 Contact Number  +919977227429")</f>
        <v>Adarniya Samidha Kendurkar ji जीवन को उत्कृष्ट बनाओ : Rare Book : Allocated on 12-Jan-23 Contact Number  +919977227429</v>
      </c>
      <c r="CH1204" s="1"/>
      <c r="CI1204" s="1"/>
    </row>
    <row r="1205" spans="1:87" x14ac:dyDescent="0.25">
      <c r="A1205" s="5">
        <f ca="1">IFERROR(__xludf.DUMMYFUNCTION("""COMPUTED_VALUE"""),44937.8158820601)</f>
        <v>44937.815882060102</v>
      </c>
      <c r="B1205" s="1" t="str">
        <f ca="1">IFERROR(__xludf.DUMMYFUNCTION("""COMPUTED_VALUE"""),"csprasad108@gmail.com")</f>
        <v>csprasad108@gmail.com</v>
      </c>
      <c r="C1205" s="1" t="str">
        <f ca="1">IFERROR(__xludf.DUMMYFUNCTION("""COMPUTED_VALUE"""),"Kumkum prasad")</f>
        <v>Kumkum prasad</v>
      </c>
      <c r="D1205" s="1">
        <f ca="1">IFERROR(__xludf.DUMMYFUNCTION("""COMPUTED_VALUE"""),7978055621)</f>
        <v>7978055621</v>
      </c>
      <c r="E1205" s="1" t="str">
        <f ca="1">IFERROR(__xludf.DUMMYFUNCTION("""COMPUTED_VALUE"""),"Yes")</f>
        <v>Yes</v>
      </c>
      <c r="F1205" s="1" t="str">
        <f ca="1">IFERROR(__xludf.DUMMYFUNCTION("""COMPUTED_VALUE"""),"हिन्दी")</f>
        <v>हिन्दी</v>
      </c>
      <c r="G1205" s="1" t="str">
        <f ca="1">IFERROR(__xludf.DUMMYFUNCTION("""COMPUTED_VALUE"""),"जीवन प्रबंध")</f>
        <v>जीवन प्रबंध</v>
      </c>
      <c r="H1205" s="1"/>
      <c r="I1205" s="1"/>
      <c r="J1205" s="1"/>
      <c r="K1205" s="1"/>
      <c r="L1205" s="1" t="str">
        <f ca="1">IFERROR(__xludf.DUMMYFUNCTION("""COMPUTED_VALUE"""),"मानव जीवन की गरिमा")</f>
        <v>मानव जीवन की गरिमा</v>
      </c>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f ca="1">IFERROR(__xludf.DUMMYFUNCTION("""COMPUTED_VALUE"""),52)</f>
        <v>52</v>
      </c>
      <c r="BX1205" s="1">
        <f ca="1">IFERROR(__xludf.DUMMYFUNCTION("""COMPUTED_VALUE"""),54)</f>
        <v>54</v>
      </c>
      <c r="BY1205" s="1">
        <f ca="1">IFERROR(__xludf.DUMMYFUNCTION("""COMPUTED_VALUE"""),3)</f>
        <v>3</v>
      </c>
      <c r="BZ1205" s="1">
        <f ca="1">IFERROR(__xludf.DUMMYFUNCTION("""COMPUTED_VALUE"""),24)</f>
        <v>24</v>
      </c>
      <c r="CA1205" s="1" t="str">
        <f ca="1">IFERROR(__xludf.DUMMYFUNCTION("""COMPUTED_VALUE"""),"Yes")</f>
        <v>Yes</v>
      </c>
      <c r="CB1205" s="5">
        <f ca="1">IFERROR(__xludf.DUMMYFUNCTION("""COMPUTED_VALUE"""),44947.8158820601)</f>
        <v>44947.815882060102</v>
      </c>
      <c r="CC1205" s="1" t="str">
        <f ca="1">IFERROR(__xludf.DUMMYFUNCTION("""COMPUTED_VALUE"""),"चिंतन के क्षण : H_SJ_65")</f>
        <v>चिंतन के क्षण : H_SJ_65</v>
      </c>
      <c r="CD1205" s="3" t="str">
        <f ca="1">IFERROR(__xludf.DUMMYFUNCTION("""COMPUTED_VALUE"""),"https://vicharkrantibooks.org/productdetail?book_name=HINP0196_CHINTAN_KE_KSHAN_Re2012&amp;product_id=761")</f>
        <v>https://vicharkrantibooks.org/productdetail?book_name=HINP0196_CHINTAN_KE_KSHAN_Re2012&amp;product_id=761</v>
      </c>
      <c r="CE1205" s="1" t="str">
        <f ca="1">IFERROR(__xludf.DUMMYFUNCTION("""COMPUTED_VALUE"""),"Audiobook : चिंतन के क्षण : H_SJ_65 : csprasad108@gmail.com : Recorded")</f>
        <v>Audiobook : चिंतन के क्षण : H_SJ_65 : csprasad108@gmail.com : Recorded</v>
      </c>
      <c r="CF1205" s="1" t="str">
        <f ca="1">IFERROR(__xludf.DUMMYFUNCTION("""COMPUTED_VALUE"""),"Audiobook : चिंतन के क्षण : H_SJ_65 : csprasad108@gmail.com : Recorded")</f>
        <v>Audiobook : चिंतन के क्षण : H_SJ_65 : csprasad108@gmail.com : Recorded</v>
      </c>
      <c r="CG1205" s="1" t="str">
        <f ca="1">IFERROR(__xludf.DUMMYFUNCTION("""COMPUTED_VALUE"""),"Adarniya Kumkum prasad ji चिंतन के क्षण : H_SJ_65 : Allocated on 11-Jan-23 Contact Number  7978055621")</f>
        <v>Adarniya Kumkum prasad ji चिंतन के क्षण : H_SJ_65 : Allocated on 11-Jan-23 Contact Number  7978055621</v>
      </c>
      <c r="CH1205" s="1"/>
      <c r="CI1205" s="1"/>
    </row>
    <row r="1206" spans="1:87" x14ac:dyDescent="0.25">
      <c r="A1206" s="5">
        <f ca="1">IFERROR(__xludf.DUMMYFUNCTION("""COMPUTED_VALUE"""),44937.6772865277)</f>
        <v>44937.677286527702</v>
      </c>
      <c r="B1206" s="1" t="str">
        <f ca="1">IFERROR(__xludf.DUMMYFUNCTION("""COMPUTED_VALUE"""),"Rohitsharm.saxena7@gmail.com")</f>
        <v>Rohitsharm.saxena7@gmail.com</v>
      </c>
      <c r="C1206" s="1" t="str">
        <f ca="1">IFERROR(__xludf.DUMMYFUNCTION("""COMPUTED_VALUE""")," Rashmi sharma")</f>
        <v xml:space="preserve"> Rashmi sharma</v>
      </c>
      <c r="D1206" s="1">
        <f ca="1">IFERROR(__xludf.DUMMYFUNCTION("""COMPUTED_VALUE"""),9589582161)</f>
        <v>9589582161</v>
      </c>
      <c r="E1206" s="1" t="str">
        <f ca="1">IFERROR(__xludf.DUMMYFUNCTION("""COMPUTED_VALUE"""),"Yes")</f>
        <v>Yes</v>
      </c>
      <c r="F1206" s="1" t="str">
        <f ca="1">IFERROR(__xludf.DUMMYFUNCTION("""COMPUTED_VALUE"""),"हिन्दी")</f>
        <v>हिन्दी</v>
      </c>
      <c r="G1206" s="1" t="str">
        <f ca="1">IFERROR(__xludf.DUMMYFUNCTION("""COMPUTED_VALUE"""),"परिवार निर्माण")</f>
        <v>परिवार निर्माण</v>
      </c>
      <c r="H1206" s="1"/>
      <c r="I1206" s="1"/>
      <c r="J1206" s="1"/>
      <c r="K1206" s="1"/>
      <c r="L1206" s="1"/>
      <c r="M1206" s="1" t="str">
        <f ca="1">IFERROR(__xludf.DUMMYFUNCTION("""COMPUTED_VALUE"""),"बाल मनोविज्ञान")</f>
        <v>बाल मनोविज्ञान</v>
      </c>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f ca="1">IFERROR(__xludf.DUMMYFUNCTION("""COMPUTED_VALUE"""),1)</f>
        <v>1</v>
      </c>
      <c r="BX1206" s="1">
        <f ca="1">IFERROR(__xludf.DUMMYFUNCTION("""COMPUTED_VALUE"""),0)</f>
        <v>0</v>
      </c>
      <c r="BY1206" s="1">
        <f ca="1">IFERROR(__xludf.DUMMYFUNCTION("""COMPUTED_VALUE"""),1)</f>
        <v>1</v>
      </c>
      <c r="BZ1206" s="1">
        <f ca="1">IFERROR(__xludf.DUMMYFUNCTION("""COMPUTED_VALUE"""),0)</f>
        <v>0</v>
      </c>
      <c r="CA1206" s="1" t="str">
        <f ca="1">IFERROR(__xludf.DUMMYFUNCTION("""COMPUTED_VALUE"""),"Yes")</f>
        <v>Yes</v>
      </c>
      <c r="CB1206" s="5">
        <f ca="1">IFERROR(__xludf.DUMMYFUNCTION("""COMPUTED_VALUE"""),44947.6772865277)</f>
        <v>44947.677286527702</v>
      </c>
      <c r="CC1206" s="1" t="str">
        <f ca="1">IFERROR(__xludf.DUMMYFUNCTION("""COMPUTED_VALUE"""),"गृहस्थ रूपी तपोवन में नारी की भूमिका  : Rare Book")</f>
        <v>गृहस्थ रूपी तपोवन में नारी की भूमिका  : Rare Book</v>
      </c>
      <c r="CD1206" s="3" t="str">
        <f ca="1">IFERROR(__xludf.DUMMYFUNCTION("""COMPUTED_VALUE"""),"https://vicharkrantibooks.org/productdetail?book_name=HINP0313_GRUHASTH_RUPI_TAPOVAN_MEIN_NARI_KI_BHUMIKA_xx1982&amp;product_id=878")</f>
        <v>https://vicharkrantibooks.org/productdetail?book_name=HINP0313_GRUHASTH_RUPI_TAPOVAN_MEIN_NARI_KI_BHUMIKA_xx1982&amp;product_id=878</v>
      </c>
      <c r="CE1206" s="1" t="str">
        <f ca="1">IFERROR(__xludf.DUMMYFUNCTION("""COMPUTED_VALUE"""),"Audiobook : गृहस्थ रूपी तपोवन में नारी की भूमिका  : Rare Book : Rohitsharm.saxena7@gmail.com : Recorded")</f>
        <v>Audiobook : गृहस्थ रूपी तपोवन में नारी की भूमिका  : Rare Book : Rohitsharm.saxena7@gmail.com : Recorded</v>
      </c>
      <c r="CF1206" s="1" t="str">
        <f ca="1">IFERROR(__xludf.DUMMYFUNCTION("""COMPUTED_VALUE"""),"#N/A")</f>
        <v>#N/A</v>
      </c>
      <c r="CG1206" s="1" t="str">
        <f ca="1">IFERROR(__xludf.DUMMYFUNCTION("""COMPUTED_VALUE"""),"Adarniya  Rashmi sharma ji गृहस्थ रूपी तपोवन में नारी की भूमिका  : Rare Book : Allocated on 11-Jan-23 Contact Number  9589582161")</f>
        <v>Adarniya  Rashmi sharma ji गृहस्थ रूपी तपोवन में नारी की भूमिका  : Rare Book : Allocated on 11-Jan-23 Contact Number  9589582161</v>
      </c>
      <c r="CH1206" s="1"/>
      <c r="CI1206" s="1"/>
    </row>
    <row r="1207" spans="1:87" x14ac:dyDescent="0.25">
      <c r="A1207" s="5">
        <f ca="1">IFERROR(__xludf.DUMMYFUNCTION("""COMPUTED_VALUE"""),44937.4030694907)</f>
        <v>44937.403069490698</v>
      </c>
      <c r="B1207" s="1" t="str">
        <f ca="1">IFERROR(__xludf.DUMMYFUNCTION("""COMPUTED_VALUE"""),"anshu14.singh@yahoo.in")</f>
        <v>anshu14.singh@yahoo.in</v>
      </c>
      <c r="C1207" s="1" t="str">
        <f ca="1">IFERROR(__xludf.DUMMYFUNCTION("""COMPUTED_VALUE"""),"Anshu singh")</f>
        <v>Anshu singh</v>
      </c>
      <c r="D1207" s="1">
        <f ca="1">IFERROR(__xludf.DUMMYFUNCTION("""COMPUTED_VALUE"""),9977301575)</f>
        <v>9977301575</v>
      </c>
      <c r="E1207" s="1" t="str">
        <f ca="1">IFERROR(__xludf.DUMMYFUNCTION("""COMPUTED_VALUE"""),"Yes")</f>
        <v>Yes</v>
      </c>
      <c r="F1207" s="1" t="str">
        <f ca="1">IFERROR(__xludf.DUMMYFUNCTION("""COMPUTED_VALUE"""),"हिन्दी")</f>
        <v>हिन्दी</v>
      </c>
      <c r="G1207" s="1" t="str">
        <f ca="1">IFERROR(__xludf.DUMMYFUNCTION("""COMPUTED_VALUE"""),"अध्यात्म, धर्म एवं दर्शन")</f>
        <v>अध्यात्म, धर्म एवं दर्शन</v>
      </c>
      <c r="H1207" s="1" t="str">
        <f ca="1">IFERROR(__xludf.DUMMYFUNCTION("""COMPUTED_VALUE"""),"अध्यात्म, धर्म एवं आस्तिकता")</f>
        <v>अध्यात्म, धर्म एवं आस्तिकता</v>
      </c>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f ca="1">IFERROR(__xludf.DUMMYFUNCTION("""COMPUTED_VALUE"""),9)</f>
        <v>9</v>
      </c>
      <c r="BX1207" s="1">
        <f ca="1">IFERROR(__xludf.DUMMYFUNCTION("""COMPUTED_VALUE"""),5)</f>
        <v>5</v>
      </c>
      <c r="BY1207" s="1">
        <f ca="1">IFERROR(__xludf.DUMMYFUNCTION("""COMPUTED_VALUE"""),4)</f>
        <v>4</v>
      </c>
      <c r="BZ1207" s="1">
        <f ca="1">IFERROR(__xludf.DUMMYFUNCTION("""COMPUTED_VALUE"""),0)</f>
        <v>0</v>
      </c>
      <c r="CA1207" s="1" t="str">
        <f ca="1">IFERROR(__xludf.DUMMYFUNCTION("""COMPUTED_VALUE"""),"Yes")</f>
        <v>Yes</v>
      </c>
      <c r="CB1207" s="5">
        <f ca="1">IFERROR(__xludf.DUMMYFUNCTION("""COMPUTED_VALUE"""),44947.4030694907)</f>
        <v>44947.403069490698</v>
      </c>
      <c r="CC1207" s="1" t="str">
        <f ca="1">IFERROR(__xludf.DUMMYFUNCTION("""COMPUTED_VALUE"""),"आत्म शक्ति का अकूत भण्डार : Rare Book")</f>
        <v>आत्म शक्ति का अकूत भण्डार : Rare Book</v>
      </c>
      <c r="CD1207" s="3" t="str">
        <f ca="1">IFERROR(__xludf.DUMMYFUNCTION("""COMPUTED_VALUE"""),"https://vicharkrantibooks.org/productdetail?book_name=HINP0090_ATM_SHAKTI_KA_AKUT_BHANDAR_xxyyyy&amp;product_id=655")</f>
        <v>https://vicharkrantibooks.org/productdetail?book_name=HINP0090_ATM_SHAKTI_KA_AKUT_BHANDAR_xxyyyy&amp;product_id=655</v>
      </c>
      <c r="CE1207" s="1" t="str">
        <f ca="1">IFERROR(__xludf.DUMMYFUNCTION("""COMPUTED_VALUE"""),"Audiobook : आत्म शक्ति का अकूत भण्डार : Rare Book : anshu14.singh@yahoo.in : Recorded")</f>
        <v>Audiobook : आत्म शक्ति का अकूत भण्डार : Rare Book : anshu14.singh@yahoo.in : Recorded</v>
      </c>
      <c r="CF1207" s="1" t="str">
        <f ca="1">IFERROR(__xludf.DUMMYFUNCTION("""COMPUTED_VALUE"""),"Audiobook : आत्म शक्ति का अकूत भण्डार : Rare Book : anshu14.singh@yahoo.in : Recorded")</f>
        <v>Audiobook : आत्म शक्ति का अकूत भण्डार : Rare Book : anshu14.singh@yahoo.in : Recorded</v>
      </c>
      <c r="CG1207" s="1" t="str">
        <f ca="1">IFERROR(__xludf.DUMMYFUNCTION("""COMPUTED_VALUE"""),"Adarniya Anshu singh ji आत्म शक्ति का अकूत भण्डार : Rare Book : Allocated on 11-Jan-23 Contact Number  9977301575")</f>
        <v>Adarniya Anshu singh ji आत्म शक्ति का अकूत भण्डार : Rare Book : Allocated on 11-Jan-23 Contact Number  9977301575</v>
      </c>
      <c r="CH1207" s="1"/>
      <c r="CI1207" s="1"/>
    </row>
    <row r="1208" spans="1:87" x14ac:dyDescent="0.25">
      <c r="A1208" s="5">
        <f ca="1">IFERROR(__xludf.DUMMYFUNCTION("""COMPUTED_VALUE"""),44936.7966278935)</f>
        <v>44936.796627893498</v>
      </c>
      <c r="B1208" s="1" t="str">
        <f ca="1">IFERROR(__xludf.DUMMYFUNCTION("""COMPUTED_VALUE"""),"savita.dubey@gmail.com")</f>
        <v>savita.dubey@gmail.com</v>
      </c>
      <c r="C1208" s="1" t="str">
        <f ca="1">IFERROR(__xludf.DUMMYFUNCTION("""COMPUTED_VALUE"""),"Savita")</f>
        <v>Savita</v>
      </c>
      <c r="D1208" s="1">
        <f ca="1">IFERROR(__xludf.DUMMYFUNCTION("""COMPUTED_VALUE"""),4692640779)</f>
        <v>4692640779</v>
      </c>
      <c r="E1208" s="1" t="str">
        <f ca="1">IFERROR(__xludf.DUMMYFUNCTION("""COMPUTED_VALUE"""),"Yes")</f>
        <v>Yes</v>
      </c>
      <c r="F1208" s="1" t="str">
        <f ca="1">IFERROR(__xludf.DUMMYFUNCTION("""COMPUTED_VALUE"""),"हिन्दी or English")</f>
        <v>हिन्दी or English</v>
      </c>
      <c r="G1208" s="1" t="str">
        <f ca="1">IFERROR(__xludf.DUMMYFUNCTION("""COMPUTED_VALUE"""),"जीवन प्रबंध")</f>
        <v>जीवन प्रबंध</v>
      </c>
      <c r="H1208" s="1"/>
      <c r="I1208" s="1"/>
      <c r="J1208" s="1"/>
      <c r="K1208" s="1"/>
      <c r="L1208" s="1" t="str">
        <f ca="1">IFERROR(__xludf.DUMMYFUNCTION("""COMPUTED_VALUE"""),"सद्‌चिंतन, विचार एवं सूक्तियाँ")</f>
        <v>सद्‌चिंतन, विचार एवं सूक्तियाँ</v>
      </c>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f ca="1">IFERROR(__xludf.DUMMYFUNCTION("""COMPUTED_VALUE"""),9)</f>
        <v>9</v>
      </c>
      <c r="BX1208" s="1">
        <f ca="1">IFERROR(__xludf.DUMMYFUNCTION("""COMPUTED_VALUE"""),10)</f>
        <v>10</v>
      </c>
      <c r="BY1208" s="1">
        <f ca="1">IFERROR(__xludf.DUMMYFUNCTION("""COMPUTED_VALUE"""),3)</f>
        <v>3</v>
      </c>
      <c r="BZ1208" s="1">
        <f ca="1">IFERROR(__xludf.DUMMYFUNCTION("""COMPUTED_VALUE"""),9)</f>
        <v>9</v>
      </c>
      <c r="CA1208" s="1" t="str">
        <f ca="1">IFERROR(__xludf.DUMMYFUNCTION("""COMPUTED_VALUE"""),"Yes")</f>
        <v>Yes</v>
      </c>
      <c r="CB1208" s="5">
        <f ca="1">IFERROR(__xludf.DUMMYFUNCTION("""COMPUTED_VALUE"""),44946.7966278935)</f>
        <v>44946.796627893498</v>
      </c>
      <c r="CC1208" s="1" t="str">
        <f ca="1">IFERROR(__xludf.DUMMYFUNCTION("""COMPUTED_VALUE"""),"कुछ तो सोचें : H_PP_27")</f>
        <v>कुछ तो सोचें : H_PP_27</v>
      </c>
      <c r="CD1208" s="3" t="str">
        <f ca="1">IFERROR(__xludf.DUMMYFUNCTION("""COMPUTED_VALUE"""),"https://vicharkrantibooks.org/productdetail?book_name=HINP0447_KUCHH_TO_SOCHEN_xxyyyy&amp;product_id=1012")</f>
        <v>https://vicharkrantibooks.org/productdetail?book_name=HINP0447_KUCHH_TO_SOCHEN_xxyyyy&amp;product_id=1012</v>
      </c>
      <c r="CE1208" s="1" t="str">
        <f ca="1">IFERROR(__xludf.DUMMYFUNCTION("""COMPUTED_VALUE"""),"Audiobook : कुछ तो सोचें : H_PP_27 : savita.dubey@gmail.com : Recorded")</f>
        <v>Audiobook : कुछ तो सोचें : H_PP_27 : savita.dubey@gmail.com : Recorded</v>
      </c>
      <c r="CF1208" s="1" t="str">
        <f ca="1">IFERROR(__xludf.DUMMYFUNCTION("""COMPUTED_VALUE"""),"Audiobook : कुछ तो सोचें : H_PP_27 : savita.dubey@gmail.com : Recorded")</f>
        <v>Audiobook : कुछ तो सोचें : H_PP_27 : savita.dubey@gmail.com : Recorded</v>
      </c>
      <c r="CG1208" s="1" t="str">
        <f ca="1">IFERROR(__xludf.DUMMYFUNCTION("""COMPUTED_VALUE"""),"Adarniya Savita ji कुछ तो सोचें : H_PP_27 : Allocated on 10-Jan-23 Contact Number  4692640779")</f>
        <v>Adarniya Savita ji कुछ तो सोचें : H_PP_27 : Allocated on 10-Jan-23 Contact Number  4692640779</v>
      </c>
      <c r="CH1208" s="1"/>
      <c r="CI1208" s="1"/>
    </row>
    <row r="1209" spans="1:87" x14ac:dyDescent="0.25">
      <c r="A1209" s="5">
        <f ca="1">IFERROR(__xludf.DUMMYFUNCTION("""COMPUTED_VALUE"""),44936.2832916203)</f>
        <v>44936.283291620297</v>
      </c>
      <c r="B1209" s="1" t="str">
        <f ca="1">IFERROR(__xludf.DUMMYFUNCTION("""COMPUTED_VALUE"""),"druma4107@gmail.com")</f>
        <v>druma4107@gmail.com</v>
      </c>
      <c r="C1209" s="1" t="str">
        <f ca="1">IFERROR(__xludf.DUMMYFUNCTION("""COMPUTED_VALUE"""),"Dr Uma Agrawal ")</f>
        <v xml:space="preserve">Dr Uma Agrawal </v>
      </c>
      <c r="D1209" s="1">
        <f ca="1">IFERROR(__xludf.DUMMYFUNCTION("""COMPUTED_VALUE"""),9410861182)</f>
        <v>9410861182</v>
      </c>
      <c r="E1209" s="1" t="str">
        <f ca="1">IFERROR(__xludf.DUMMYFUNCTION("""COMPUTED_VALUE"""),"Yes")</f>
        <v>Yes</v>
      </c>
      <c r="F1209" s="1" t="str">
        <f ca="1">IFERROR(__xludf.DUMMYFUNCTION("""COMPUTED_VALUE"""),"हिन्दी")</f>
        <v>हिन्दी</v>
      </c>
      <c r="G1209" s="1" t="str">
        <f ca="1">IFERROR(__xludf.DUMMYFUNCTION("""COMPUTED_VALUE"""),"अध्यात्म, धर्म एवं दर्शन")</f>
        <v>अध्यात्म, धर्म एवं दर्शन</v>
      </c>
      <c r="H1209" s="1" t="str">
        <f ca="1">IFERROR(__xludf.DUMMYFUNCTION("""COMPUTED_VALUE"""),"अध्यात्म, धर्म एवं आस्तिकता")</f>
        <v>अध्यात्म, धर्म एवं आस्तिकता</v>
      </c>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f ca="1">IFERROR(__xludf.DUMMYFUNCTION("""COMPUTED_VALUE"""),104)</f>
        <v>104</v>
      </c>
      <c r="BX1209" s="1">
        <f ca="1">IFERROR(__xludf.DUMMYFUNCTION("""COMPUTED_VALUE"""),106)</f>
        <v>106</v>
      </c>
      <c r="BY1209" s="1">
        <f ca="1">IFERROR(__xludf.DUMMYFUNCTION("""COMPUTED_VALUE"""),9)</f>
        <v>9</v>
      </c>
      <c r="BZ1209" s="1">
        <f ca="1">IFERROR(__xludf.DUMMYFUNCTION("""COMPUTED_VALUE"""),43)</f>
        <v>43</v>
      </c>
      <c r="CA1209" s="1" t="str">
        <f ca="1">IFERROR(__xludf.DUMMYFUNCTION("""COMPUTED_VALUE"""),"Yes")</f>
        <v>Yes</v>
      </c>
      <c r="CB1209" s="5">
        <f ca="1">IFERROR(__xludf.DUMMYFUNCTION("""COMPUTED_VALUE"""),44946.2832916203)</f>
        <v>44946.283291620297</v>
      </c>
      <c r="CC1209" s="1" t="str">
        <f ca="1">IFERROR(__xludf.DUMMYFUNCTION("""COMPUTED_VALUE"""),"अवतार की आँधी फिजा बदल देती है : H_JS_94")</f>
        <v>अवतार की आँधी फिजा बदल देती है : H_JS_94</v>
      </c>
      <c r="CD1209" s="3" t="str">
        <f ca="1">IFERROR(__xludf.DUMMYFUNCTION("""COMPUTED_VALUE"""),"https://vicharkrantibooks.org/productdetail?book_name=HINP0117_AVATAR_KI_ANDHI_PHIJAN_BADAL_DETI_HAI_xx2011&amp;product_id=682")</f>
        <v>https://vicharkrantibooks.org/productdetail?book_name=HINP0117_AVATAR_KI_ANDHI_PHIJAN_BADAL_DETI_HAI_xx2011&amp;product_id=682</v>
      </c>
      <c r="CE1209" s="1" t="str">
        <f ca="1">IFERROR(__xludf.DUMMYFUNCTION("""COMPUTED_VALUE"""),"Audiobook : अवतार की आँधी फिजा बदल देती है : H_JS_94 : druma4107@gmail.com : Recorded")</f>
        <v>Audiobook : अवतार की आँधी फिजा बदल देती है : H_JS_94 : druma4107@gmail.com : Recorded</v>
      </c>
      <c r="CF1209" s="1" t="str">
        <f ca="1">IFERROR(__xludf.DUMMYFUNCTION("""COMPUTED_VALUE"""),"Audiobook : अवतार की आँधी फिजा बदल देती है : H_JS_94 : druma4107@gmail.com : Recorded")</f>
        <v>Audiobook : अवतार की आँधी फिजा बदल देती है : H_JS_94 : druma4107@gmail.com : Recorded</v>
      </c>
      <c r="CG1209" s="1" t="str">
        <f ca="1">IFERROR(__xludf.DUMMYFUNCTION("""COMPUTED_VALUE"""),"Adarniya Dr Uma Agrawal  ji अवतार की आँधी फिजा बदल देती है : H_JS_94 : Allocated on 10-Jan-23 Contact Number  9410861182")</f>
        <v>Adarniya Dr Uma Agrawal  ji अवतार की आँधी फिजा बदल देती है : H_JS_94 : Allocated on 10-Jan-23 Contact Number  9410861182</v>
      </c>
      <c r="CH1209" s="1"/>
      <c r="CI1209" s="1"/>
    </row>
    <row r="1210" spans="1:87" x14ac:dyDescent="0.25">
      <c r="A1210" s="5">
        <f ca="1">IFERROR(__xludf.DUMMYFUNCTION("""COMPUTED_VALUE"""),44935.9430417708)</f>
        <v>44935.943041770799</v>
      </c>
      <c r="B1210" s="1" t="str">
        <f ca="1">IFERROR(__xludf.DUMMYFUNCTION("""COMPUTED_VALUE"""),"r.madhurima28@gmail.com")</f>
        <v>r.madhurima28@gmail.com</v>
      </c>
      <c r="C1210" s="1" t="str">
        <f ca="1">IFERROR(__xludf.DUMMYFUNCTION("""COMPUTED_VALUE"""),"Madhurima Rachapalli")</f>
        <v>Madhurima Rachapalli</v>
      </c>
      <c r="D1210" s="1" t="str">
        <f ca="1">IFERROR(__xludf.DUMMYFUNCTION("""COMPUTED_VALUE"""),"+353892518968")</f>
        <v>+353892518968</v>
      </c>
      <c r="E1210" s="1" t="str">
        <f ca="1">IFERROR(__xludf.DUMMYFUNCTION("""COMPUTED_VALUE"""),"No")</f>
        <v>No</v>
      </c>
      <c r="F1210" s="1" t="str">
        <f ca="1">IFERROR(__xludf.DUMMYFUNCTION("""COMPUTED_VALUE"""),"हिन्दी or English")</f>
        <v>हिन्दी or English</v>
      </c>
      <c r="G1210" s="1" t="str">
        <f ca="1">IFERROR(__xludf.DUMMYFUNCTION("""COMPUTED_VALUE"""),"गायत्री परिवार")</f>
        <v>गायत्री परिवार</v>
      </c>
      <c r="H1210" s="1"/>
      <c r="I1210" s="1"/>
      <c r="J1210" s="1" t="str">
        <f ca="1">IFERROR(__xludf.DUMMYFUNCTION("""COMPUTED_VALUE"""),"प्रमुख संस्थान, प्रकाशन एवं आंदोलन")</f>
        <v>प्रमुख संस्थान, प्रकाशन एवं आंदोलन</v>
      </c>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f ca="1">IFERROR(__xludf.DUMMYFUNCTION("""COMPUTED_VALUE"""),1)</f>
        <v>1</v>
      </c>
      <c r="BX1210" s="1">
        <f ca="1">IFERROR(__xludf.DUMMYFUNCTION("""COMPUTED_VALUE"""),0)</f>
        <v>0</v>
      </c>
      <c r="BY1210" s="1">
        <f ca="1">IFERROR(__xludf.DUMMYFUNCTION("""COMPUTED_VALUE"""),1)</f>
        <v>1</v>
      </c>
      <c r="BZ1210" s="1">
        <f ca="1">IFERROR(__xludf.DUMMYFUNCTION("""COMPUTED_VALUE"""),0)</f>
        <v>0</v>
      </c>
      <c r="CA1210" s="1" t="str">
        <f ca="1">IFERROR(__xludf.DUMMYFUNCTION("""COMPUTED_VALUE"""),"Yes")</f>
        <v>Yes</v>
      </c>
      <c r="CB1210" s="5">
        <f ca="1">IFERROR(__xludf.DUMMYFUNCTION("""COMPUTED_VALUE"""),44945.9430417708)</f>
        <v>44945.943041770799</v>
      </c>
      <c r="CC1210" s="1" t="str">
        <f ca="1">IFERROR(__xludf.DUMMYFUNCTION("""COMPUTED_VALUE"""),"Health Wealth And Spirituality : EP_95")</f>
        <v>Health Wealth And Spirituality : EP_95</v>
      </c>
      <c r="CD1210" s="3" t="str">
        <f ca="1">IFERROR(__xludf.DUMMYFUNCTION("""COMPUTED_VALUE"""),"https://vicharkrantibooks.org/productdetail?book_name=ENGPE095_HEALTH_WEALTH_AND_SPIRITUALITY_xxyyyy&amp;product_id=3487")</f>
        <v>https://vicharkrantibooks.org/productdetail?book_name=ENGPE095_HEALTH_WEALTH_AND_SPIRITUALITY_xxyyyy&amp;product_id=3487</v>
      </c>
      <c r="CE1210" s="1" t="str">
        <f ca="1">IFERROR(__xludf.DUMMYFUNCTION("""COMPUTED_VALUE"""),"Audiobook : Health Wealth And Spirituality : EP_95 : r.madhurima28@gmail.com : Recorded")</f>
        <v>Audiobook : Health Wealth And Spirituality : EP_95 : r.madhurima28@gmail.com : Recorded</v>
      </c>
      <c r="CF1210" s="1" t="str">
        <f ca="1">IFERROR(__xludf.DUMMYFUNCTION("""COMPUTED_VALUE"""),"#N/A")</f>
        <v>#N/A</v>
      </c>
      <c r="CG1210" s="1" t="str">
        <f ca="1">IFERROR(__xludf.DUMMYFUNCTION("""COMPUTED_VALUE"""),"Adarniya Madhurima Rachapalli ji Health Wealth And Spirituality : EP_95 : Allocated on 09-Jan-23 Contact Number  +353892518968")</f>
        <v>Adarniya Madhurima Rachapalli ji Health Wealth And Spirituality : EP_95 : Allocated on 09-Jan-23 Contact Number  +353892518968</v>
      </c>
      <c r="CH1210" s="1"/>
      <c r="CI1210" s="1"/>
    </row>
    <row r="1211" spans="1:87" x14ac:dyDescent="0.25">
      <c r="A1211" s="5">
        <f ca="1">IFERROR(__xludf.DUMMYFUNCTION("""COMPUTED_VALUE"""),44935.9106982638)</f>
        <v>44935.910698263797</v>
      </c>
      <c r="B1211" s="1" t="str">
        <f ca="1">IFERROR(__xludf.DUMMYFUNCTION("""COMPUTED_VALUE"""),"rbbansalriya@gmail.com")</f>
        <v>rbbansalriya@gmail.com</v>
      </c>
      <c r="C1211" s="1" t="str">
        <f ca="1">IFERROR(__xludf.DUMMYFUNCTION("""COMPUTED_VALUE"""),"Riya Bansal ")</f>
        <v xml:space="preserve">Riya Bansal </v>
      </c>
      <c r="D1211" s="1" t="str">
        <f ca="1">IFERROR(__xludf.DUMMYFUNCTION("""COMPUTED_VALUE"""),"09176361023")</f>
        <v>09176361023</v>
      </c>
      <c r="E1211" s="1" t="str">
        <f ca="1">IFERROR(__xludf.DUMMYFUNCTION("""COMPUTED_VALUE"""),"Yes")</f>
        <v>Yes</v>
      </c>
      <c r="F1211" s="1" t="str">
        <f ca="1">IFERROR(__xludf.DUMMYFUNCTION("""COMPUTED_VALUE"""),"हिन्दी")</f>
        <v>हिन्दी</v>
      </c>
      <c r="G1211" s="1" t="str">
        <f ca="1">IFERROR(__xludf.DUMMYFUNCTION("""COMPUTED_VALUE"""),"अध्यात्म, धर्म एवं दर्शन")</f>
        <v>अध्यात्म, धर्म एवं दर्शन</v>
      </c>
      <c r="H1211" s="1" t="str">
        <f ca="1">IFERROR(__xludf.DUMMYFUNCTION("""COMPUTED_VALUE"""),"आत्मज्ञान एवं आत्मनिर्माण")</f>
        <v>आत्मज्ञान एवं आत्मनिर्माण</v>
      </c>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f ca="1">IFERROR(__xludf.DUMMYFUNCTION("""COMPUTED_VALUE"""),54)</f>
        <v>54</v>
      </c>
      <c r="BX1211" s="1">
        <f ca="1">IFERROR(__xludf.DUMMYFUNCTION("""COMPUTED_VALUE"""),55)</f>
        <v>55</v>
      </c>
      <c r="BY1211" s="1">
        <f ca="1">IFERROR(__xludf.DUMMYFUNCTION("""COMPUTED_VALUE"""),9)</f>
        <v>9</v>
      </c>
      <c r="BZ1211" s="1">
        <f ca="1">IFERROR(__xludf.DUMMYFUNCTION("""COMPUTED_VALUE"""),43)</f>
        <v>43</v>
      </c>
      <c r="CA1211" s="1" t="str">
        <f ca="1">IFERROR(__xludf.DUMMYFUNCTION("""COMPUTED_VALUE"""),"Yes")</f>
        <v>Yes</v>
      </c>
      <c r="CB1211" s="5">
        <f ca="1">IFERROR(__xludf.DUMMYFUNCTION("""COMPUTED_VALUE"""),44945.9106982638)</f>
        <v>44945.910698263797</v>
      </c>
      <c r="CC1211" s="1" t="str">
        <f ca="1">IFERROR(__xludf.DUMMYFUNCTION("""COMPUTED_VALUE"""),"अध्‍यात्‍मवादी भौतिकता अपनाएँ : Rare Book")</f>
        <v>अध्‍यात्‍मवादी भौतिकता अपनाएँ : Rare Book</v>
      </c>
      <c r="CD1211" s="3" t="str">
        <f ca="1">IFERROR(__xludf.DUMMYFUNCTION("""COMPUTED_VALUE"""),"https://vicharkrantibooks.org/productdetail?book_name=HINP0028_ADHYATMVADI_BHAUTIKATA_APANAE_xx1979&amp;product_id=593")</f>
        <v>https://vicharkrantibooks.org/productdetail?book_name=HINP0028_ADHYATMVADI_BHAUTIKATA_APANAE_xx1979&amp;product_id=593</v>
      </c>
      <c r="CE1211" s="1" t="str">
        <f ca="1">IFERROR(__xludf.DUMMYFUNCTION("""COMPUTED_VALUE"""),"Audiobook : अध्‍यात्‍मवादी भौतिकता अपनाएँ : Rare Book : rbbansalriya@gmail.com : Recorded")</f>
        <v>Audiobook : अध्‍यात्‍मवादी भौतिकता अपनाएँ : Rare Book : rbbansalriya@gmail.com : Recorded</v>
      </c>
      <c r="CF1211" s="1" t="str">
        <f ca="1">IFERROR(__xludf.DUMMYFUNCTION("""COMPUTED_VALUE"""),"#N/A")</f>
        <v>#N/A</v>
      </c>
      <c r="CG1211" s="1" t="str">
        <f ca="1">IFERROR(__xludf.DUMMYFUNCTION("""COMPUTED_VALUE"""),"Adarniya Riya Bansal  ji अध्‍यात्‍मवादी भौतिकता अपनाएँ : Rare Book : Allocated on 09-Jan-23 Contact Number  09176361023")</f>
        <v>Adarniya Riya Bansal  ji अध्‍यात्‍मवादी भौतिकता अपनाएँ : Rare Book : Allocated on 09-Jan-23 Contact Number  09176361023</v>
      </c>
      <c r="CH1211" s="1"/>
      <c r="CI1211" s="1"/>
    </row>
    <row r="1212" spans="1:87" x14ac:dyDescent="0.25">
      <c r="A1212" s="5">
        <f ca="1">IFERROR(__xludf.DUMMYFUNCTION("""COMPUTED_VALUE"""),44935.6855729861)</f>
        <v>44935.685572986098</v>
      </c>
      <c r="B1212" s="1" t="str">
        <f ca="1">IFERROR(__xludf.DUMMYFUNCTION("""COMPUTED_VALUE"""),"divyabhatnagar73@gmail.com")</f>
        <v>divyabhatnagar73@gmail.com</v>
      </c>
      <c r="C1212" s="1" t="str">
        <f ca="1">IFERROR(__xludf.DUMMYFUNCTION("""COMPUTED_VALUE"""),"Divya Bhatnagar")</f>
        <v>Divya Bhatnagar</v>
      </c>
      <c r="D1212" s="1" t="str">
        <f ca="1">IFERROR(__xludf.DUMMYFUNCTION("""COMPUTED_VALUE"""),"09672806579")</f>
        <v>09672806579</v>
      </c>
      <c r="E1212" s="1" t="str">
        <f ca="1">IFERROR(__xludf.DUMMYFUNCTION("""COMPUTED_VALUE"""),"Yes")</f>
        <v>Yes</v>
      </c>
      <c r="F1212" s="1" t="str">
        <f ca="1">IFERROR(__xludf.DUMMYFUNCTION("""COMPUTED_VALUE"""),"English")</f>
        <v>English</v>
      </c>
      <c r="G1212" s="1" t="str">
        <f ca="1">IFERROR(__xludf.DUMMYFUNCTION("""COMPUTED_VALUE"""),"English")</f>
        <v>English</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f ca="1">IFERROR(__xludf.DUMMYFUNCTION("""COMPUTED_VALUE"""),12)</f>
        <v>12</v>
      </c>
      <c r="BX1212" s="1">
        <f ca="1">IFERROR(__xludf.DUMMYFUNCTION("""COMPUTED_VALUE"""),6)</f>
        <v>6</v>
      </c>
      <c r="BY1212" s="1">
        <f ca="1">IFERROR(__xludf.DUMMYFUNCTION("""COMPUTED_VALUE"""),7)</f>
        <v>7</v>
      </c>
      <c r="BZ1212" s="1">
        <f ca="1">IFERROR(__xludf.DUMMYFUNCTION("""COMPUTED_VALUE"""),1)</f>
        <v>1</v>
      </c>
      <c r="CA1212" s="1" t="str">
        <f ca="1">IFERROR(__xludf.DUMMYFUNCTION("""COMPUTED_VALUE"""),"Yes")</f>
        <v>Yes</v>
      </c>
      <c r="CB1212" s="5">
        <f ca="1">IFERROR(__xludf.DUMMYFUNCTION("""COMPUTED_VALUE"""),44945.6855729861)</f>
        <v>44945.685572986098</v>
      </c>
      <c r="CC1212" s="1" t="str">
        <f ca="1">IFERROR(__xludf.DUMMYFUNCTION("""COMPUTED_VALUE"""),"In The Angelic Light Of Rishi Thoughts 2 : EP_70_2")</f>
        <v>In The Angelic Light Of Rishi Thoughts 2 : EP_70_2</v>
      </c>
      <c r="CD1212" s="3" t="str">
        <f ca="1">IFERROR(__xludf.DUMMYFUNCTION("""COMPUTED_VALUE"""),"https://vicharkrantibooks.org/productdetail?book_name=ENGP0713_IN_THE_ANGELIC_LIGHT_OF_RISHI_THOUGHTS_2_xxyyyy&amp;product_id=3461")</f>
        <v>https://vicharkrantibooks.org/productdetail?book_name=ENGP0713_IN_THE_ANGELIC_LIGHT_OF_RISHI_THOUGHTS_2_xxyyyy&amp;product_id=3461</v>
      </c>
      <c r="CE1212" s="1" t="str">
        <f ca="1">IFERROR(__xludf.DUMMYFUNCTION("""COMPUTED_VALUE"""),"Audiobook : In The Angelic Light Of Rishi Thoughts 2 : EP_70_2 : divyabhatnagar73@gmail.com : Recorded")</f>
        <v>Audiobook : In The Angelic Light Of Rishi Thoughts 2 : EP_70_2 : divyabhatnagar73@gmail.com : Recorded</v>
      </c>
      <c r="CF1212" s="1" t="str">
        <f ca="1">IFERROR(__xludf.DUMMYFUNCTION("""COMPUTED_VALUE"""),"#N/A")</f>
        <v>#N/A</v>
      </c>
      <c r="CG1212" s="1" t="str">
        <f ca="1">IFERROR(__xludf.DUMMYFUNCTION("""COMPUTED_VALUE"""),"Adarniya Divya Bhatnagar ji In The Angelic Light Of Rishi Thoughts 2 : EP_70_2 : Allocated on 09-Jan-23 Contact Number  09672806579")</f>
        <v>Adarniya Divya Bhatnagar ji In The Angelic Light Of Rishi Thoughts 2 : EP_70_2 : Allocated on 09-Jan-23 Contact Number  09672806579</v>
      </c>
      <c r="CH1212" s="1"/>
      <c r="CI1212" s="1"/>
    </row>
    <row r="1213" spans="1:87" x14ac:dyDescent="0.25">
      <c r="A1213" s="5">
        <f ca="1">IFERROR(__xludf.DUMMYFUNCTION("""COMPUTED_VALUE"""),44935.6410398263)</f>
        <v>44935.641039826303</v>
      </c>
      <c r="B1213" s="1" t="str">
        <f ca="1">IFERROR(__xludf.DUMMYFUNCTION("""COMPUTED_VALUE"""),"kusumlatarai24@gmail.com")</f>
        <v>kusumlatarai24@gmail.com</v>
      </c>
      <c r="C1213" s="1" t="str">
        <f ca="1">IFERROR(__xludf.DUMMYFUNCTION("""COMPUTED_VALUE"""),"Kusum Lata Rai")</f>
        <v>Kusum Lata Rai</v>
      </c>
      <c r="D1213" s="1">
        <f ca="1">IFERROR(__xludf.DUMMYFUNCTION("""COMPUTED_VALUE"""),9336508442)</f>
        <v>9336508442</v>
      </c>
      <c r="E1213" s="1" t="str">
        <f ca="1">IFERROR(__xludf.DUMMYFUNCTION("""COMPUTED_VALUE"""),"No")</f>
        <v>No</v>
      </c>
      <c r="F1213" s="1" t="str">
        <f ca="1">IFERROR(__xludf.DUMMYFUNCTION("""COMPUTED_VALUE"""),"हिन्दी")</f>
        <v>हिन्दी</v>
      </c>
      <c r="G1213" s="1" t="str">
        <f ca="1">IFERROR(__xludf.DUMMYFUNCTION("""COMPUTED_VALUE"""),"समाज निर्माण")</f>
        <v>समाज निर्माण</v>
      </c>
      <c r="H1213" s="1"/>
      <c r="I1213" s="1"/>
      <c r="J1213" s="1"/>
      <c r="K1213" s="1"/>
      <c r="L1213" s="1"/>
      <c r="M1213" s="1"/>
      <c r="N1213" s="1"/>
      <c r="O1213" s="1"/>
      <c r="P1213" s="1"/>
      <c r="Q1213" s="1"/>
      <c r="R1213" s="1"/>
      <c r="S1213" s="1"/>
      <c r="T1213" s="1"/>
      <c r="U1213" s="1"/>
      <c r="V1213" s="1" t="str">
        <f ca="1">IFERROR(__xludf.DUMMYFUNCTION("""COMPUTED_VALUE"""),"नारी सशक्तिकरण")</f>
        <v>नारी सशक्तिकरण</v>
      </c>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f ca="1">IFERROR(__xludf.DUMMYFUNCTION("""COMPUTED_VALUE"""),5)</f>
        <v>5</v>
      </c>
      <c r="BX1213" s="1">
        <f ca="1">IFERROR(__xludf.DUMMYFUNCTION("""COMPUTED_VALUE"""),1)</f>
        <v>1</v>
      </c>
      <c r="BY1213" s="1">
        <f ca="1">IFERROR(__xludf.DUMMYFUNCTION("""COMPUTED_VALUE"""),4)</f>
        <v>4</v>
      </c>
      <c r="BZ1213" s="1">
        <f ca="1">IFERROR(__xludf.DUMMYFUNCTION("""COMPUTED_VALUE"""),1)</f>
        <v>1</v>
      </c>
      <c r="CA1213" s="1" t="str">
        <f ca="1">IFERROR(__xludf.DUMMYFUNCTION("""COMPUTED_VALUE"""),"Yes")</f>
        <v>Yes</v>
      </c>
      <c r="CB1213" s="5">
        <f ca="1">IFERROR(__xludf.DUMMYFUNCTION("""COMPUTED_VALUE"""),44945.6410398263)</f>
        <v>44945.641039826303</v>
      </c>
      <c r="CC1213" s="1" t="str">
        <f ca="1">IFERROR(__xludf.DUMMYFUNCTION("""COMPUTED_VALUE"""),"अनीति एवं अनाचार मानवी पौरुष को एक चुनौती  : Rare Book")</f>
        <v>अनीति एवं अनाचार मानवी पौरुष को एक चुनौती  : Rare Book</v>
      </c>
      <c r="CD1213" s="3" t="str">
        <f ca="1">IFERROR(__xludf.DUMMYFUNCTION("""COMPUTED_VALUE"""),"https://vicharkrantibooks.org/productdetail?book_name=HINP0043_ANITI_EVAM_ANACHAR_MANAVI_PAURUS_KO_EK_CHUNAUTI_xx1981&amp;product_id=608")</f>
        <v>https://vicharkrantibooks.org/productdetail?book_name=HINP0043_ANITI_EVAM_ANACHAR_MANAVI_PAURUS_KO_EK_CHUNAUTI_xx1981&amp;product_id=608</v>
      </c>
      <c r="CE1213" s="1" t="str">
        <f ca="1">IFERROR(__xludf.DUMMYFUNCTION("""COMPUTED_VALUE"""),"Audiobook : अनीति एवं अनाचार मानवी पौरुष को एक चुनौती  : Rare Book : kusumlatarai24@gmail.com : Recorded")</f>
        <v>Audiobook : अनीति एवं अनाचार मानवी पौरुष को एक चुनौती  : Rare Book : kusumlatarai24@gmail.com : Recorded</v>
      </c>
      <c r="CF1213" s="1" t="str">
        <f ca="1">IFERROR(__xludf.DUMMYFUNCTION("""COMPUTED_VALUE"""),"#N/A")</f>
        <v>#N/A</v>
      </c>
      <c r="CG1213" s="1" t="str">
        <f ca="1">IFERROR(__xludf.DUMMYFUNCTION("""COMPUTED_VALUE"""),"Adarniya Kusum Lata Rai ji अनीति एवं अनाचार मानवी पौरुष को एक चुनौती  : Rare Book : Allocated on 09-Jan-23 Contact Number  9336508442")</f>
        <v>Adarniya Kusum Lata Rai ji अनीति एवं अनाचार मानवी पौरुष को एक चुनौती  : Rare Book : Allocated on 09-Jan-23 Contact Number  9336508442</v>
      </c>
      <c r="CH1213" s="1"/>
      <c r="CI1213" s="1"/>
    </row>
    <row r="1214" spans="1:87" x14ac:dyDescent="0.25">
      <c r="A1214" s="5">
        <f ca="1">IFERROR(__xludf.DUMMYFUNCTION("""COMPUTED_VALUE"""),44934.5113750925)</f>
        <v>44934.511375092501</v>
      </c>
      <c r="B1214" s="1" t="str">
        <f ca="1">IFERROR(__xludf.DUMMYFUNCTION("""COMPUTED_VALUE"""),"rtejasvi97@gmail.com")</f>
        <v>rtejasvi97@gmail.com</v>
      </c>
      <c r="C1214" s="1" t="str">
        <f ca="1">IFERROR(__xludf.DUMMYFUNCTION("""COMPUTED_VALUE"""),"RAVI RANJAN KUMAR")</f>
        <v>RAVI RANJAN KUMAR</v>
      </c>
      <c r="D1214" s="1" t="str">
        <f ca="1">IFERROR(__xludf.DUMMYFUNCTION("""COMPUTED_VALUE"""),"08809767960")</f>
        <v>08809767960</v>
      </c>
      <c r="E1214" s="1" t="str">
        <f ca="1">IFERROR(__xludf.DUMMYFUNCTION("""COMPUTED_VALUE"""),"Yes")</f>
        <v>Yes</v>
      </c>
      <c r="F1214" s="1" t="str">
        <f ca="1">IFERROR(__xludf.DUMMYFUNCTION("""COMPUTED_VALUE"""),"हिन्दी")</f>
        <v>हिन्दी</v>
      </c>
      <c r="G1214" s="1" t="str">
        <f ca="1">IFERROR(__xludf.DUMMYFUNCTION("""COMPUTED_VALUE"""),"गायत्री परिवार")</f>
        <v>गायत्री परिवार</v>
      </c>
      <c r="H1214" s="1"/>
      <c r="I1214" s="1"/>
      <c r="J1214" s="1" t="str">
        <f ca="1">IFERROR(__xludf.DUMMYFUNCTION("""COMPUTED_VALUE"""),"प्रमुख संस्थान, प्रकाशन एवं आंदोलन")</f>
        <v>प्रमुख संस्थान, प्रकाशन एवं आंदोलन</v>
      </c>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f ca="1">IFERROR(__xludf.DUMMYFUNCTION("""COMPUTED_VALUE"""),3)</f>
        <v>3</v>
      </c>
      <c r="BX1214" s="1">
        <f ca="1">IFERROR(__xludf.DUMMYFUNCTION("""COMPUTED_VALUE"""),3)</f>
        <v>3</v>
      </c>
      <c r="BY1214" s="1">
        <f ca="1">IFERROR(__xludf.DUMMYFUNCTION("""COMPUTED_VALUE"""),1)</f>
        <v>1</v>
      </c>
      <c r="BZ1214" s="1">
        <f ca="1">IFERROR(__xludf.DUMMYFUNCTION("""COMPUTED_VALUE"""),3)</f>
        <v>3</v>
      </c>
      <c r="CA1214" s="1" t="str">
        <f ca="1">IFERROR(__xludf.DUMMYFUNCTION("""COMPUTED_VALUE"""),"Yes")</f>
        <v>Yes</v>
      </c>
      <c r="CB1214" s="5">
        <f ca="1">IFERROR(__xludf.DUMMYFUNCTION("""COMPUTED_VALUE"""),44944.5113750925)</f>
        <v>44944.511375092501</v>
      </c>
      <c r="CC1214" s="1" t="str">
        <f ca="1">IFERROR(__xludf.DUMMYFUNCTION("""COMPUTED_VALUE"""),"कैद में न पड़े रहिये : Rare Book")</f>
        <v>कैद में न पड़े रहिये : Rare Book</v>
      </c>
      <c r="CD1214" s="3" t="str">
        <f ca="1">IFERROR(__xludf.DUMMYFUNCTION("""COMPUTED_VALUE"""),"https://vicharkrantibooks.org/productdetail?book_name=HINP0409_KAID_MEIN_NA_PADE_RAHIYE_xx1979&amp;product_id=974")</f>
        <v>https://vicharkrantibooks.org/productdetail?book_name=HINP0409_KAID_MEIN_NA_PADE_RAHIYE_xx1979&amp;product_id=974</v>
      </c>
      <c r="CE1214" s="1" t="str">
        <f ca="1">IFERROR(__xludf.DUMMYFUNCTION("""COMPUTED_VALUE"""),"Audiobook : कैद में न पड़े रहिये : Rare Book : rtejasvi97@gmail.com : Recorded")</f>
        <v>Audiobook : कैद में न पड़े रहिये : Rare Book : rtejasvi97@gmail.com : Recorded</v>
      </c>
      <c r="CF1214" s="1" t="str">
        <f ca="1">IFERROR(__xludf.DUMMYFUNCTION("""COMPUTED_VALUE"""),"Audiobook : कैद में न पड़े रहिये : Rare Book : rtejasvi97@gmail.com : Recorded")</f>
        <v>Audiobook : कैद में न पड़े रहिये : Rare Book : rtejasvi97@gmail.com : Recorded</v>
      </c>
      <c r="CG1214" s="1" t="str">
        <f ca="1">IFERROR(__xludf.DUMMYFUNCTION("""COMPUTED_VALUE"""),"Adarniya RAVI RANJAN KUMAR ji कैद में न पड़े रहिये : Rare Book : Allocated on 08-Jan-23 Contact Number  08809767960")</f>
        <v>Adarniya RAVI RANJAN KUMAR ji कैद में न पड़े रहिये : Rare Book : Allocated on 08-Jan-23 Contact Number  08809767960</v>
      </c>
      <c r="CH1214" s="1"/>
      <c r="CI1214" s="1"/>
    </row>
    <row r="1215" spans="1:87" x14ac:dyDescent="0.25">
      <c r="A1215" s="5">
        <f ca="1">IFERROR(__xludf.DUMMYFUNCTION("""COMPUTED_VALUE"""),44933.8080502546)</f>
        <v>44933.8080502546</v>
      </c>
      <c r="B1215" s="1" t="str">
        <f ca="1">IFERROR(__xludf.DUMMYFUNCTION("""COMPUTED_VALUE"""),"rashmi0363@gmail.com")</f>
        <v>rashmi0363@gmail.com</v>
      </c>
      <c r="C1215" s="1" t="str">
        <f ca="1">IFERROR(__xludf.DUMMYFUNCTION("""COMPUTED_VALUE"""),"Rashmi Sinha ")</f>
        <v xml:space="preserve">Rashmi Sinha </v>
      </c>
      <c r="D1215" s="1">
        <f ca="1">IFERROR(__xludf.DUMMYFUNCTION("""COMPUTED_VALUE"""),9212688575)</f>
        <v>9212688575</v>
      </c>
      <c r="E1215" s="1" t="str">
        <f ca="1">IFERROR(__xludf.DUMMYFUNCTION("""COMPUTED_VALUE"""),"No")</f>
        <v>No</v>
      </c>
      <c r="F1215" s="1" t="str">
        <f ca="1">IFERROR(__xludf.DUMMYFUNCTION("""COMPUTED_VALUE"""),"हिन्दी or English")</f>
        <v>हिन्दी or English</v>
      </c>
      <c r="G1215" s="1" t="str">
        <f ca="1">IFERROR(__xludf.DUMMYFUNCTION("""COMPUTED_VALUE"""),"वैज्ञानिक अध्यात्मवाद का प्रतिपादन")</f>
        <v>वैज्ञानिक अध्यात्मवाद का प्रतिपादन</v>
      </c>
      <c r="H1215" s="1"/>
      <c r="I1215" s="1"/>
      <c r="J1215" s="1"/>
      <c r="K1215" s="1"/>
      <c r="L1215" s="1"/>
      <c r="M1215" s="1"/>
      <c r="N1215" s="1"/>
      <c r="O1215" s="1"/>
      <c r="P1215" s="1"/>
      <c r="Q1215" s="1"/>
      <c r="R1215" s="1"/>
      <c r="S1215" s="1" t="str">
        <f ca="1">IFERROR(__xludf.DUMMYFUNCTION("""COMPUTED_VALUE"""),"वैज्ञानिक अध्यात्मवाद का प्रतिपादन")</f>
        <v>वैज्ञानिक अध्यात्मवाद का प्रतिपादन</v>
      </c>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f ca="1">IFERROR(__xludf.DUMMYFUNCTION("""COMPUTED_VALUE"""),8)</f>
        <v>8</v>
      </c>
      <c r="BX1215" s="1">
        <f ca="1">IFERROR(__xludf.DUMMYFUNCTION("""COMPUTED_VALUE"""),11)</f>
        <v>11</v>
      </c>
      <c r="BY1215" s="1">
        <f ca="1">IFERROR(__xludf.DUMMYFUNCTION("""COMPUTED_VALUE"""),1)</f>
        <v>1</v>
      </c>
      <c r="BZ1215" s="1">
        <f ca="1">IFERROR(__xludf.DUMMYFUNCTION("""COMPUTED_VALUE"""),5)</f>
        <v>5</v>
      </c>
      <c r="CA1215" s="1" t="str">
        <f ca="1">IFERROR(__xludf.DUMMYFUNCTION("""COMPUTED_VALUE"""),"Yes")</f>
        <v>Yes</v>
      </c>
      <c r="CB1215" s="5">
        <f ca="1">IFERROR(__xludf.DUMMYFUNCTION("""COMPUTED_VALUE"""),44943.8080502546)</f>
        <v>44943.8080502546</v>
      </c>
      <c r="CC1215" s="1" t="str">
        <f ca="1">IFERROR(__xludf.DUMMYFUNCTION("""COMPUTED_VALUE"""),"In The Angelic Light Of Rishi Thoughts 1 : EP_70_1")</f>
        <v>In The Angelic Light Of Rishi Thoughts 1 : EP_70_1</v>
      </c>
      <c r="CD1215" s="3" t="str">
        <f ca="1">IFERROR(__xludf.DUMMYFUNCTION("""COMPUTED_VALUE"""),"https://vicharkrantibooks.org/productdetail?book_name=ENGP0712_IN_THE_ANGELIC_LIGHT_OF_RISHI_THOUGHTS_1_xxyyyy&amp;product_id=3460")</f>
        <v>https://vicharkrantibooks.org/productdetail?book_name=ENGP0712_IN_THE_ANGELIC_LIGHT_OF_RISHI_THOUGHTS_1_xxyyyy&amp;product_id=3460</v>
      </c>
      <c r="CE1215" s="1" t="str">
        <f ca="1">IFERROR(__xludf.DUMMYFUNCTION("""COMPUTED_VALUE"""),"Audiobook : In The Angelic Light Of Rishi Thoughts 1 : EP_70_1 : rashmi0363@gmail.com : Recorded")</f>
        <v>Audiobook : In The Angelic Light Of Rishi Thoughts 1 : EP_70_1 : rashmi0363@gmail.com : Recorded</v>
      </c>
      <c r="CF1215" s="1" t="str">
        <f ca="1">IFERROR(__xludf.DUMMYFUNCTION("""COMPUTED_VALUE"""),"Audiobook : In The Angelic Light Of Rishi Thoughts 1 : EP_70_1 : rashmi0363@gmail.com : Recorded")</f>
        <v>Audiobook : In The Angelic Light Of Rishi Thoughts 1 : EP_70_1 : rashmi0363@gmail.com : Recorded</v>
      </c>
      <c r="CG1215" s="1" t="str">
        <f ca="1">IFERROR(__xludf.DUMMYFUNCTION("""COMPUTED_VALUE"""),"Adarniya Rashmi Sinha  ji In The Angelic Light Of Rishi Thoughts 1 : EP_70_1 : Allocated on 07-Jan-23 Contact Number  9212688575")</f>
        <v>Adarniya Rashmi Sinha  ji In The Angelic Light Of Rishi Thoughts 1 : EP_70_1 : Allocated on 07-Jan-23 Contact Number  9212688575</v>
      </c>
      <c r="CH1215" s="1"/>
      <c r="CI1215" s="1"/>
    </row>
    <row r="1216" spans="1:87" x14ac:dyDescent="0.25">
      <c r="A1216" s="5">
        <f ca="1">IFERROR(__xludf.DUMMYFUNCTION("""COMPUTED_VALUE"""),44933.7161195023)</f>
        <v>44933.7161195023</v>
      </c>
      <c r="B1216" s="1" t="str">
        <f ca="1">IFERROR(__xludf.DUMMYFUNCTION("""COMPUTED_VALUE"""),"richasharma310575@gmail.com")</f>
        <v>richasharma310575@gmail.com</v>
      </c>
      <c r="C1216" s="1" t="str">
        <f ca="1">IFERROR(__xludf.DUMMYFUNCTION("""COMPUTED_VALUE"""),"Richa Sharma ")</f>
        <v xml:space="preserve">Richa Sharma </v>
      </c>
      <c r="D1216" s="1">
        <f ca="1">IFERROR(__xludf.DUMMYFUNCTION("""COMPUTED_VALUE"""),9479664049)</f>
        <v>9479664049</v>
      </c>
      <c r="E1216" s="1" t="str">
        <f ca="1">IFERROR(__xludf.DUMMYFUNCTION("""COMPUTED_VALUE"""),"Yes")</f>
        <v>Yes</v>
      </c>
      <c r="F1216" s="1" t="str">
        <f ca="1">IFERROR(__xludf.DUMMYFUNCTION("""COMPUTED_VALUE"""),"हिन्दी")</f>
        <v>हिन्दी</v>
      </c>
      <c r="G1216" s="1" t="str">
        <f ca="1">IFERROR(__xludf.DUMMYFUNCTION("""COMPUTED_VALUE"""),"भारतीय संस्कृति")</f>
        <v>भारतीय संस्कृति</v>
      </c>
      <c r="H1216" s="1"/>
      <c r="I1216" s="1"/>
      <c r="J1216" s="1"/>
      <c r="K1216" s="1"/>
      <c r="L1216" s="1"/>
      <c r="M1216" s="1"/>
      <c r="N1216" s="1"/>
      <c r="O1216" s="1" t="str">
        <f ca="1">IFERROR(__xludf.DUMMYFUNCTION("""COMPUTED_VALUE"""),"यज्ञ")</f>
        <v>यज्ञ</v>
      </c>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f ca="1">IFERROR(__xludf.DUMMYFUNCTION("""COMPUTED_VALUE"""),23)</f>
        <v>23</v>
      </c>
      <c r="BX1216" s="1">
        <f ca="1">IFERROR(__xludf.DUMMYFUNCTION("""COMPUTED_VALUE"""),28)</f>
        <v>28</v>
      </c>
      <c r="BY1216" s="1">
        <f ca="1">IFERROR(__xludf.DUMMYFUNCTION("""COMPUTED_VALUE"""),2)</f>
        <v>2</v>
      </c>
      <c r="BZ1216" s="1">
        <f ca="1">IFERROR(__xludf.DUMMYFUNCTION("""COMPUTED_VALUE"""),24)</f>
        <v>24</v>
      </c>
      <c r="CA1216" s="1" t="str">
        <f ca="1">IFERROR(__xludf.DUMMYFUNCTION("""COMPUTED_VALUE"""),"Yes")</f>
        <v>Yes</v>
      </c>
      <c r="CB1216" s="5">
        <f ca="1">IFERROR(__xludf.DUMMYFUNCTION("""COMPUTED_VALUE"""),44943.7161195023)</f>
        <v>44943.7161195023</v>
      </c>
      <c r="CC1216" s="1" t="str">
        <f ca="1">IFERROR(__xludf.DUMMYFUNCTION("""COMPUTED_VALUE"""),"ध्यान का दार्शनिक पक्ष : H_JS_24")</f>
        <v>ध्यान का दार्शनिक पक्ष : H_JS_24</v>
      </c>
      <c r="CD1216" s="3" t="str">
        <f ca="1">IFERROR(__xludf.DUMMYFUNCTION("""COMPUTED_VALUE"""),"https://vicharkrantibooks.org/productdetail?book_name=HINP0251_DHYAN_KA_DARSHANIK_PAKSH_xx2011&amp;product_id=816")</f>
        <v>https://vicharkrantibooks.org/productdetail?book_name=HINP0251_DHYAN_KA_DARSHANIK_PAKSH_xx2011&amp;product_id=816</v>
      </c>
      <c r="CE1216" s="1" t="str">
        <f ca="1">IFERROR(__xludf.DUMMYFUNCTION("""COMPUTED_VALUE"""),"Audiobook : ध्यान का दार्शनिक पक्ष : H_JS_24 : richasharma310575@gmail.com : Recorded")</f>
        <v>Audiobook : ध्यान का दार्शनिक पक्ष : H_JS_24 : richasharma310575@gmail.com : Recorded</v>
      </c>
      <c r="CF1216" s="1" t="str">
        <f ca="1">IFERROR(__xludf.DUMMYFUNCTION("""COMPUTED_VALUE"""),"Audiobook : ध्यान का दार्शनिक पक्ष : H_JS_24 : richasharma310575@gmail.com : Recorded")</f>
        <v>Audiobook : ध्यान का दार्शनिक पक्ष : H_JS_24 : richasharma310575@gmail.com : Recorded</v>
      </c>
      <c r="CG1216" s="1" t="str">
        <f ca="1">IFERROR(__xludf.DUMMYFUNCTION("""COMPUTED_VALUE"""),"Adarniya Richa Sharma  ji ध्यान का दार्शनिक पक्ष : H_JS_24 : Allocated on 07-Jan-23 Contact Number  9479664049")</f>
        <v>Adarniya Richa Sharma  ji ध्यान का दार्शनिक पक्ष : H_JS_24 : Allocated on 07-Jan-23 Contact Number  9479664049</v>
      </c>
      <c r="CH1216" s="1"/>
      <c r="CI1216" s="1"/>
    </row>
    <row r="1217" spans="1:87" x14ac:dyDescent="0.25">
      <c r="A1217" s="5">
        <f ca="1">IFERROR(__xludf.DUMMYFUNCTION("""COMPUTED_VALUE"""),44933.5741686805)</f>
        <v>44933.574168680498</v>
      </c>
      <c r="B1217" s="1" t="str">
        <f ca="1">IFERROR(__xludf.DUMMYFUNCTION("""COMPUTED_VALUE"""),"csprasad108@gmail.com")</f>
        <v>csprasad108@gmail.com</v>
      </c>
      <c r="C1217" s="1" t="str">
        <f ca="1">IFERROR(__xludf.DUMMYFUNCTION("""COMPUTED_VALUE"""),"Kumkum prasad")</f>
        <v>Kumkum prasad</v>
      </c>
      <c r="D1217" s="1">
        <f ca="1">IFERROR(__xludf.DUMMYFUNCTION("""COMPUTED_VALUE"""),7978055621)</f>
        <v>7978055621</v>
      </c>
      <c r="E1217" s="1" t="str">
        <f ca="1">IFERROR(__xludf.DUMMYFUNCTION("""COMPUTED_VALUE"""),"Yes")</f>
        <v>Yes</v>
      </c>
      <c r="F1217" s="1" t="str">
        <f ca="1">IFERROR(__xludf.DUMMYFUNCTION("""COMPUTED_VALUE"""),"हिन्दी")</f>
        <v>हिन्दी</v>
      </c>
      <c r="G1217" s="1" t="str">
        <f ca="1">IFERROR(__xludf.DUMMYFUNCTION("""COMPUTED_VALUE"""),"युग द्रष्टा पं. श्रीराम शर्मा आचार्यजी")</f>
        <v>युग द्रष्टा पं. श्रीराम शर्मा आचार्यजी</v>
      </c>
      <c r="H1217" s="1"/>
      <c r="I1217" s="1"/>
      <c r="J1217" s="1"/>
      <c r="K1217" s="1"/>
      <c r="L1217" s="1"/>
      <c r="M1217" s="1"/>
      <c r="N1217" s="1"/>
      <c r="O1217" s="1"/>
      <c r="P1217" s="1" t="str">
        <f ca="1">IFERROR(__xludf.DUMMYFUNCTION("""COMPUTED_VALUE"""),"युगॠषी का जीवनदर्शन")</f>
        <v>युगॠषी का जीवनदर्शन</v>
      </c>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f ca="1">IFERROR(__xludf.DUMMYFUNCTION("""COMPUTED_VALUE"""),52)</f>
        <v>52</v>
      </c>
      <c r="BX1217" s="1">
        <f ca="1">IFERROR(__xludf.DUMMYFUNCTION("""COMPUTED_VALUE"""),54)</f>
        <v>54</v>
      </c>
      <c r="BY1217" s="1">
        <f ca="1">IFERROR(__xludf.DUMMYFUNCTION("""COMPUTED_VALUE"""),3)</f>
        <v>3</v>
      </c>
      <c r="BZ1217" s="1">
        <f ca="1">IFERROR(__xludf.DUMMYFUNCTION("""COMPUTED_VALUE"""),24)</f>
        <v>24</v>
      </c>
      <c r="CA1217" s="1" t="str">
        <f ca="1">IFERROR(__xludf.DUMMYFUNCTION("""COMPUTED_VALUE"""),"Yes")</f>
        <v>Yes</v>
      </c>
      <c r="CB1217" s="5">
        <f ca="1">IFERROR(__xludf.DUMMYFUNCTION("""COMPUTED_VALUE"""),44943.5741686805)</f>
        <v>44943.574168680498</v>
      </c>
      <c r="CC1217" s="1" t="str">
        <f ca="1">IFERROR(__xludf.DUMMYFUNCTION("""COMPUTED_VALUE"""),"युग ऋषि : परिचय एवं चिंतन : Rare Book")</f>
        <v>युग ऋषि : परिचय एवं चिंतन : Rare Book</v>
      </c>
      <c r="CD1217" s="3" t="str">
        <f ca="1">IFERROR(__xludf.DUMMYFUNCTION("""COMPUTED_VALUE"""),"https://vicharkrantibooks.org/productdetail?book_name=HINP1062_YUG_RUSHI_PARICHAY_EVAM_CHINTAN_xxyyyy&amp;product_id=1627")</f>
        <v>https://vicharkrantibooks.org/productdetail?book_name=HINP1062_YUG_RUSHI_PARICHAY_EVAM_CHINTAN_xxyyyy&amp;product_id=1627</v>
      </c>
      <c r="CE1217" s="1" t="str">
        <f ca="1">IFERROR(__xludf.DUMMYFUNCTION("""COMPUTED_VALUE"""),"Audiobook : युग ऋषि : परिचय एवं चिंतन : Rare Book : csprasad108@gmail.com : Recorded")</f>
        <v>Audiobook : युग ऋषि : परिचय एवं चिंतन : Rare Book : csprasad108@gmail.com : Recorded</v>
      </c>
      <c r="CF1217" s="1" t="str">
        <f ca="1">IFERROR(__xludf.DUMMYFUNCTION("""COMPUTED_VALUE"""),"Audiobook : युग ऋषि : परिचय एवं चिंतन : Rare Book : csprasad108@gmail.com : Recorded")</f>
        <v>Audiobook : युग ऋषि : परिचय एवं चिंतन : Rare Book : csprasad108@gmail.com : Recorded</v>
      </c>
      <c r="CG1217" s="1" t="str">
        <f ca="1">IFERROR(__xludf.DUMMYFUNCTION("""COMPUTED_VALUE"""),"Adarniya Kumkum prasad ji युग ऋषि : परिचय एवं चिंतन : Rare Book : Allocated on 07-Jan-23 Contact Number  7978055621")</f>
        <v>Adarniya Kumkum prasad ji युग ऋषि : परिचय एवं चिंतन : Rare Book : Allocated on 07-Jan-23 Contact Number  7978055621</v>
      </c>
      <c r="CH1217" s="1"/>
      <c r="CI1217" s="1"/>
    </row>
    <row r="1218" spans="1:87" x14ac:dyDescent="0.25">
      <c r="A1218" s="5">
        <f ca="1">IFERROR(__xludf.DUMMYFUNCTION("""COMPUTED_VALUE"""),44932.7893328819)</f>
        <v>44932.789332881897</v>
      </c>
      <c r="B1218" s="1" t="str">
        <f ca="1">IFERROR(__xludf.DUMMYFUNCTION("""COMPUTED_VALUE"""),"rbbansalriya@gmail.com")</f>
        <v>rbbansalriya@gmail.com</v>
      </c>
      <c r="C1218" s="1" t="str">
        <f ca="1">IFERROR(__xludf.DUMMYFUNCTION("""COMPUTED_VALUE"""),"Riya Bansal")</f>
        <v>Riya Bansal</v>
      </c>
      <c r="D1218" s="1" t="str">
        <f ca="1">IFERROR(__xludf.DUMMYFUNCTION("""COMPUTED_VALUE"""),"09176361023")</f>
        <v>09176361023</v>
      </c>
      <c r="E1218" s="1" t="str">
        <f ca="1">IFERROR(__xludf.DUMMYFUNCTION("""COMPUTED_VALUE"""),"Yes")</f>
        <v>Yes</v>
      </c>
      <c r="F1218" s="1" t="str">
        <f ca="1">IFERROR(__xludf.DUMMYFUNCTION("""COMPUTED_VALUE"""),"हिन्दी")</f>
        <v>हिन्दी</v>
      </c>
      <c r="G1218" s="1" t="str">
        <f ca="1">IFERROR(__xludf.DUMMYFUNCTION("""COMPUTED_VALUE"""),"अध्यात्म, धर्म एवं दर्शन")</f>
        <v>अध्यात्म, धर्म एवं दर्शन</v>
      </c>
      <c r="H1218" s="1" t="str">
        <f ca="1">IFERROR(__xludf.DUMMYFUNCTION("""COMPUTED_VALUE"""),"अध्यात्म, धर्म एवं आस्तिकता")</f>
        <v>अध्यात्म, धर्म एवं आस्तिकता</v>
      </c>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f ca="1">IFERROR(__xludf.DUMMYFUNCTION("""COMPUTED_VALUE"""),54)</f>
        <v>54</v>
      </c>
      <c r="BX1218" s="1">
        <f ca="1">IFERROR(__xludf.DUMMYFUNCTION("""COMPUTED_VALUE"""),55)</f>
        <v>55</v>
      </c>
      <c r="BY1218" s="1">
        <f ca="1">IFERROR(__xludf.DUMMYFUNCTION("""COMPUTED_VALUE"""),9)</f>
        <v>9</v>
      </c>
      <c r="BZ1218" s="1">
        <f ca="1">IFERROR(__xludf.DUMMYFUNCTION("""COMPUTED_VALUE"""),43)</f>
        <v>43</v>
      </c>
      <c r="CA1218" s="1" t="str">
        <f ca="1">IFERROR(__xludf.DUMMYFUNCTION("""COMPUTED_VALUE"""),"Yes")</f>
        <v>Yes</v>
      </c>
      <c r="CB1218" s="5">
        <f ca="1">IFERROR(__xludf.DUMMYFUNCTION("""COMPUTED_VALUE"""),44942.7893328819)</f>
        <v>44942.789332881897</v>
      </c>
      <c r="CC1218" s="1" t="str">
        <f ca="1">IFERROR(__xludf.DUMMYFUNCTION("""COMPUTED_VALUE"""),"कर्म की उत्कृष्टता तत्परता और तन्मयता से : Rare Book")</f>
        <v>कर्म की उत्कृष्टता तत्परता और तन्मयता से : Rare Book</v>
      </c>
      <c r="CD1218" s="3" t="str">
        <f ca="1">IFERROR(__xludf.DUMMYFUNCTION("""COMPUTED_VALUE"""),"https://vicharkrantibooks.org/productdetail?book_name=HINP0422_KARM_KI_UTKRUSHTATA_TATPARATA_AUR_TANAMAYATA_SE_xx1982&amp;product_id=987")</f>
        <v>https://vicharkrantibooks.org/productdetail?book_name=HINP0422_KARM_KI_UTKRUSHTATA_TATPARATA_AUR_TANAMAYATA_SE_xx1982&amp;product_id=987</v>
      </c>
      <c r="CE1218" s="1" t="str">
        <f ca="1">IFERROR(__xludf.DUMMYFUNCTION("""COMPUTED_VALUE"""),"Audiobook : कर्म की उत्कृष्टता तत्परता और तन्मयता से : Rare Book : rbbansalriya@gmail.com : Recorded")</f>
        <v>Audiobook : कर्म की उत्कृष्टता तत्परता और तन्मयता से : Rare Book : rbbansalriya@gmail.com : Recorded</v>
      </c>
      <c r="CF1218" s="1" t="str">
        <f ca="1">IFERROR(__xludf.DUMMYFUNCTION("""COMPUTED_VALUE"""),"Audiobook : कर्म की उत्कृष्टता तत्परता और तन्मयता से : Rare Book : rbbansalriya@gmail.com : Recorded")</f>
        <v>Audiobook : कर्म की उत्कृष्टता तत्परता और तन्मयता से : Rare Book : rbbansalriya@gmail.com : Recorded</v>
      </c>
      <c r="CG1218" s="1" t="str">
        <f ca="1">IFERROR(__xludf.DUMMYFUNCTION("""COMPUTED_VALUE"""),"Adarniya Riya Bansal ji कर्म की उत्कृष्टता तत्परता और तन्मयता से : Rare Book : Allocated on 06-Jan-23 Contact Number  09176361023")</f>
        <v>Adarniya Riya Bansal ji कर्म की उत्कृष्टता तत्परता और तन्मयता से : Rare Book : Allocated on 06-Jan-23 Contact Number  09176361023</v>
      </c>
      <c r="CH1218" s="1"/>
      <c r="CI1218" s="1"/>
    </row>
    <row r="1219" spans="1:87" x14ac:dyDescent="0.25">
      <c r="A1219" s="5">
        <f ca="1">IFERROR(__xludf.DUMMYFUNCTION("""COMPUTED_VALUE"""),44931.9331506944)</f>
        <v>44931.9331506944</v>
      </c>
      <c r="B1219" s="1" t="str">
        <f ca="1">IFERROR(__xludf.DUMMYFUNCTION("""COMPUTED_VALUE"""),"shivendra7878@gmail.com")</f>
        <v>shivendra7878@gmail.com</v>
      </c>
      <c r="C1219" s="1" t="str">
        <f ca="1">IFERROR(__xludf.DUMMYFUNCTION("""COMPUTED_VALUE"""),"SHIVENDRA PRATAP SINGH")</f>
        <v>SHIVENDRA PRATAP SINGH</v>
      </c>
      <c r="D1219" s="1" t="str">
        <f ca="1">IFERROR(__xludf.DUMMYFUNCTION("""COMPUTED_VALUE"""),"+918411004497")</f>
        <v>+918411004497</v>
      </c>
      <c r="E1219" s="1" t="str">
        <f ca="1">IFERROR(__xludf.DUMMYFUNCTION("""COMPUTED_VALUE"""),"No")</f>
        <v>No</v>
      </c>
      <c r="F1219" s="1" t="str">
        <f ca="1">IFERROR(__xludf.DUMMYFUNCTION("""COMPUTED_VALUE"""),"हिन्दी")</f>
        <v>हिन्दी</v>
      </c>
      <c r="G1219" s="1" t="str">
        <f ca="1">IFERROR(__xludf.DUMMYFUNCTION("""COMPUTED_VALUE"""),"अध्यात्म, धर्म एवं दर्शन")</f>
        <v>अध्यात्म, धर्म एवं दर्शन</v>
      </c>
      <c r="H1219" s="1" t="str">
        <f ca="1">IFERROR(__xludf.DUMMYFUNCTION("""COMPUTED_VALUE"""),"आत्मज्ञान एवं आत्मनिर्माण")</f>
        <v>आत्मज्ञान एवं आत्मनिर्माण</v>
      </c>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f ca="1">IFERROR(__xludf.DUMMYFUNCTION("""COMPUTED_VALUE"""),1)</f>
        <v>1</v>
      </c>
      <c r="BX1219" s="1">
        <f ca="1">IFERROR(__xludf.DUMMYFUNCTION("""COMPUTED_VALUE"""),0)</f>
        <v>0</v>
      </c>
      <c r="BY1219" s="1">
        <f ca="1">IFERROR(__xludf.DUMMYFUNCTION("""COMPUTED_VALUE"""),1)</f>
        <v>1</v>
      </c>
      <c r="BZ1219" s="1">
        <f ca="1">IFERROR(__xludf.DUMMYFUNCTION("""COMPUTED_VALUE"""),0)</f>
        <v>0</v>
      </c>
      <c r="CA1219" s="1" t="str">
        <f ca="1">IFERROR(__xludf.DUMMYFUNCTION("""COMPUTED_VALUE"""),"Yes")</f>
        <v>Yes</v>
      </c>
      <c r="CB1219" s="5">
        <f ca="1">IFERROR(__xludf.DUMMYFUNCTION("""COMPUTED_VALUE"""),44941.9331506944)</f>
        <v>44941.9331506944</v>
      </c>
      <c r="CC1219" s="1" t="str">
        <f ca="1">IFERROR(__xludf.DUMMYFUNCTION("""COMPUTED_VALUE"""),"अध्‍यात्‍मवादी भौतिकता अपनाएँ : Rare Book")</f>
        <v>अध्‍यात्‍मवादी भौतिकता अपनाएँ : Rare Book</v>
      </c>
      <c r="CD1219" s="3" t="str">
        <f ca="1">IFERROR(__xludf.DUMMYFUNCTION("""COMPUTED_VALUE"""),"https://vicharkrantibooks.org/productdetail?book_name=HINP0028_ADHYATMVADI_BHAUTIKATA_APANAE_xx1979&amp;product_id=593")</f>
        <v>https://vicharkrantibooks.org/productdetail?book_name=HINP0028_ADHYATMVADI_BHAUTIKATA_APANAE_xx1979&amp;product_id=593</v>
      </c>
      <c r="CE1219" s="1" t="str">
        <f ca="1">IFERROR(__xludf.DUMMYFUNCTION("""COMPUTED_VALUE"""),"Audiobook : अध्‍यात्‍मवादी भौतिकता अपनाएँ : Rare Book : shivendra7878@gmail.com : Recorded")</f>
        <v>Audiobook : अध्‍यात्‍मवादी भौतिकता अपनाएँ : Rare Book : shivendra7878@gmail.com : Recorded</v>
      </c>
      <c r="CF1219" s="1" t="str">
        <f ca="1">IFERROR(__xludf.DUMMYFUNCTION("""COMPUTED_VALUE"""),"#N/A")</f>
        <v>#N/A</v>
      </c>
      <c r="CG1219" s="1" t="str">
        <f ca="1">IFERROR(__xludf.DUMMYFUNCTION("""COMPUTED_VALUE"""),"Adarniya SHIVENDRA PRATAP SINGH ji अध्‍यात्‍मवादी भौतिकता अपनाएँ : Rare Book : Allocated on 05-Jan-23 Contact Number  +918411004497")</f>
        <v>Adarniya SHIVENDRA PRATAP SINGH ji अध्‍यात्‍मवादी भौतिकता अपनाएँ : Rare Book : Allocated on 05-Jan-23 Contact Number  +918411004497</v>
      </c>
      <c r="CH1219" s="1"/>
      <c r="CI1219" s="1"/>
    </row>
    <row r="1220" spans="1:87" x14ac:dyDescent="0.25">
      <c r="A1220" s="5">
        <f ca="1">IFERROR(__xludf.DUMMYFUNCTION("""COMPUTED_VALUE"""),44931.1795944907)</f>
        <v>44931.179594490699</v>
      </c>
      <c r="B1220" s="1" t="str">
        <f ca="1">IFERROR(__xludf.DUMMYFUNCTION("""COMPUTED_VALUE"""),"sanjayneha1@yahoo.com")</f>
        <v>sanjayneha1@yahoo.com</v>
      </c>
      <c r="C1220" s="1" t="str">
        <f ca="1">IFERROR(__xludf.DUMMYFUNCTION("""COMPUTED_VALUE"""),"Neha Manocha")</f>
        <v>Neha Manocha</v>
      </c>
      <c r="D1220" s="1">
        <f ca="1">IFERROR(__xludf.DUMMYFUNCTION("""COMPUTED_VALUE"""),16174130446)</f>
        <v>16174130446</v>
      </c>
      <c r="E1220" s="1" t="str">
        <f ca="1">IFERROR(__xludf.DUMMYFUNCTION("""COMPUTED_VALUE"""),"Yes")</f>
        <v>Yes</v>
      </c>
      <c r="F1220" s="1" t="str">
        <f ca="1">IFERROR(__xludf.DUMMYFUNCTION("""COMPUTED_VALUE"""),"हिन्दी or English")</f>
        <v>हिन्दी or English</v>
      </c>
      <c r="G1220" s="1" t="str">
        <f ca="1">IFERROR(__xludf.DUMMYFUNCTION("""COMPUTED_VALUE"""),"युग द्रष्टा पं. श्रीराम शर्मा आचार्यजी")</f>
        <v>युग द्रष्टा पं. श्रीराम शर्मा आचार्यजी</v>
      </c>
      <c r="H1220" s="1"/>
      <c r="I1220" s="1"/>
      <c r="J1220" s="1"/>
      <c r="K1220" s="1"/>
      <c r="L1220" s="1"/>
      <c r="M1220" s="1"/>
      <c r="N1220" s="1"/>
      <c r="O1220" s="1"/>
      <c r="P1220" s="1" t="str">
        <f ca="1">IFERROR(__xludf.DUMMYFUNCTION("""COMPUTED_VALUE"""),"युगॠषी का जीवनदर्शन")</f>
        <v>युगॠषी का जीवनदर्शन</v>
      </c>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f ca="1">IFERROR(__xludf.DUMMYFUNCTION("""COMPUTED_VALUE"""),33)</f>
        <v>33</v>
      </c>
      <c r="BX1220" s="1">
        <f ca="1">IFERROR(__xludf.DUMMYFUNCTION("""COMPUTED_VALUE"""),40)</f>
        <v>40</v>
      </c>
      <c r="BY1220" s="1">
        <f ca="1">IFERROR(__xludf.DUMMYFUNCTION("""COMPUTED_VALUE"""),3)</f>
        <v>3</v>
      </c>
      <c r="BZ1220" s="1">
        <f ca="1">IFERROR(__xludf.DUMMYFUNCTION("""COMPUTED_VALUE"""),22)</f>
        <v>22</v>
      </c>
      <c r="CA1220" s="1" t="str">
        <f ca="1">IFERROR(__xludf.DUMMYFUNCTION("""COMPUTED_VALUE"""),"Yes")</f>
        <v>Yes</v>
      </c>
      <c r="CB1220" s="5">
        <f ca="1">IFERROR(__xludf.DUMMYFUNCTION("""COMPUTED_VALUE"""),44941.1795944907)</f>
        <v>44941.179594490699</v>
      </c>
      <c r="CC1220" s="1" t="str">
        <f ca="1">IFERROR(__xludf.DUMMYFUNCTION("""COMPUTED_VALUE"""),"Health Wealth And Spirituality : EP_95")</f>
        <v>Health Wealth And Spirituality : EP_95</v>
      </c>
      <c r="CD1220" s="3" t="str">
        <f ca="1">IFERROR(__xludf.DUMMYFUNCTION("""COMPUTED_VALUE"""),"https://vicharkrantibooks.org/productdetail?book_name=ENGPE095_HEALTH_WEALTH_AND_SPIRITUALITY_xxyyyy&amp;product_id=3487")</f>
        <v>https://vicharkrantibooks.org/productdetail?book_name=ENGPE095_HEALTH_WEALTH_AND_SPIRITUALITY_xxyyyy&amp;product_id=3487</v>
      </c>
      <c r="CE1220" s="1" t="str">
        <f ca="1">IFERROR(__xludf.DUMMYFUNCTION("""COMPUTED_VALUE"""),"Audiobook : Health Wealth And Spirituality : EP_95 : sanjayneha1@yahoo.com : Recorded")</f>
        <v>Audiobook : Health Wealth And Spirituality : EP_95 : sanjayneha1@yahoo.com : Recorded</v>
      </c>
      <c r="CF1220" s="1" t="str">
        <f ca="1">IFERROR(__xludf.DUMMYFUNCTION("""COMPUTED_VALUE"""),"Audiobook : Health Wealth And Spirituality : EP_95 : sanjayneha1@yahoo.com : Recorded")</f>
        <v>Audiobook : Health Wealth And Spirituality : EP_95 : sanjayneha1@yahoo.com : Recorded</v>
      </c>
      <c r="CG1220" s="1" t="str">
        <f ca="1">IFERROR(__xludf.DUMMYFUNCTION("""COMPUTED_VALUE"""),"Adarniya Neha Manocha ji Health Wealth And Spirituality : EP_95 : Allocated on 05-Jan-23 Contact Number  16174130446")</f>
        <v>Adarniya Neha Manocha ji Health Wealth And Spirituality : EP_95 : Allocated on 05-Jan-23 Contact Number  16174130446</v>
      </c>
      <c r="CH1220" s="1"/>
      <c r="CI1220" s="1"/>
    </row>
    <row r="1221" spans="1:87" x14ac:dyDescent="0.25">
      <c r="A1221" s="5">
        <f ca="1">IFERROR(__xludf.DUMMYFUNCTION("""COMPUTED_VALUE"""),44930.3791946412)</f>
        <v>44930.379194641202</v>
      </c>
      <c r="B1221" s="1" t="str">
        <f ca="1">IFERROR(__xludf.DUMMYFUNCTION("""COMPUTED_VALUE"""),"rtejasvi97@gmail.com")</f>
        <v>rtejasvi97@gmail.com</v>
      </c>
      <c r="C1221" s="1" t="str">
        <f ca="1">IFERROR(__xludf.DUMMYFUNCTION("""COMPUTED_VALUE"""),"RAVI RANJAN KUMAR")</f>
        <v>RAVI RANJAN KUMAR</v>
      </c>
      <c r="D1221" s="1" t="str">
        <f ca="1">IFERROR(__xludf.DUMMYFUNCTION("""COMPUTED_VALUE"""),"08809767960")</f>
        <v>08809767960</v>
      </c>
      <c r="E1221" s="1" t="str">
        <f ca="1">IFERROR(__xludf.DUMMYFUNCTION("""COMPUTED_VALUE"""),"Yes")</f>
        <v>Yes</v>
      </c>
      <c r="F1221" s="1" t="str">
        <f ca="1">IFERROR(__xludf.DUMMYFUNCTION("""COMPUTED_VALUE"""),"हिन्दी")</f>
        <v>हिन्दी</v>
      </c>
      <c r="G1221" s="1" t="str">
        <f ca="1">IFERROR(__xludf.DUMMYFUNCTION("""COMPUTED_VALUE"""),"अध्यात्म, धर्म एवं दर्शन")</f>
        <v>अध्यात्म, धर्म एवं दर्शन</v>
      </c>
      <c r="H1221" s="1" t="str">
        <f ca="1">IFERROR(__xludf.DUMMYFUNCTION("""COMPUTED_VALUE"""),"आत्मज्ञान एवं आत्मनिर्माण")</f>
        <v>आत्मज्ञान एवं आत्मनिर्माण</v>
      </c>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f ca="1">IFERROR(__xludf.DUMMYFUNCTION("""COMPUTED_VALUE"""),3)</f>
        <v>3</v>
      </c>
      <c r="BX1221" s="1">
        <f ca="1">IFERROR(__xludf.DUMMYFUNCTION("""COMPUTED_VALUE"""),3)</f>
        <v>3</v>
      </c>
      <c r="BY1221" s="1">
        <f ca="1">IFERROR(__xludf.DUMMYFUNCTION("""COMPUTED_VALUE"""),1)</f>
        <v>1</v>
      </c>
      <c r="BZ1221" s="1">
        <f ca="1">IFERROR(__xludf.DUMMYFUNCTION("""COMPUTED_VALUE"""),3)</f>
        <v>3</v>
      </c>
      <c r="CA1221" s="1" t="str">
        <f ca="1">IFERROR(__xludf.DUMMYFUNCTION("""COMPUTED_VALUE"""),"Yes")</f>
        <v>Yes</v>
      </c>
      <c r="CB1221" s="5">
        <f ca="1">IFERROR(__xludf.DUMMYFUNCTION("""COMPUTED_VALUE"""),44940.3791946412)</f>
        <v>44940.379194641202</v>
      </c>
      <c r="CC1221" s="1" t="str">
        <f ca="1">IFERROR(__xludf.DUMMYFUNCTION("""COMPUTED_VALUE"""),"अन्त: की सदाशयता चुकने न पाये : Rare Book")</f>
        <v>अन्त: की सदाशयता चुकने न पाये : Rare Book</v>
      </c>
      <c r="CD1221" s="3" t="str">
        <f ca="1">IFERROR(__xludf.DUMMYFUNCTION("""COMPUTED_VALUE"""),"https://vicharkrantibooks.org/productdetail?book_name=HINP0047_ANTAH_KI_SADASAYATA_CHUKANE_NA_PAYE_xx1981&amp;product_id=612")</f>
        <v>https://vicharkrantibooks.org/productdetail?book_name=HINP0047_ANTAH_KI_SADASAYATA_CHUKANE_NA_PAYE_xx1981&amp;product_id=612</v>
      </c>
      <c r="CE1221" s="1" t="str">
        <f ca="1">IFERROR(__xludf.DUMMYFUNCTION("""COMPUTED_VALUE"""),"Audiobook : अन्त: की सदाशयता चुकने न पाये : Rare Book : rtejasvi97@gmail.com : Recorded")</f>
        <v>Audiobook : अन्त: की सदाशयता चुकने न पाये : Rare Book : rtejasvi97@gmail.com : Recorded</v>
      </c>
      <c r="CF1221" s="1" t="str">
        <f ca="1">IFERROR(__xludf.DUMMYFUNCTION("""COMPUTED_VALUE"""),"Audiobook : अन्त: की सदाशयता चुकने न पाये : Rare Book : rtejasvi97@gmail.com : Recorded")</f>
        <v>Audiobook : अन्त: की सदाशयता चुकने न पाये : Rare Book : rtejasvi97@gmail.com : Recorded</v>
      </c>
      <c r="CG1221" s="1" t="str">
        <f ca="1">IFERROR(__xludf.DUMMYFUNCTION("""COMPUTED_VALUE"""),"Adarniya RAVI RANJAN KUMAR ji अन्त: की सदाशयता चुकने न पाये : Rare Book : Allocated on 04-Jan-23 Contact Number  08809767960")</f>
        <v>Adarniya RAVI RANJAN KUMAR ji अन्त: की सदाशयता चुकने न पाये : Rare Book : Allocated on 04-Jan-23 Contact Number  08809767960</v>
      </c>
      <c r="CH1221" s="1"/>
      <c r="CI1221" s="1"/>
    </row>
    <row r="1222" spans="1:87" x14ac:dyDescent="0.25">
      <c r="A1222" s="5">
        <f ca="1">IFERROR(__xludf.DUMMYFUNCTION("""COMPUTED_VALUE"""),44930.3751648958)</f>
        <v>44930.375164895799</v>
      </c>
      <c r="B1222" s="1" t="str">
        <f ca="1">IFERROR(__xludf.DUMMYFUNCTION("""COMPUTED_VALUE"""),"jamunashukla17@gmail.com")</f>
        <v>jamunashukla17@gmail.com</v>
      </c>
      <c r="C1222" s="1" t="str">
        <f ca="1">IFERROR(__xludf.DUMMYFUNCTION("""COMPUTED_VALUE"""),"jamuna shukla")</f>
        <v>jamuna shukla</v>
      </c>
      <c r="D1222" s="1" t="str">
        <f ca="1">IFERROR(__xludf.DUMMYFUNCTION("""COMPUTED_VALUE"""),"+918390353167")</f>
        <v>+918390353167</v>
      </c>
      <c r="E1222" s="1" t="str">
        <f ca="1">IFERROR(__xludf.DUMMYFUNCTION("""COMPUTED_VALUE"""),"Yes")</f>
        <v>Yes</v>
      </c>
      <c r="F1222" s="1" t="str">
        <f ca="1">IFERROR(__xludf.DUMMYFUNCTION("""COMPUTED_VALUE"""),"हिन्दी")</f>
        <v>हिन्दी</v>
      </c>
      <c r="G1222" s="1" t="str">
        <f ca="1">IFERROR(__xludf.DUMMYFUNCTION("""COMPUTED_VALUE"""),"अध्यात्म, धर्म एवं दर्शन")</f>
        <v>अध्यात्म, धर्म एवं दर्शन</v>
      </c>
      <c r="H1222" s="1" t="str">
        <f ca="1">IFERROR(__xludf.DUMMYFUNCTION("""COMPUTED_VALUE"""),"अध्यात्म, धर्म एवं आस्तिकता")</f>
        <v>अध्यात्म, धर्म एवं आस्तिकता</v>
      </c>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f ca="1">IFERROR(__xludf.DUMMYFUNCTION("""COMPUTED_VALUE"""),53)</f>
        <v>53</v>
      </c>
      <c r="BX1222" s="1">
        <f ca="1">IFERROR(__xludf.DUMMYFUNCTION("""COMPUTED_VALUE"""),53)</f>
        <v>53</v>
      </c>
      <c r="BY1222" s="1">
        <f ca="1">IFERROR(__xludf.DUMMYFUNCTION("""COMPUTED_VALUE"""),9)</f>
        <v>9</v>
      </c>
      <c r="BZ1222" s="1">
        <f ca="1">IFERROR(__xludf.DUMMYFUNCTION("""COMPUTED_VALUE"""),25)</f>
        <v>25</v>
      </c>
      <c r="CA1222" s="1" t="str">
        <f ca="1">IFERROR(__xludf.DUMMYFUNCTION("""COMPUTED_VALUE"""),"Yes")</f>
        <v>Yes</v>
      </c>
      <c r="CB1222" s="5">
        <f ca="1">IFERROR(__xludf.DUMMYFUNCTION("""COMPUTED_VALUE"""),44940.3751648958)</f>
        <v>44940.375164895799</v>
      </c>
      <c r="CC1222" s="1" t="str">
        <f ca="1">IFERROR(__xludf.DUMMYFUNCTION("""COMPUTED_VALUE"""),"अध्यात्म को जीवंत बनाएँ : H_JS_47")</f>
        <v>अध्यात्म को जीवंत बनाएँ : H_JS_47</v>
      </c>
      <c r="CD1222" s="3" t="str">
        <f ca="1">IFERROR(__xludf.DUMMYFUNCTION("""COMPUTED_VALUE"""),"https://vicharkrantibooks.org/productdetail?book_name=HINP0018_ADHYATM_KO_JIVANT_BANAEN_xx2011&amp;product_id=583")</f>
        <v>https://vicharkrantibooks.org/productdetail?book_name=HINP0018_ADHYATM_KO_JIVANT_BANAEN_xx2011&amp;product_id=583</v>
      </c>
      <c r="CE1222" s="1" t="str">
        <f ca="1">IFERROR(__xludf.DUMMYFUNCTION("""COMPUTED_VALUE"""),"Audiobook : अध्यात्म को जीवंत बनाएँ : H_JS_47 : jamunashukla17@gmail.com : Recorded")</f>
        <v>Audiobook : अध्यात्म को जीवंत बनाएँ : H_JS_47 : jamunashukla17@gmail.com : Recorded</v>
      </c>
      <c r="CF1222" s="1" t="str">
        <f ca="1">IFERROR(__xludf.DUMMYFUNCTION("""COMPUTED_VALUE"""),"Audiobook : अध्यात्म को जीवंत बनाएँ : H_JS_47 : jamunashukla17@gmail.com : Recorded")</f>
        <v>Audiobook : अध्यात्म को जीवंत बनाएँ : H_JS_47 : jamunashukla17@gmail.com : Recorded</v>
      </c>
      <c r="CG1222" s="1" t="str">
        <f ca="1">IFERROR(__xludf.DUMMYFUNCTION("""COMPUTED_VALUE"""),"Adarniya jamuna shukla ji अध्यात्म को जीवंत बनाएँ : H_JS_47 : Allocated on 04-Jan-23 Contact Number  +918390353167")</f>
        <v>Adarniya jamuna shukla ji अध्यात्म को जीवंत बनाएँ : H_JS_47 : Allocated on 04-Jan-23 Contact Number  +918390353167</v>
      </c>
      <c r="CH1222" s="1"/>
      <c r="CI1222" s="1"/>
    </row>
    <row r="1223" spans="1:87" x14ac:dyDescent="0.25">
      <c r="A1223" s="5">
        <f ca="1">IFERROR(__xludf.DUMMYFUNCTION("""COMPUTED_VALUE"""),44929.4740651736)</f>
        <v>44929.474065173599</v>
      </c>
      <c r="B1223" s="1" t="str">
        <f ca="1">IFERROR(__xludf.DUMMYFUNCTION("""COMPUTED_VALUE"""),"nainamistry177@gmail.com")</f>
        <v>nainamistry177@gmail.com</v>
      </c>
      <c r="C1223" s="1" t="str">
        <f ca="1">IFERROR(__xludf.DUMMYFUNCTION("""COMPUTED_VALUE"""),"Naina Mistry")</f>
        <v>Naina Mistry</v>
      </c>
      <c r="D1223" s="1" t="str">
        <f ca="1">IFERROR(__xludf.DUMMYFUNCTION("""COMPUTED_VALUE"""),"+447786896129")</f>
        <v>+447786896129</v>
      </c>
      <c r="E1223" s="1" t="str">
        <f ca="1">IFERROR(__xludf.DUMMYFUNCTION("""COMPUTED_VALUE"""),"Yes")</f>
        <v>Yes</v>
      </c>
      <c r="F1223" s="1" t="str">
        <f ca="1">IFERROR(__xludf.DUMMYFUNCTION("""COMPUTED_VALUE"""),"English")</f>
        <v>English</v>
      </c>
      <c r="G1223" s="1" t="str">
        <f ca="1">IFERROR(__xludf.DUMMYFUNCTION("""COMPUTED_VALUE"""),"English")</f>
        <v>English</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f ca="1">IFERROR(__xludf.DUMMYFUNCTION("""COMPUTED_VALUE"""),4)</f>
        <v>4</v>
      </c>
      <c r="BX1223" s="1">
        <f ca="1">IFERROR(__xludf.DUMMYFUNCTION("""COMPUTED_VALUE"""),1)</f>
        <v>1</v>
      </c>
      <c r="BY1223" s="1">
        <f ca="1">IFERROR(__xludf.DUMMYFUNCTION("""COMPUTED_VALUE"""),2)</f>
        <v>2</v>
      </c>
      <c r="BZ1223" s="1">
        <f ca="1">IFERROR(__xludf.DUMMYFUNCTION("""COMPUTED_VALUE"""),1)</f>
        <v>1</v>
      </c>
      <c r="CA1223" s="1" t="str">
        <f ca="1">IFERROR(__xludf.DUMMYFUNCTION("""COMPUTED_VALUE"""),"Yes")</f>
        <v>Yes</v>
      </c>
      <c r="CB1223" s="5">
        <f ca="1">IFERROR(__xludf.DUMMYFUNCTION("""COMPUTED_VALUE"""),44939.4740651736)</f>
        <v>44939.474065173599</v>
      </c>
      <c r="CC1223" s="1" t="str">
        <f ca="1">IFERROR(__xludf.DUMMYFUNCTION("""COMPUTED_VALUE"""),"Gayatri Chalisa : EP_23")</f>
        <v>Gayatri Chalisa : EP_23</v>
      </c>
      <c r="CD1223" s="3" t="str">
        <f ca="1">IFERROR(__xludf.DUMMYFUNCTION("""COMPUTED_VALUE"""),"https://vicharkrantibooks.org/productdetail?book_name=ENGP0279_GAYATRI_CHALISA_xxyyyy&amp;product_id=3416")</f>
        <v>https://vicharkrantibooks.org/productdetail?book_name=ENGP0279_GAYATRI_CHALISA_xxyyyy&amp;product_id=3416</v>
      </c>
      <c r="CE1223" s="1" t="str">
        <f ca="1">IFERROR(__xludf.DUMMYFUNCTION("""COMPUTED_VALUE"""),"Audiobook : Gayatri Chalisa : EP_23 : nainamistry177@gmail.com : Recorded")</f>
        <v>Audiobook : Gayatri Chalisa : EP_23 : nainamistry177@gmail.com : Recorded</v>
      </c>
      <c r="CF1223" s="1" t="str">
        <f ca="1">IFERROR(__xludf.DUMMYFUNCTION("""COMPUTED_VALUE"""),"#N/A")</f>
        <v>#N/A</v>
      </c>
      <c r="CG1223" s="1" t="str">
        <f ca="1">IFERROR(__xludf.DUMMYFUNCTION("""COMPUTED_VALUE"""),"Adarniya Naina Mistry ji Gayatri Chalisa : EP_23 : Allocated on 03-Jan-23 Contact Number  +447786896129")</f>
        <v>Adarniya Naina Mistry ji Gayatri Chalisa : EP_23 : Allocated on 03-Jan-23 Contact Number  +447786896129</v>
      </c>
      <c r="CH1223" s="1"/>
      <c r="CI1223" s="1"/>
    </row>
    <row r="1224" spans="1:87" x14ac:dyDescent="0.25">
      <c r="A1224" s="5">
        <f ca="1">IFERROR(__xludf.DUMMYFUNCTION("""COMPUTED_VALUE"""),44929.3988670023)</f>
        <v>44929.398867002303</v>
      </c>
      <c r="B1224" s="1" t="str">
        <f ca="1">IFERROR(__xludf.DUMMYFUNCTION("""COMPUTED_VALUE"""),"druma4107@gmail.com")</f>
        <v>druma4107@gmail.com</v>
      </c>
      <c r="C1224" s="1" t="str">
        <f ca="1">IFERROR(__xludf.DUMMYFUNCTION("""COMPUTED_VALUE"""),"Dr Uma Agrawal")</f>
        <v>Dr Uma Agrawal</v>
      </c>
      <c r="D1224" s="1">
        <f ca="1">IFERROR(__xludf.DUMMYFUNCTION("""COMPUTED_VALUE"""),9410861182)</f>
        <v>9410861182</v>
      </c>
      <c r="E1224" s="1" t="str">
        <f ca="1">IFERROR(__xludf.DUMMYFUNCTION("""COMPUTED_VALUE"""),"Yes")</f>
        <v>Yes</v>
      </c>
      <c r="F1224" s="1" t="str">
        <f ca="1">IFERROR(__xludf.DUMMYFUNCTION("""COMPUTED_VALUE"""),"हिन्दी")</f>
        <v>हिन्दी</v>
      </c>
      <c r="G1224" s="1" t="str">
        <f ca="1">IFERROR(__xludf.DUMMYFUNCTION("""COMPUTED_VALUE"""),"अध्यात्म, धर्म एवं दर्शन")</f>
        <v>अध्यात्म, धर्म एवं दर्शन</v>
      </c>
      <c r="H1224" s="1" t="str">
        <f ca="1">IFERROR(__xludf.DUMMYFUNCTION("""COMPUTED_VALUE"""),"अध्यात्म, धर्म एवं आस्तिकता")</f>
        <v>अध्यात्म, धर्म एवं आस्तिकता</v>
      </c>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f ca="1">IFERROR(__xludf.DUMMYFUNCTION("""COMPUTED_VALUE"""),104)</f>
        <v>104</v>
      </c>
      <c r="BX1224" s="1">
        <f ca="1">IFERROR(__xludf.DUMMYFUNCTION("""COMPUTED_VALUE"""),106)</f>
        <v>106</v>
      </c>
      <c r="BY1224" s="1">
        <f ca="1">IFERROR(__xludf.DUMMYFUNCTION("""COMPUTED_VALUE"""),9)</f>
        <v>9</v>
      </c>
      <c r="BZ1224" s="1">
        <f ca="1">IFERROR(__xludf.DUMMYFUNCTION("""COMPUTED_VALUE"""),43)</f>
        <v>43</v>
      </c>
      <c r="CA1224" s="1" t="str">
        <f ca="1">IFERROR(__xludf.DUMMYFUNCTION("""COMPUTED_VALUE"""),"Yes")</f>
        <v>Yes</v>
      </c>
      <c r="CB1224" s="5">
        <f ca="1">IFERROR(__xludf.DUMMYFUNCTION("""COMPUTED_VALUE"""),44939.3988670023)</f>
        <v>44939.398867002303</v>
      </c>
      <c r="CC1224" s="1" t="str">
        <f ca="1">IFERROR(__xludf.DUMMYFUNCTION("""COMPUTED_VALUE"""),"आत्मोत्कर्ष का आधार ज्ञान : H_VS_58")</f>
        <v>आत्मोत्कर्ष का आधार ज्ञान : H_VS_58</v>
      </c>
      <c r="CD1224" s="1" t="str">
        <f ca="1">IFERROR(__xludf.DUMMYFUNCTION("""COMPUTED_VALUE"""),"#N/A")</f>
        <v>#N/A</v>
      </c>
      <c r="CE1224" s="1" t="str">
        <f ca="1">IFERROR(__xludf.DUMMYFUNCTION("""COMPUTED_VALUE"""),"Audiobook : आत्मोत्कर्ष का आधार ज्ञान : H_VS_58 : druma4107@gmail.com : Recorded")</f>
        <v>Audiobook : आत्मोत्कर्ष का आधार ज्ञान : H_VS_58 : druma4107@gmail.com : Recorded</v>
      </c>
      <c r="CF1224" s="1" t="str">
        <f ca="1">IFERROR(__xludf.DUMMYFUNCTION("""COMPUTED_VALUE"""),"#N/A")</f>
        <v>#N/A</v>
      </c>
      <c r="CG1224" s="1" t="str">
        <f ca="1">IFERROR(__xludf.DUMMYFUNCTION("""COMPUTED_VALUE"""),"Adarniya Dr Uma Agrawal ji आत्मोत्कर्ष का आधार ज्ञान : H_VS_58 : Allocated on 03-Jan-23 Contact Number  9410861182")</f>
        <v>Adarniya Dr Uma Agrawal ji आत्मोत्कर्ष का आधार ज्ञान : H_VS_58 : Allocated on 03-Jan-23 Contact Number  9410861182</v>
      </c>
      <c r="CH1224" s="1"/>
      <c r="CI1224" s="1"/>
    </row>
    <row r="1225" spans="1:87" x14ac:dyDescent="0.25">
      <c r="A1225" s="5">
        <f ca="1">IFERROR(__xludf.DUMMYFUNCTION("""COMPUTED_VALUE"""),44928.7686014699)</f>
        <v>44928.768601469899</v>
      </c>
      <c r="B1225" s="1" t="str">
        <f ca="1">IFERROR(__xludf.DUMMYFUNCTION("""COMPUTED_VALUE"""),"druma4107@gmail.com")</f>
        <v>druma4107@gmail.com</v>
      </c>
      <c r="C1225" s="1" t="str">
        <f ca="1">IFERROR(__xludf.DUMMYFUNCTION("""COMPUTED_VALUE"""),"Dr Uma Aggarwal")</f>
        <v>Dr Uma Aggarwal</v>
      </c>
      <c r="D1225" s="1">
        <f ca="1">IFERROR(__xludf.DUMMYFUNCTION("""COMPUTED_VALUE"""),9410861182)</f>
        <v>9410861182</v>
      </c>
      <c r="E1225" s="1" t="str">
        <f ca="1">IFERROR(__xludf.DUMMYFUNCTION("""COMPUTED_VALUE"""),"Yes")</f>
        <v>Yes</v>
      </c>
      <c r="F1225" s="1" t="str">
        <f ca="1">IFERROR(__xludf.DUMMYFUNCTION("""COMPUTED_VALUE"""),"हिन्दी")</f>
        <v>हिन्दी</v>
      </c>
      <c r="G1225" s="1" t="str">
        <f ca="1">IFERROR(__xludf.DUMMYFUNCTION("""COMPUTED_VALUE"""),"अध्यात्म, धर्म एवं दर्शन")</f>
        <v>अध्यात्म, धर्म एवं दर्शन</v>
      </c>
      <c r="H1225" s="1" t="str">
        <f ca="1">IFERROR(__xludf.DUMMYFUNCTION("""COMPUTED_VALUE"""),"अध्यात्म, धर्म एवं आस्तिकता")</f>
        <v>अध्यात्म, धर्म एवं आस्तिकता</v>
      </c>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f ca="1">IFERROR(__xludf.DUMMYFUNCTION("""COMPUTED_VALUE"""),104)</f>
        <v>104</v>
      </c>
      <c r="BX1225" s="1">
        <f ca="1">IFERROR(__xludf.DUMMYFUNCTION("""COMPUTED_VALUE"""),106)</f>
        <v>106</v>
      </c>
      <c r="BY1225" s="1">
        <f ca="1">IFERROR(__xludf.DUMMYFUNCTION("""COMPUTED_VALUE"""),9)</f>
        <v>9</v>
      </c>
      <c r="BZ1225" s="1">
        <f ca="1">IFERROR(__xludf.DUMMYFUNCTION("""COMPUTED_VALUE"""),43)</f>
        <v>43</v>
      </c>
      <c r="CA1225" s="1" t="str">
        <f ca="1">IFERROR(__xludf.DUMMYFUNCTION("""COMPUTED_VALUE"""),"Yes")</f>
        <v>Yes</v>
      </c>
      <c r="CB1225" s="5">
        <f ca="1">IFERROR(__xludf.DUMMYFUNCTION("""COMPUTED_VALUE"""),44938.7686014699)</f>
        <v>44938.768601469899</v>
      </c>
      <c r="CC1225" s="1" t="str">
        <f ca="1">IFERROR(__xludf.DUMMYFUNCTION("""COMPUTED_VALUE"""),"अध्यात्म की पृष्ठभूमि सत् श्रद्धा  : Rare Book")</f>
        <v>अध्यात्म की पृष्ठभूमि सत् श्रद्धा  : Rare Book</v>
      </c>
      <c r="CD1225" s="3" t="str">
        <f ca="1">IFERROR(__xludf.DUMMYFUNCTION("""COMPUTED_VALUE"""),"https://vicharkrantibooks.org/productdetail?book_name=HINP0017_ADHYATM_KI_PRUSHTHABHUMI_SAT_SHRADDHA_xx1981&amp;product_id=582")</f>
        <v>https://vicharkrantibooks.org/productdetail?book_name=HINP0017_ADHYATM_KI_PRUSHTHABHUMI_SAT_SHRADDHA_xx1981&amp;product_id=582</v>
      </c>
      <c r="CE1225" s="1" t="str">
        <f ca="1">IFERROR(__xludf.DUMMYFUNCTION("""COMPUTED_VALUE"""),"Audiobook : अध्यात्म की पृष्ठभूमि सत् श्रद्धा  : Rare Book : druma4107@gmail.com : Recorded")</f>
        <v>Audiobook : अध्यात्म की पृष्ठभूमि सत् श्रद्धा  : Rare Book : druma4107@gmail.com : Recorded</v>
      </c>
      <c r="CF1225" s="1" t="str">
        <f ca="1">IFERROR(__xludf.DUMMYFUNCTION("""COMPUTED_VALUE"""),"Audiobook : अध्यात्म की पृष्ठभूमि सत् श्रद्धा  : Rare Book : druma4107@gmail.com : Recorded")</f>
        <v>Audiobook : अध्यात्म की पृष्ठभूमि सत् श्रद्धा  : Rare Book : druma4107@gmail.com : Recorded</v>
      </c>
      <c r="CG1225" s="1" t="str">
        <f ca="1">IFERROR(__xludf.DUMMYFUNCTION("""COMPUTED_VALUE"""),"Adarniya Dr Uma Aggarwal ji अध्यात्म की पृष्ठभूमि सत् श्रद्धा  : Rare Book : Allocated on 02-Jan-23 Contact Number  9410861182")</f>
        <v>Adarniya Dr Uma Aggarwal ji अध्यात्म की पृष्ठभूमि सत् श्रद्धा  : Rare Book : Allocated on 02-Jan-23 Contact Number  9410861182</v>
      </c>
      <c r="CH1225" s="1"/>
      <c r="CI1225" s="1"/>
    </row>
    <row r="1226" spans="1:87" x14ac:dyDescent="0.25">
      <c r="A1226" s="5">
        <f ca="1">IFERROR(__xludf.DUMMYFUNCTION("""COMPUTED_VALUE"""),44928.3662313773)</f>
        <v>44928.366231377302</v>
      </c>
      <c r="B1226" s="1" t="str">
        <f ca="1">IFERROR(__xludf.DUMMYFUNCTION("""COMPUTED_VALUE"""),"csprasad108@gmail.com")</f>
        <v>csprasad108@gmail.com</v>
      </c>
      <c r="C1226" s="1" t="str">
        <f ca="1">IFERROR(__xludf.DUMMYFUNCTION("""COMPUTED_VALUE"""),"Kumkum prasad")</f>
        <v>Kumkum prasad</v>
      </c>
      <c r="D1226" s="1">
        <f ca="1">IFERROR(__xludf.DUMMYFUNCTION("""COMPUTED_VALUE"""),7978055621)</f>
        <v>7978055621</v>
      </c>
      <c r="E1226" s="1" t="str">
        <f ca="1">IFERROR(__xludf.DUMMYFUNCTION("""COMPUTED_VALUE"""),"Yes")</f>
        <v>Yes</v>
      </c>
      <c r="F1226" s="1" t="str">
        <f ca="1">IFERROR(__xludf.DUMMYFUNCTION("""COMPUTED_VALUE"""),"हिन्दी")</f>
        <v>हिन्दी</v>
      </c>
      <c r="G1226" s="1" t="str">
        <f ca="1">IFERROR(__xludf.DUMMYFUNCTION("""COMPUTED_VALUE"""),"संस्कार, कर्मकाण्ड, पाठ, पूजा, गीत-संगीत")</f>
        <v>संस्कार, कर्मकाण्ड, पाठ, पूजा, गीत-संगीत</v>
      </c>
      <c r="H1226" s="1"/>
      <c r="I1226" s="1"/>
      <c r="J1226" s="1"/>
      <c r="K1226" s="1"/>
      <c r="L1226" s="1"/>
      <c r="M1226" s="1"/>
      <c r="N1226" s="1"/>
      <c r="O1226" s="1"/>
      <c r="P1226" s="1"/>
      <c r="Q1226" s="1"/>
      <c r="R1226" s="1"/>
      <c r="S1226" s="1"/>
      <c r="T1226" s="1"/>
      <c r="U1226" s="1"/>
      <c r="V1226" s="1"/>
      <c r="W1226" s="1" t="str">
        <f ca="1">IFERROR(__xludf.DUMMYFUNCTION("""COMPUTED_VALUE"""),"पर्व-त्यौहार, कर्मकाण्ड")</f>
        <v>पर्व-त्यौहार, कर्मकाण्ड</v>
      </c>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t="str">
        <f ca="1">IFERROR(__xludf.DUMMYFUNCTION("""COMPUTED_VALUE"""),"कर्मकांड की प्रेरणाओं में छिपा अध्यात्म")</f>
        <v>कर्मकांड की प्रेरणाओं में छिपा अध्यात्म</v>
      </c>
      <c r="BH1226" s="1"/>
      <c r="BI1226" s="1"/>
      <c r="BJ1226" s="1"/>
      <c r="BK1226" s="1"/>
      <c r="BL1226" s="1"/>
      <c r="BM1226" s="1"/>
      <c r="BN1226" s="1"/>
      <c r="BO1226" s="1"/>
      <c r="BP1226" s="1"/>
      <c r="BQ1226" s="1"/>
      <c r="BR1226" s="1"/>
      <c r="BS1226" s="1"/>
      <c r="BT1226" s="1"/>
      <c r="BU1226" s="1"/>
      <c r="BV1226" s="1"/>
      <c r="BW1226" s="1">
        <f ca="1">IFERROR(__xludf.DUMMYFUNCTION("""COMPUTED_VALUE"""),52)</f>
        <v>52</v>
      </c>
      <c r="BX1226" s="1">
        <f ca="1">IFERROR(__xludf.DUMMYFUNCTION("""COMPUTED_VALUE"""),54)</f>
        <v>54</v>
      </c>
      <c r="BY1226" s="1">
        <f ca="1">IFERROR(__xludf.DUMMYFUNCTION("""COMPUTED_VALUE"""),3)</f>
        <v>3</v>
      </c>
      <c r="BZ1226" s="1">
        <f ca="1">IFERROR(__xludf.DUMMYFUNCTION("""COMPUTED_VALUE"""),24)</f>
        <v>24</v>
      </c>
      <c r="CA1226" s="1" t="str">
        <f ca="1">IFERROR(__xludf.DUMMYFUNCTION("""COMPUTED_VALUE"""),"Yes")</f>
        <v>Yes</v>
      </c>
      <c r="CB1226" s="5">
        <f ca="1">IFERROR(__xludf.DUMMYFUNCTION("""COMPUTED_VALUE"""),44938.3662313773)</f>
        <v>44938.366231377302</v>
      </c>
      <c r="CC1226" s="1" t="str">
        <f ca="1">IFERROR(__xludf.DUMMYFUNCTION("""COMPUTED_VALUE"""),"स्वाध्याय जीवन की अनिवार्य आवश्यकता : Rare Book")</f>
        <v>स्वाध्याय जीवन की अनिवार्य आवश्यकता : Rare Book</v>
      </c>
      <c r="CD1226" s="3" t="str">
        <f ca="1">IFERROR(__xludf.DUMMYFUNCTION("""COMPUTED_VALUE"""),"https://vicharkrantibooks.org/productdetail?book_name=HINP0887_SWADHYAY_JIVAN_KI_ANIVARY_AVASHYAKATA_xxyyyy&amp;product_id=1452")</f>
        <v>https://vicharkrantibooks.org/productdetail?book_name=HINP0887_SWADHYAY_JIVAN_KI_ANIVARY_AVASHYAKATA_xxyyyy&amp;product_id=1452</v>
      </c>
      <c r="CE1226" s="1" t="str">
        <f ca="1">IFERROR(__xludf.DUMMYFUNCTION("""COMPUTED_VALUE"""),"Audiobook : स्वाध्याय जीवन की अनिवार्य आवश्यकता : Rare Book : csprasad108@gmail.com : Recorded")</f>
        <v>Audiobook : स्वाध्याय जीवन की अनिवार्य आवश्यकता : Rare Book : csprasad108@gmail.com : Recorded</v>
      </c>
      <c r="CF1226" s="1" t="str">
        <f ca="1">IFERROR(__xludf.DUMMYFUNCTION("""COMPUTED_VALUE"""),"Audiobook : स्वाध्याय जीवन की अनिवार्य आवश्यकता : Rare Book : csprasad108@gmail.com : Recorded")</f>
        <v>Audiobook : स्वाध्याय जीवन की अनिवार्य आवश्यकता : Rare Book : csprasad108@gmail.com : Recorded</v>
      </c>
      <c r="CG1226" s="1" t="str">
        <f ca="1">IFERROR(__xludf.DUMMYFUNCTION("""COMPUTED_VALUE"""),"Adarniya Kumkum prasad ji स्वाध्याय जीवन की अनिवार्य आवश्यकता : Rare Book : Allocated on 02-Jan-23 Contact Number  7978055621")</f>
        <v>Adarniya Kumkum prasad ji स्वाध्याय जीवन की अनिवार्य आवश्यकता : Rare Book : Allocated on 02-Jan-23 Contact Number  7978055621</v>
      </c>
      <c r="CH1226" s="1"/>
      <c r="CI1226" s="1"/>
    </row>
    <row r="1227" spans="1:87" x14ac:dyDescent="0.25">
      <c r="A1227" s="5">
        <f ca="1">IFERROR(__xludf.DUMMYFUNCTION("""COMPUTED_VALUE"""),44927.8614077083)</f>
        <v>44927.861407708297</v>
      </c>
      <c r="B1227" s="1" t="str">
        <f ca="1">IFERROR(__xludf.DUMMYFUNCTION("""COMPUTED_VALUE"""),"kom.vor@gmail.com")</f>
        <v>kom.vor@gmail.com</v>
      </c>
      <c r="C1227" s="1" t="str">
        <f ca="1">IFERROR(__xludf.DUMMYFUNCTION("""COMPUTED_VALUE"""),"Komal Dineshbhai Vora")</f>
        <v>Komal Dineshbhai Vora</v>
      </c>
      <c r="D1227" s="1" t="str">
        <f ca="1">IFERROR(__xludf.DUMMYFUNCTION("""COMPUTED_VALUE"""),"09227445985")</f>
        <v>09227445985</v>
      </c>
      <c r="E1227" s="1" t="str">
        <f ca="1">IFERROR(__xludf.DUMMYFUNCTION("""COMPUTED_VALUE"""),"Yes")</f>
        <v>Yes</v>
      </c>
      <c r="F1227" s="1" t="str">
        <f ca="1">IFERROR(__xludf.DUMMYFUNCTION("""COMPUTED_VALUE"""),"हिन्दी")</f>
        <v>हिन्दी</v>
      </c>
      <c r="G1227" s="1" t="str">
        <f ca="1">IFERROR(__xludf.DUMMYFUNCTION("""COMPUTED_VALUE"""),"समग्र स्वास्थ्य")</f>
        <v>समग्र स्वास्थ्य</v>
      </c>
      <c r="H1227" s="1"/>
      <c r="I1227" s="1"/>
      <c r="J1227" s="1"/>
      <c r="K1227" s="1"/>
      <c r="L1227" s="1"/>
      <c r="M1227" s="1"/>
      <c r="N1227" s="1"/>
      <c r="O1227" s="1"/>
      <c r="P1227" s="1"/>
      <c r="Q1227" s="1"/>
      <c r="R1227" s="1"/>
      <c r="S1227" s="1"/>
      <c r="T1227" s="1"/>
      <c r="U1227" s="1" t="str">
        <f ca="1">IFERROR(__xludf.DUMMYFUNCTION("""COMPUTED_VALUE"""),"मानसिक स्वास्थ्य")</f>
        <v>मानसिक स्वास्थ्य</v>
      </c>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f ca="1">IFERROR(__xludf.DUMMYFUNCTION("""COMPUTED_VALUE"""),2)</f>
        <v>2</v>
      </c>
      <c r="BX1227" s="1">
        <f ca="1">IFERROR(__xludf.DUMMYFUNCTION("""COMPUTED_VALUE"""),2)</f>
        <v>2</v>
      </c>
      <c r="BY1227" s="1">
        <f ca="1">IFERROR(__xludf.DUMMYFUNCTION("""COMPUTED_VALUE"""),0)</f>
        <v>0</v>
      </c>
      <c r="BZ1227" s="1">
        <f ca="1">IFERROR(__xludf.DUMMYFUNCTION("""COMPUTED_VALUE"""),0)</f>
        <v>0</v>
      </c>
      <c r="CA1227" s="1" t="str">
        <f ca="1">IFERROR(__xludf.DUMMYFUNCTION("""COMPUTED_VALUE"""),"Yes")</f>
        <v>Yes</v>
      </c>
      <c r="CB1227" s="5">
        <f ca="1">IFERROR(__xludf.DUMMYFUNCTION("""COMPUTED_VALUE"""),44937.8614077083)</f>
        <v>44937.861407708297</v>
      </c>
      <c r="CC1227" s="1" t="str">
        <f ca="1">IFERROR(__xludf.DUMMYFUNCTION("""COMPUTED_VALUE"""),"आंतरिक अशांति की समस्या और समाधान : Rare Book")</f>
        <v>आंतरिक अशांति की समस्या और समाधान : Rare Book</v>
      </c>
      <c r="CD1227" s="3" t="str">
        <f ca="1">IFERROR(__xludf.DUMMYFUNCTION("""COMPUTED_VALUE"""),"https://vicharkrantibooks.org/productdetail?book_name=HINP0050_ANTARIK_ASHANTI_KI_SAMASYA_AUR_SAMADHAN_xxyyyy&amp;product_id=615")</f>
        <v>https://vicharkrantibooks.org/productdetail?book_name=HINP0050_ANTARIK_ASHANTI_KI_SAMASYA_AUR_SAMADHAN_xxyyyy&amp;product_id=615</v>
      </c>
      <c r="CE1227" s="1" t="str">
        <f ca="1">IFERROR(__xludf.DUMMYFUNCTION("""COMPUTED_VALUE"""),"Audiobook : आंतरिक अशांति की समस्या और समाधान : Rare Book : kom.vor@gmail.com : Recorded")</f>
        <v>Audiobook : आंतरिक अशांति की समस्या और समाधान : Rare Book : kom.vor@gmail.com : Recorded</v>
      </c>
      <c r="CF1227" s="1" t="str">
        <f ca="1">IFERROR(__xludf.DUMMYFUNCTION("""COMPUTED_VALUE"""),"Audiobook : आंतरिक अशांति की समस्या और समाधान : Rare Book : kom.vor@gmail.com : Recorded")</f>
        <v>Audiobook : आंतरिक अशांति की समस्या और समाधान : Rare Book : kom.vor@gmail.com : Recorded</v>
      </c>
      <c r="CG1227" s="1" t="str">
        <f ca="1">IFERROR(__xludf.DUMMYFUNCTION("""COMPUTED_VALUE"""),"Adarniya Komal Dineshbhai Vora ji आंतरिक अशांति की समस्या और समाधान : Rare Book : Allocated on 01-Jan-23 Contact Number  09227445985")</f>
        <v>Adarniya Komal Dineshbhai Vora ji आंतरिक अशांति की समस्या और समाधान : Rare Book : Allocated on 01-Jan-23 Contact Number  09227445985</v>
      </c>
      <c r="CH1227" s="1"/>
      <c r="CI1227" s="1"/>
    </row>
    <row r="1228" spans="1:87" x14ac:dyDescent="0.25">
      <c r="A1228" s="8">
        <f ca="1">IFERROR(__xludf.DUMMYFUNCTION("""COMPUTED_VALUE"""),44927)</f>
        <v>44927</v>
      </c>
      <c r="B1228" s="1" t="str">
        <f ca="1">IFERROR(__xludf.DUMMYFUNCTION("""COMPUTED_VALUE"""),"divyabhatnagar73@gmail.com")</f>
        <v>divyabhatnagar73@gmail.com</v>
      </c>
      <c r="C1228" s="1" t="str">
        <f ca="1">IFERROR(__xludf.DUMMYFUNCTION("""COMPUTED_VALUE"""),"Divya Bhatnagar")</f>
        <v>Divya Bhatnagar</v>
      </c>
      <c r="D1228" s="1" t="str">
        <f ca="1">IFERROR(__xludf.DUMMYFUNCTION("""COMPUTED_VALUE"""),"09672806579")</f>
        <v>09672806579</v>
      </c>
      <c r="E1228" s="1" t="str">
        <f ca="1">IFERROR(__xludf.DUMMYFUNCTION("""COMPUTED_VALUE"""),"Yes")</f>
        <v>Yes</v>
      </c>
      <c r="F1228" s="1" t="str">
        <f ca="1">IFERROR(__xludf.DUMMYFUNCTION("""COMPUTED_VALUE"""),"English")</f>
        <v>English</v>
      </c>
      <c r="G1228" s="1" t="str">
        <f ca="1">IFERROR(__xludf.DUMMYFUNCTION("""COMPUTED_VALUE"""),"English")</f>
        <v>English</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f ca="1">IFERROR(__xludf.DUMMYFUNCTION("""COMPUTED_VALUE"""),12)</f>
        <v>12</v>
      </c>
      <c r="BX1228" s="1">
        <f ca="1">IFERROR(__xludf.DUMMYFUNCTION("""COMPUTED_VALUE"""),6)</f>
        <v>6</v>
      </c>
      <c r="BY1228" s="1">
        <f ca="1">IFERROR(__xludf.DUMMYFUNCTION("""COMPUTED_VALUE"""),7)</f>
        <v>7</v>
      </c>
      <c r="BZ1228" s="1">
        <f ca="1">IFERROR(__xludf.DUMMYFUNCTION("""COMPUTED_VALUE"""),1)</f>
        <v>1</v>
      </c>
      <c r="CA1228" s="1" t="str">
        <f ca="1">IFERROR(__xludf.DUMMYFUNCTION("""COMPUTED_VALUE"""),"Yes")</f>
        <v>Yes</v>
      </c>
      <c r="CB1228" s="8">
        <f ca="1">IFERROR(__xludf.DUMMYFUNCTION("""COMPUTED_VALUE"""),44937)</f>
        <v>44937</v>
      </c>
      <c r="CC1228" s="1" t="str">
        <f ca="1">IFERROR(__xludf.DUMMYFUNCTION("""COMPUTED_VALUE"""),"Gayatri Chalisa : EP_23")</f>
        <v>Gayatri Chalisa : EP_23</v>
      </c>
      <c r="CD1228" s="3" t="str">
        <f ca="1">IFERROR(__xludf.DUMMYFUNCTION("""COMPUTED_VALUE"""),"https://vicharkrantibooks.org/productdetail?book_name=ENGP0279_GAYATRI_CHALISA_xxyyyy&amp;product_id=3416")</f>
        <v>https://vicharkrantibooks.org/productdetail?book_name=ENGP0279_GAYATRI_CHALISA_xxyyyy&amp;product_id=3416</v>
      </c>
      <c r="CE1228" s="1" t="str">
        <f ca="1">IFERROR(__xludf.DUMMYFUNCTION("""COMPUTED_VALUE"""),"Audiobook : Gayatri Chalisa : EP_23 : divyabhatnagar73@gmail.com : Recorded")</f>
        <v>Audiobook : Gayatri Chalisa : EP_23 : divyabhatnagar73@gmail.com : Recorded</v>
      </c>
      <c r="CF1228" s="1" t="str">
        <f ca="1">IFERROR(__xludf.DUMMYFUNCTION("""COMPUTED_VALUE"""),"Audiobook : Gayatri Chalisa : EP_23 : divyabhatnagar73@gmail.com : Recorded")</f>
        <v>Audiobook : Gayatri Chalisa : EP_23 : divyabhatnagar73@gmail.com : Recorded</v>
      </c>
      <c r="CG1228" s="1" t="str">
        <f ca="1">IFERROR(__xludf.DUMMYFUNCTION("""COMPUTED_VALUE"""),"Adarniya Divya Bhatnagar ji Gayatri Chalisa : EP_23 : Allocated on 01-Jan-23 Contact Number  09672806579")</f>
        <v>Adarniya Divya Bhatnagar ji Gayatri Chalisa : EP_23 : Allocated on 01-Jan-23 Contact Number  09672806579</v>
      </c>
      <c r="CH1228" s="1" t="str">
        <f ca="1">IFERROR(__xludf.DUMMYFUNCTION("""COMPUTED_VALUE"""),"divyabhatnagar73@gmail.com : Gayatri Chalisa : EP_23")</f>
        <v>divyabhatnagar73@gmail.com : Gayatri Chalisa : EP_23</v>
      </c>
      <c r="CI1228" s="8">
        <f ca="1">IFERROR(__xludf.DUMMYFUNCTION("""COMPUTED_VALUE"""),44927)</f>
        <v>44927</v>
      </c>
    </row>
    <row r="1229" spans="1:87" x14ac:dyDescent="0.25">
      <c r="A1229" s="5">
        <f ca="1">IFERROR(__xludf.DUMMYFUNCTION("""COMPUTED_VALUE"""),44926.857867118)</f>
        <v>44926.857867118</v>
      </c>
      <c r="B1229" s="1" t="str">
        <f ca="1">IFERROR(__xludf.DUMMYFUNCTION("""COMPUTED_VALUE"""),"anshu14.singh@yahoo.in")</f>
        <v>anshu14.singh@yahoo.in</v>
      </c>
      <c r="C1229" s="1" t="str">
        <f ca="1">IFERROR(__xludf.DUMMYFUNCTION("""COMPUTED_VALUE"""),"Anshu singh")</f>
        <v>Anshu singh</v>
      </c>
      <c r="D1229" s="1">
        <f ca="1">IFERROR(__xludf.DUMMYFUNCTION("""COMPUTED_VALUE"""),9977301575)</f>
        <v>9977301575</v>
      </c>
      <c r="E1229" s="1" t="str">
        <f ca="1">IFERROR(__xludf.DUMMYFUNCTION("""COMPUTED_VALUE"""),"Yes")</f>
        <v>Yes</v>
      </c>
      <c r="F1229" s="1" t="str">
        <f ca="1">IFERROR(__xludf.DUMMYFUNCTION("""COMPUTED_VALUE"""),"हिन्दी")</f>
        <v>हिन्दी</v>
      </c>
      <c r="G1229" s="1" t="str">
        <f ca="1">IFERROR(__xludf.DUMMYFUNCTION("""COMPUTED_VALUE"""),"अध्यात्म, धर्म एवं दर्शन")</f>
        <v>अध्यात्म, धर्म एवं दर्शन</v>
      </c>
      <c r="H1229" s="1" t="str">
        <f ca="1">IFERROR(__xludf.DUMMYFUNCTION("""COMPUTED_VALUE"""),"अध्यात्म, धर्म एवं आस्तिकता")</f>
        <v>अध्यात्म, धर्म एवं आस्तिकता</v>
      </c>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f ca="1">IFERROR(__xludf.DUMMYFUNCTION("""COMPUTED_VALUE"""),9)</f>
        <v>9</v>
      </c>
      <c r="BX1229" s="1">
        <f ca="1">IFERROR(__xludf.DUMMYFUNCTION("""COMPUTED_VALUE"""),5)</f>
        <v>5</v>
      </c>
      <c r="BY1229" s="1">
        <f ca="1">IFERROR(__xludf.DUMMYFUNCTION("""COMPUTED_VALUE"""),4)</f>
        <v>4</v>
      </c>
      <c r="BZ1229" s="1">
        <f ca="1">IFERROR(__xludf.DUMMYFUNCTION("""COMPUTED_VALUE"""),0)</f>
        <v>0</v>
      </c>
      <c r="CA1229" s="1" t="str">
        <f ca="1">IFERROR(__xludf.DUMMYFUNCTION("""COMPUTED_VALUE"""),"Yes")</f>
        <v>Yes</v>
      </c>
      <c r="CB1229" s="5">
        <f ca="1">IFERROR(__xludf.DUMMYFUNCTION("""COMPUTED_VALUE"""),44936.857867118)</f>
        <v>44936.857867118</v>
      </c>
      <c r="CC1229" s="1" t="str">
        <f ca="1">IFERROR(__xludf.DUMMYFUNCTION("""COMPUTED_VALUE"""),"कुसंस्कारों की प्रतिक्रिया कष्ट तनाव एवं विक्षोभ  : Rare Book")</f>
        <v>कुसंस्कारों की प्रतिक्रिया कष्ट तनाव एवं विक्षोभ  : Rare Book</v>
      </c>
      <c r="CD1229" s="3" t="str">
        <f ca="1">IFERROR(__xludf.DUMMYFUNCTION("""COMPUTED_VALUE"""),"https://vicharkrantibooks.org/productdetail?book_name=HINP0451_KUSASKARON_KI_PRATIKRIYA_KASHT_TANAV_AUR_VIKSHOBH_xx1982&amp;product_id=1016")</f>
        <v>https://vicharkrantibooks.org/productdetail?book_name=HINP0451_KUSASKARON_KI_PRATIKRIYA_KASHT_TANAV_AUR_VIKSHOBH_xx1982&amp;product_id=1016</v>
      </c>
      <c r="CE1229" s="1" t="str">
        <f ca="1">IFERROR(__xludf.DUMMYFUNCTION("""COMPUTED_VALUE"""),"Audiobook : कुसंस्कारों की प्रतिक्रिया कष्ट तनाव एवं विक्षोभ  : Rare Book : anshu14.singh@yahoo.in : Recorded")</f>
        <v>Audiobook : कुसंस्कारों की प्रतिक्रिया कष्ट तनाव एवं विक्षोभ  : Rare Book : anshu14.singh@yahoo.in : Recorded</v>
      </c>
      <c r="CF1229" s="1" t="str">
        <f ca="1">IFERROR(__xludf.DUMMYFUNCTION("""COMPUTED_VALUE"""),"Audiobook : कुसंस्कारों की प्रतिक्रिया कष्ट तनाव एवं विक्षोभ  : Rare Book : anshu14.singh@yahoo.in : Recorded")</f>
        <v>Audiobook : कुसंस्कारों की प्रतिक्रिया कष्ट तनाव एवं विक्षोभ  : Rare Book : anshu14.singh@yahoo.in : Recorded</v>
      </c>
      <c r="CG1229" s="1" t="str">
        <f ca="1">IFERROR(__xludf.DUMMYFUNCTION("""COMPUTED_VALUE"""),"Adarniya Anshu singh ji कुसंस्कारों की प्रतिक्रिया कष्ट तनाव एवं विक्षोभ  : Rare Book : Allocated on 31-Dec-22 Contact Number  9977301575")</f>
        <v>Adarniya Anshu singh ji कुसंस्कारों की प्रतिक्रिया कष्ट तनाव एवं विक्षोभ  : Rare Book : Allocated on 31-Dec-22 Contact Number  9977301575</v>
      </c>
      <c r="CH1229" s="1"/>
      <c r="CI1229" s="1"/>
    </row>
    <row r="1230" spans="1:87" x14ac:dyDescent="0.25">
      <c r="A1230" s="5">
        <f ca="1">IFERROR(__xludf.DUMMYFUNCTION("""COMPUTED_VALUE"""),44925.9648237615)</f>
        <v>44925.964823761497</v>
      </c>
      <c r="B1230" s="1" t="str">
        <f ca="1">IFERROR(__xludf.DUMMYFUNCTION("""COMPUTED_VALUE"""),"csprasad108@gmail.com")</f>
        <v>csprasad108@gmail.com</v>
      </c>
      <c r="C1230" s="1" t="str">
        <f ca="1">IFERROR(__xludf.DUMMYFUNCTION("""COMPUTED_VALUE"""),"Kumkum prasad")</f>
        <v>Kumkum prasad</v>
      </c>
      <c r="D1230" s="1">
        <f ca="1">IFERROR(__xludf.DUMMYFUNCTION("""COMPUTED_VALUE"""),7978055621)</f>
        <v>7978055621</v>
      </c>
      <c r="E1230" s="1"/>
      <c r="F1230" s="1" t="str">
        <f ca="1">IFERROR(__xludf.DUMMYFUNCTION("""COMPUTED_VALUE"""),"हिन्दी")</f>
        <v>हिन्दी</v>
      </c>
      <c r="G1230" s="1" t="str">
        <f ca="1">IFERROR(__xludf.DUMMYFUNCTION("""COMPUTED_VALUE"""),"भारतीय संस्कृति")</f>
        <v>भारतीय संस्कृति</v>
      </c>
      <c r="H1230" s="1"/>
      <c r="I1230" s="1"/>
      <c r="J1230" s="1"/>
      <c r="K1230" s="1"/>
      <c r="L1230" s="1"/>
      <c r="M1230" s="1"/>
      <c r="N1230" s="1"/>
      <c r="O1230" s="1" t="str">
        <f ca="1">IFERROR(__xludf.DUMMYFUNCTION("""COMPUTED_VALUE"""),"यज्ञ")</f>
        <v>यज्ञ</v>
      </c>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f ca="1">IFERROR(__xludf.DUMMYFUNCTION("""COMPUTED_VALUE"""),52)</f>
        <v>52</v>
      </c>
      <c r="BX1230" s="1">
        <f ca="1">IFERROR(__xludf.DUMMYFUNCTION("""COMPUTED_VALUE"""),54)</f>
        <v>54</v>
      </c>
      <c r="BY1230" s="1">
        <f ca="1">IFERROR(__xludf.DUMMYFUNCTION("""COMPUTED_VALUE"""),3)</f>
        <v>3</v>
      </c>
      <c r="BZ1230" s="1">
        <f ca="1">IFERROR(__xludf.DUMMYFUNCTION("""COMPUTED_VALUE"""),24)</f>
        <v>24</v>
      </c>
      <c r="CA1230" s="1" t="str">
        <f ca="1">IFERROR(__xludf.DUMMYFUNCTION("""COMPUTED_VALUE"""),"Yes")</f>
        <v>Yes</v>
      </c>
      <c r="CB1230" s="5">
        <f ca="1">IFERROR(__xludf.DUMMYFUNCTION("""COMPUTED_VALUE"""),44935.9648237615)</f>
        <v>44935.964823761497</v>
      </c>
      <c r="CC1230" s="1" t="str">
        <f ca="1">IFERROR(__xludf.DUMMYFUNCTION("""COMPUTED_VALUE"""),"गायत्री का अर्थ चिन्तन : Rare Book")</f>
        <v>गायत्री का अर्थ चिन्तन : Rare Book</v>
      </c>
      <c r="CD1230" s="3" t="str">
        <f ca="1">IFERROR(__xludf.DUMMYFUNCTION("""COMPUTED_VALUE"""),"https://vicharkrantibooks.org/productdetail?book_name=HINP0280_GAYATRI_KA_ARTH_CHINTAN_xx1979&amp;product_id=845")</f>
        <v>https://vicharkrantibooks.org/productdetail?book_name=HINP0280_GAYATRI_KA_ARTH_CHINTAN_xx1979&amp;product_id=845</v>
      </c>
      <c r="CE1230" s="1" t="str">
        <f ca="1">IFERROR(__xludf.DUMMYFUNCTION("""COMPUTED_VALUE"""),"Audiobook : गायत्री का अर्थ चिन्तन : Rare Book : csprasad108@gmail.com : Recorded")</f>
        <v>Audiobook : गायत्री का अर्थ चिन्तन : Rare Book : csprasad108@gmail.com : Recorded</v>
      </c>
      <c r="CF1230" s="1" t="str">
        <f ca="1">IFERROR(__xludf.DUMMYFUNCTION("""COMPUTED_VALUE"""),"Audiobook : गायत्री का अर्थ चिन्तन : Rare Book : csprasad108@gmail.com : Recorded")</f>
        <v>Audiobook : गायत्री का अर्थ चिन्तन : Rare Book : csprasad108@gmail.com : Recorded</v>
      </c>
      <c r="CG1230" s="1" t="str">
        <f ca="1">IFERROR(__xludf.DUMMYFUNCTION("""COMPUTED_VALUE"""),"Adarniya Kumkum prasad ji गायत्री का अर्थ चिन्तन : Rare Book : Allocated on 30-Dec-22 Contact Number  7978055621")</f>
        <v>Adarniya Kumkum prasad ji गायत्री का अर्थ चिन्तन : Rare Book : Allocated on 30-Dec-22 Contact Number  7978055621</v>
      </c>
      <c r="CH1230" s="1"/>
      <c r="CI1230" s="1"/>
    </row>
    <row r="1231" spans="1:87" x14ac:dyDescent="0.25">
      <c r="A1231" s="5">
        <f ca="1">IFERROR(__xludf.DUMMYFUNCTION("""COMPUTED_VALUE"""),44925.5001290277)</f>
        <v>44925.5001290277</v>
      </c>
      <c r="B1231" s="1" t="str">
        <f ca="1">IFERROR(__xludf.DUMMYFUNCTION("""COMPUTED_VALUE"""),"druma4107@gmail.com")</f>
        <v>druma4107@gmail.com</v>
      </c>
      <c r="C1231" s="1" t="str">
        <f ca="1">IFERROR(__xludf.DUMMYFUNCTION("""COMPUTED_VALUE"""),"Dr Uma Agrawal")</f>
        <v>Dr Uma Agrawal</v>
      </c>
      <c r="D1231" s="1">
        <f ca="1">IFERROR(__xludf.DUMMYFUNCTION("""COMPUTED_VALUE"""),9410861182)</f>
        <v>9410861182</v>
      </c>
      <c r="E1231" s="1" t="str">
        <f ca="1">IFERROR(__xludf.DUMMYFUNCTION("""COMPUTED_VALUE"""),"Yes")</f>
        <v>Yes</v>
      </c>
      <c r="F1231" s="1" t="str">
        <f ca="1">IFERROR(__xludf.DUMMYFUNCTION("""COMPUTED_VALUE"""),"हिन्दी")</f>
        <v>हिन्दी</v>
      </c>
      <c r="G1231" s="1" t="str">
        <f ca="1">IFERROR(__xludf.DUMMYFUNCTION("""COMPUTED_VALUE"""),"अध्यात्म, धर्म एवं दर्शन")</f>
        <v>अध्यात्म, धर्म एवं दर्शन</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f ca="1">IFERROR(__xludf.DUMMYFUNCTION("""COMPUTED_VALUE"""),104)</f>
        <v>104</v>
      </c>
      <c r="BX1231" s="1">
        <f ca="1">IFERROR(__xludf.DUMMYFUNCTION("""COMPUTED_VALUE"""),106)</f>
        <v>106</v>
      </c>
      <c r="BY1231" s="1">
        <f ca="1">IFERROR(__xludf.DUMMYFUNCTION("""COMPUTED_VALUE"""),9)</f>
        <v>9</v>
      </c>
      <c r="BZ1231" s="1">
        <f ca="1">IFERROR(__xludf.DUMMYFUNCTION("""COMPUTED_VALUE"""),43)</f>
        <v>43</v>
      </c>
      <c r="CA1231" s="1" t="str">
        <f ca="1">IFERROR(__xludf.DUMMYFUNCTION("""COMPUTED_VALUE"""),"Yes")</f>
        <v>Yes</v>
      </c>
      <c r="CB1231" s="5">
        <f ca="1">IFERROR(__xludf.DUMMYFUNCTION("""COMPUTED_VALUE"""),44935.5001290277)</f>
        <v>44935.5001290277</v>
      </c>
      <c r="CC1231" s="1" t="str">
        <f ca="1">IFERROR(__xludf.DUMMYFUNCTION("""COMPUTED_VALUE"""),"अवतार का प्रयोजन और स्वरुप : Rare Book")</f>
        <v>अवतार का प्रयोजन और स्वरुप : Rare Book</v>
      </c>
      <c r="CD1231" s="3" t="str">
        <f ca="1">IFERROR(__xludf.DUMMYFUNCTION("""COMPUTED_VALUE"""),"https://vicharkrantibooks.org/productdetail?book_name=HINP0116_AVATAR_KA_PRAYOJAN_AUR_SWARUP_xx1981&amp;product_id=681")</f>
        <v>https://vicharkrantibooks.org/productdetail?book_name=HINP0116_AVATAR_KA_PRAYOJAN_AUR_SWARUP_xx1981&amp;product_id=681</v>
      </c>
      <c r="CE1231" s="1" t="str">
        <f ca="1">IFERROR(__xludf.DUMMYFUNCTION("""COMPUTED_VALUE"""),"Audiobook : अवतार का प्रयोजन और स्वरुप : Rare Book : druma4107@gmail.com : Recorded")</f>
        <v>Audiobook : अवतार का प्रयोजन और स्वरुप : Rare Book : druma4107@gmail.com : Recorded</v>
      </c>
      <c r="CF1231" s="1" t="str">
        <f ca="1">IFERROR(__xludf.DUMMYFUNCTION("""COMPUTED_VALUE"""),"#N/A")</f>
        <v>#N/A</v>
      </c>
      <c r="CG1231" s="1" t="str">
        <f ca="1">IFERROR(__xludf.DUMMYFUNCTION("""COMPUTED_VALUE"""),"Adarniya Dr Uma Agrawal ji अवतार का प्रयोजन और स्वरुप : Rare Book : Allocated on 30-Dec-22 Contact Number  9410861182")</f>
        <v>Adarniya Dr Uma Agrawal ji अवतार का प्रयोजन और स्वरुप : Rare Book : Allocated on 30-Dec-22 Contact Number  9410861182</v>
      </c>
      <c r="CH1231" s="1"/>
      <c r="CI1231" s="1"/>
    </row>
    <row r="1232" spans="1:87" x14ac:dyDescent="0.25">
      <c r="A1232" s="5">
        <f ca="1">IFERROR(__xludf.DUMMYFUNCTION("""COMPUTED_VALUE"""),44924.3782724421)</f>
        <v>44924.378272442103</v>
      </c>
      <c r="B1232" s="1" t="str">
        <f ca="1">IFERROR(__xludf.DUMMYFUNCTION("""COMPUTED_VALUE"""),"richasharma310575@gmail.com")</f>
        <v>richasharma310575@gmail.com</v>
      </c>
      <c r="C1232" s="1" t="str">
        <f ca="1">IFERROR(__xludf.DUMMYFUNCTION("""COMPUTED_VALUE"""),"Richa Sharma ")</f>
        <v xml:space="preserve">Richa Sharma </v>
      </c>
      <c r="D1232" s="1">
        <f ca="1">IFERROR(__xludf.DUMMYFUNCTION("""COMPUTED_VALUE"""),94799664049)</f>
        <v>94799664049</v>
      </c>
      <c r="E1232" s="1" t="str">
        <f ca="1">IFERROR(__xludf.DUMMYFUNCTION("""COMPUTED_VALUE"""),"Yes")</f>
        <v>Yes</v>
      </c>
      <c r="F1232" s="1" t="str">
        <f ca="1">IFERROR(__xludf.DUMMYFUNCTION("""COMPUTED_VALUE"""),"हिन्दी")</f>
        <v>हिन्दी</v>
      </c>
      <c r="G1232" s="1" t="str">
        <f ca="1">IFERROR(__xludf.DUMMYFUNCTION("""COMPUTED_VALUE"""),"वैज्ञानिक अध्यात्मवाद का प्रतिपादन")</f>
        <v>वैज्ञानिक अध्यात्मवाद का प्रतिपादन</v>
      </c>
      <c r="H1232" s="1"/>
      <c r="I1232" s="1"/>
      <c r="J1232" s="1"/>
      <c r="K1232" s="1"/>
      <c r="L1232" s="1"/>
      <c r="M1232" s="1"/>
      <c r="N1232" s="1"/>
      <c r="O1232" s="1"/>
      <c r="P1232" s="1"/>
      <c r="Q1232" s="1"/>
      <c r="R1232" s="1"/>
      <c r="S1232" s="1" t="str">
        <f ca="1">IFERROR(__xludf.DUMMYFUNCTION("""COMPUTED_VALUE"""),"वैज्ञानिक अध्यात्मवाद का प्रतिपादन")</f>
        <v>वैज्ञानिक अध्यात्मवाद का प्रतिपादन</v>
      </c>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f ca="1">IFERROR(__xludf.DUMMYFUNCTION("""COMPUTED_VALUE"""),23)</f>
        <v>23</v>
      </c>
      <c r="BX1232" s="1">
        <f ca="1">IFERROR(__xludf.DUMMYFUNCTION("""COMPUTED_VALUE"""),28)</f>
        <v>28</v>
      </c>
      <c r="BY1232" s="1">
        <f ca="1">IFERROR(__xludf.DUMMYFUNCTION("""COMPUTED_VALUE"""),2)</f>
        <v>2</v>
      </c>
      <c r="BZ1232" s="1">
        <f ca="1">IFERROR(__xludf.DUMMYFUNCTION("""COMPUTED_VALUE"""),24)</f>
        <v>24</v>
      </c>
      <c r="CA1232" s="1" t="str">
        <f ca="1">IFERROR(__xludf.DUMMYFUNCTION("""COMPUTED_VALUE"""),"Yes")</f>
        <v>Yes</v>
      </c>
      <c r="CB1232" s="5">
        <f ca="1">IFERROR(__xludf.DUMMYFUNCTION("""COMPUTED_VALUE"""),44934.3782724421)</f>
        <v>44934.378272442103</v>
      </c>
      <c r="CC1232" s="1" t="str">
        <f ca="1">IFERROR(__xludf.DUMMYFUNCTION("""COMPUTED_VALUE"""),"धर्म और विज्ञान के समन्वय में ही कल्याण : Rare Book")</f>
        <v>धर्म और विज्ञान के समन्वय में ही कल्याण : Rare Book</v>
      </c>
      <c r="CD1232" s="3" t="str">
        <f ca="1">IFERROR(__xludf.DUMMYFUNCTION("""COMPUTED_VALUE"""),"https://vicharkrantibooks.org/productdetail?book_name=HINP0231_DHARM_AUR_VIGYAN_KE_SAMANVAY_MEIN_HI_KALYAN_xx1981&amp;product_id=796")</f>
        <v>https://vicharkrantibooks.org/productdetail?book_name=HINP0231_DHARM_AUR_VIGYAN_KE_SAMANVAY_MEIN_HI_KALYAN_xx1981&amp;product_id=796</v>
      </c>
      <c r="CE1232" s="1" t="str">
        <f ca="1">IFERROR(__xludf.DUMMYFUNCTION("""COMPUTED_VALUE"""),"Audiobook : धर्म और विज्ञान के समन्वय में ही कल्याण : Rare Book : richasharma310575@gmail.com : Recorded")</f>
        <v>Audiobook : धर्म और विज्ञान के समन्वय में ही कल्याण : Rare Book : richasharma310575@gmail.com : Recorded</v>
      </c>
      <c r="CF1232" s="1" t="str">
        <f ca="1">IFERROR(__xludf.DUMMYFUNCTION("""COMPUTED_VALUE"""),"Audiobook : धर्म और विज्ञान के समन्वय में ही कल्याण : Rare Book : richasharma310575@gmail.com : Recorded")</f>
        <v>Audiobook : धर्म और विज्ञान के समन्वय में ही कल्याण : Rare Book : richasharma310575@gmail.com : Recorded</v>
      </c>
      <c r="CG1232" s="1" t="str">
        <f ca="1">IFERROR(__xludf.DUMMYFUNCTION("""COMPUTED_VALUE"""),"Adarniya Richa Sharma  ji धर्म और विज्ञान के समन्वय में ही कल्याण : Rare Book : Allocated on 29-Dec-22 Contact Number  94799664049")</f>
        <v>Adarniya Richa Sharma  ji धर्म और विज्ञान के समन्वय में ही कल्याण : Rare Book : Allocated on 29-Dec-22 Contact Number  94799664049</v>
      </c>
      <c r="CH1232" s="1"/>
      <c r="CI1232" s="1"/>
    </row>
    <row r="1233" spans="1:87" x14ac:dyDescent="0.25">
      <c r="A1233" s="5">
        <f ca="1">IFERROR(__xludf.DUMMYFUNCTION("""COMPUTED_VALUE"""),44922.8526013888)</f>
        <v>44922.852601388797</v>
      </c>
      <c r="B1233" s="1" t="str">
        <f ca="1">IFERROR(__xludf.DUMMYFUNCTION("""COMPUTED_VALUE"""),"jamunashukla17@gmail.com")</f>
        <v>jamunashukla17@gmail.com</v>
      </c>
      <c r="C1233" s="1" t="str">
        <f ca="1">IFERROR(__xludf.DUMMYFUNCTION("""COMPUTED_VALUE"""),"jamuna shukla")</f>
        <v>jamuna shukla</v>
      </c>
      <c r="D1233" s="1" t="str">
        <f ca="1">IFERROR(__xludf.DUMMYFUNCTION("""COMPUTED_VALUE"""),"+918390353167")</f>
        <v>+918390353167</v>
      </c>
      <c r="E1233" s="1" t="str">
        <f ca="1">IFERROR(__xludf.DUMMYFUNCTION("""COMPUTED_VALUE"""),"Yes")</f>
        <v>Yes</v>
      </c>
      <c r="F1233" s="1" t="str">
        <f ca="1">IFERROR(__xludf.DUMMYFUNCTION("""COMPUTED_VALUE"""),"हिन्दी")</f>
        <v>हिन्दी</v>
      </c>
      <c r="G1233" s="1" t="str">
        <f ca="1">IFERROR(__xludf.DUMMYFUNCTION("""COMPUTED_VALUE"""),"युग परिवर्तन-विचार क्रांति")</f>
        <v>युग परिवर्तन-विचार क्रांति</v>
      </c>
      <c r="H1233" s="1"/>
      <c r="I1233" s="1"/>
      <c r="J1233" s="1"/>
      <c r="K1233" s="1"/>
      <c r="L1233" s="1"/>
      <c r="M1233" s="1"/>
      <c r="N1233" s="1"/>
      <c r="O1233" s="1"/>
      <c r="P1233" s="1"/>
      <c r="Q1233" s="1" t="str">
        <f ca="1">IFERROR(__xludf.DUMMYFUNCTION("""COMPUTED_VALUE"""),"युग निर्माण योजना एवं युग परिवर्तन")</f>
        <v>युग निर्माण योजना एवं युग परिवर्तन</v>
      </c>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f ca="1">IFERROR(__xludf.DUMMYFUNCTION("""COMPUTED_VALUE"""),53)</f>
        <v>53</v>
      </c>
      <c r="BX1233" s="1">
        <f ca="1">IFERROR(__xludf.DUMMYFUNCTION("""COMPUTED_VALUE"""),53)</f>
        <v>53</v>
      </c>
      <c r="BY1233" s="1">
        <f ca="1">IFERROR(__xludf.DUMMYFUNCTION("""COMPUTED_VALUE"""),9)</f>
        <v>9</v>
      </c>
      <c r="BZ1233" s="1">
        <f ca="1">IFERROR(__xludf.DUMMYFUNCTION("""COMPUTED_VALUE"""),25)</f>
        <v>25</v>
      </c>
      <c r="CA1233" s="1" t="str">
        <f ca="1">IFERROR(__xludf.DUMMYFUNCTION("""COMPUTED_VALUE"""),"Yes")</f>
        <v>Yes</v>
      </c>
      <c r="CB1233" s="5">
        <f ca="1">IFERROR(__xludf.DUMMYFUNCTION("""COMPUTED_VALUE"""),44932.8526013888)</f>
        <v>44932.852601388797</v>
      </c>
      <c r="CC1233" s="1" t="str">
        <f ca="1">IFERROR(__xludf.DUMMYFUNCTION("""COMPUTED_VALUE"""),"अनीति के विरुद्ध असहयोग एवं विरोध के अस्त्रों से जूझें : Rare Book")</f>
        <v>अनीति के विरुद्ध असहयोग एवं विरोध के अस्त्रों से जूझें : Rare Book</v>
      </c>
      <c r="CD1233" s="3" t="str">
        <f ca="1">IFERROR(__xludf.DUMMYFUNCTION("""COMPUTED_VALUE"""),"https://vicharkrantibooks.org/productdetail?book_name=HINP0045_ANITI_KE_VIRUDDH_ASAHAYOG_EVAM_VIRODH_KE_ASTRON_SE_JUJHEN_xx1981&amp;product_id=610")</f>
        <v>https://vicharkrantibooks.org/productdetail?book_name=HINP0045_ANITI_KE_VIRUDDH_ASAHAYOG_EVAM_VIRODH_KE_ASTRON_SE_JUJHEN_xx1981&amp;product_id=610</v>
      </c>
      <c r="CE1233" s="1" t="str">
        <f ca="1">IFERROR(__xludf.DUMMYFUNCTION("""COMPUTED_VALUE"""),"Audiobook : अनीति के विरुद्ध असहयोग एवं विरोध के अस्त्रों से जूझें : Rare Book : jamunashukla17@gmail.com : Recorded")</f>
        <v>Audiobook : अनीति के विरुद्ध असहयोग एवं विरोध के अस्त्रों से जूझें : Rare Book : jamunashukla17@gmail.com : Recorded</v>
      </c>
      <c r="CF1233" s="1" t="str">
        <f ca="1">IFERROR(__xludf.DUMMYFUNCTION("""COMPUTED_VALUE"""),"Audiobook : अनीति के विरुद्ध असहयोग एवं विरोध के अस्त्रों से जूझें : Rare Book : jamunashukla17@gmail.com : Recorded")</f>
        <v>Audiobook : अनीति के विरुद्ध असहयोग एवं विरोध के अस्त्रों से जूझें : Rare Book : jamunashukla17@gmail.com : Recorded</v>
      </c>
      <c r="CG1233" s="1" t="str">
        <f ca="1">IFERROR(__xludf.DUMMYFUNCTION("""COMPUTED_VALUE"""),"Adarniya jamuna shukla ji अनीति के विरुद्ध असहयोग एवं विरोध के अस्त्रों से जूझें : Rare Book : Allocated on 27-Dec-22 Contact Number  +918390353167")</f>
        <v>Adarniya jamuna shukla ji अनीति के विरुद्ध असहयोग एवं विरोध के अस्त्रों से जूझें : Rare Book : Allocated on 27-Dec-22 Contact Number  +918390353167</v>
      </c>
      <c r="CH1233" s="1"/>
      <c r="CI1233" s="1"/>
    </row>
    <row r="1234" spans="1:87" x14ac:dyDescent="0.25">
      <c r="A1234" s="5">
        <f ca="1">IFERROR(__xludf.DUMMYFUNCTION("""COMPUTED_VALUE"""),44922.3561509838)</f>
        <v>44922.356150983796</v>
      </c>
      <c r="B1234" s="1" t="str">
        <f ca="1">IFERROR(__xludf.DUMMYFUNCTION("""COMPUTED_VALUE"""),"kom.vor@gmail.com")</f>
        <v>kom.vor@gmail.com</v>
      </c>
      <c r="C1234" s="1" t="str">
        <f ca="1">IFERROR(__xludf.DUMMYFUNCTION("""COMPUTED_VALUE"""),"Komal Dineshbhai Vora")</f>
        <v>Komal Dineshbhai Vora</v>
      </c>
      <c r="D1234" s="1" t="str">
        <f ca="1">IFERROR(__xludf.DUMMYFUNCTION("""COMPUTED_VALUE"""),"09227445985")</f>
        <v>09227445985</v>
      </c>
      <c r="E1234" s="1" t="str">
        <f ca="1">IFERROR(__xludf.DUMMYFUNCTION("""COMPUTED_VALUE"""),"Yes")</f>
        <v>Yes</v>
      </c>
      <c r="F1234" s="1" t="str">
        <f ca="1">IFERROR(__xludf.DUMMYFUNCTION("""COMPUTED_VALUE"""),"हिन्दी")</f>
        <v>हिन्दी</v>
      </c>
      <c r="G1234" s="1" t="str">
        <f ca="1">IFERROR(__xludf.DUMMYFUNCTION("""COMPUTED_VALUE"""),"वैज्ञानिक अध्यात्मवाद का प्रतिपादन")</f>
        <v>वैज्ञानिक अध्यात्मवाद का प्रतिपादन</v>
      </c>
      <c r="H1234" s="1"/>
      <c r="I1234" s="1"/>
      <c r="J1234" s="1"/>
      <c r="K1234" s="1"/>
      <c r="L1234" s="1"/>
      <c r="M1234" s="1"/>
      <c r="N1234" s="1"/>
      <c r="O1234" s="1"/>
      <c r="P1234" s="1"/>
      <c r="Q1234" s="1"/>
      <c r="R1234" s="1"/>
      <c r="S1234" s="1" t="str">
        <f ca="1">IFERROR(__xludf.DUMMYFUNCTION("""COMPUTED_VALUE"""),"वैज्ञानिक अध्यात्मवाद का प्रतिपादन")</f>
        <v>वैज्ञानिक अध्यात्मवाद का प्रतिपादन</v>
      </c>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f ca="1">IFERROR(__xludf.DUMMYFUNCTION("""COMPUTED_VALUE"""),2)</f>
        <v>2</v>
      </c>
      <c r="BX1234" s="1">
        <f ca="1">IFERROR(__xludf.DUMMYFUNCTION("""COMPUTED_VALUE"""),2)</f>
        <v>2</v>
      </c>
      <c r="BY1234" s="1">
        <f ca="1">IFERROR(__xludf.DUMMYFUNCTION("""COMPUTED_VALUE"""),0)</f>
        <v>0</v>
      </c>
      <c r="BZ1234" s="1">
        <f ca="1">IFERROR(__xludf.DUMMYFUNCTION("""COMPUTED_VALUE"""),0)</f>
        <v>0</v>
      </c>
      <c r="CA1234" s="1" t="str">
        <f ca="1">IFERROR(__xludf.DUMMYFUNCTION("""COMPUTED_VALUE"""),"Yes")</f>
        <v>Yes</v>
      </c>
      <c r="CB1234" s="5">
        <f ca="1">IFERROR(__xludf.DUMMYFUNCTION("""COMPUTED_VALUE"""),44932.3561509838)</f>
        <v>44932.356150983796</v>
      </c>
      <c r="CC1234" s="1" t="str">
        <f ca="1">IFERROR(__xludf.DUMMYFUNCTION("""COMPUTED_VALUE"""),"नवयुग के दो आधार अध्यात्म और विज्ञान : Rare Book")</f>
        <v>नवयुग के दो आधार अध्यात्म और विज्ञान : Rare Book</v>
      </c>
      <c r="CD1234" s="3" t="str">
        <f ca="1">IFERROR(__xludf.DUMMYFUNCTION("""COMPUTED_VALUE"""),"https://vicharkrantibooks.org/productdetail?book_name=HINP0595_NAVAYUG_KE_DO_ADHAR_ADHYATM_AUR_VIGYAN_xx1978&amp;product_id=1160")</f>
        <v>https://vicharkrantibooks.org/productdetail?book_name=HINP0595_NAVAYUG_KE_DO_ADHAR_ADHYATM_AUR_VIGYAN_xx1978&amp;product_id=1160</v>
      </c>
      <c r="CE1234" s="1" t="str">
        <f ca="1">IFERROR(__xludf.DUMMYFUNCTION("""COMPUTED_VALUE"""),"Audiobook : नवयुग के दो आधार अध्यात्म और विज्ञान : Rare Book : kom.vor@gmail.com : Recorded")</f>
        <v>Audiobook : नवयुग के दो आधार अध्यात्म और विज्ञान : Rare Book : kom.vor@gmail.com : Recorded</v>
      </c>
      <c r="CF1234" s="1" t="str">
        <f ca="1">IFERROR(__xludf.DUMMYFUNCTION("""COMPUTED_VALUE"""),"Audiobook : नवयुग के दो आधार अध्यात्म और विज्ञान : Rare Book : kom.vor@gmail.com : Recorded")</f>
        <v>Audiobook : नवयुग के दो आधार अध्यात्म और विज्ञान : Rare Book : kom.vor@gmail.com : Recorded</v>
      </c>
      <c r="CG1234" s="1" t="str">
        <f ca="1">IFERROR(__xludf.DUMMYFUNCTION("""COMPUTED_VALUE"""),"Adarniya Komal Dineshbhai Vora ji नवयुग के दो आधार अध्यात्म और विज्ञान : Rare Book : Allocated on 27-Dec-22 Contact Number  09227445985")</f>
        <v>Adarniya Komal Dineshbhai Vora ji नवयुग के दो आधार अध्यात्म और विज्ञान : Rare Book : Allocated on 27-Dec-22 Contact Number  09227445985</v>
      </c>
      <c r="CH1234" s="1" t="str">
        <f ca="1">IFERROR(__xludf.DUMMYFUNCTION("""COMPUTED_VALUE"""),"kom.vor@gmail.com : नवयुग के दो आधार अध्यात्म और विज्ञान : Rare Book")</f>
        <v>kom.vor@gmail.com : नवयुग के दो आधार अध्यात्म और विज्ञान : Rare Book</v>
      </c>
      <c r="CI1234" s="5">
        <f ca="1">IFERROR(__xludf.DUMMYFUNCTION("""COMPUTED_VALUE"""),44922.3561509838)</f>
        <v>44922.356150983796</v>
      </c>
    </row>
    <row r="1235" spans="1:87" x14ac:dyDescent="0.25">
      <c r="A1235" s="5">
        <f ca="1">IFERROR(__xludf.DUMMYFUNCTION("""COMPUTED_VALUE"""),44921.2938960879)</f>
        <v>44921.293896087896</v>
      </c>
      <c r="B1235" s="1" t="str">
        <f ca="1">IFERROR(__xludf.DUMMYFUNCTION("""COMPUTED_VALUE"""),"druma4107@gmail.com")</f>
        <v>druma4107@gmail.com</v>
      </c>
      <c r="C1235" s="1" t="str">
        <f ca="1">IFERROR(__xludf.DUMMYFUNCTION("""COMPUTED_VALUE"""),"Dr Uma Agrawal")</f>
        <v>Dr Uma Agrawal</v>
      </c>
      <c r="D1235" s="1">
        <f ca="1">IFERROR(__xludf.DUMMYFUNCTION("""COMPUTED_VALUE"""),9410861182)</f>
        <v>9410861182</v>
      </c>
      <c r="E1235" s="1" t="str">
        <f ca="1">IFERROR(__xludf.DUMMYFUNCTION("""COMPUTED_VALUE"""),"Yes")</f>
        <v>Yes</v>
      </c>
      <c r="F1235" s="1" t="str">
        <f ca="1">IFERROR(__xludf.DUMMYFUNCTION("""COMPUTED_VALUE"""),"हिन्दी")</f>
        <v>हिन्दी</v>
      </c>
      <c r="G1235" s="1" t="str">
        <f ca="1">IFERROR(__xludf.DUMMYFUNCTION("""COMPUTED_VALUE"""),"अध्यात्म, धर्म एवं दर्शन")</f>
        <v>अध्यात्म, धर्म एवं दर्शन</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f ca="1">IFERROR(__xludf.DUMMYFUNCTION("""COMPUTED_VALUE"""),104)</f>
        <v>104</v>
      </c>
      <c r="BX1235" s="1">
        <f ca="1">IFERROR(__xludf.DUMMYFUNCTION("""COMPUTED_VALUE"""),106)</f>
        <v>106</v>
      </c>
      <c r="BY1235" s="1">
        <f ca="1">IFERROR(__xludf.DUMMYFUNCTION("""COMPUTED_VALUE"""),9)</f>
        <v>9</v>
      </c>
      <c r="BZ1235" s="1">
        <f ca="1">IFERROR(__xludf.DUMMYFUNCTION("""COMPUTED_VALUE"""),43)</f>
        <v>43</v>
      </c>
      <c r="CA1235" s="1" t="str">
        <f ca="1">IFERROR(__xludf.DUMMYFUNCTION("""COMPUTED_VALUE"""),"Yes")</f>
        <v>Yes</v>
      </c>
      <c r="CB1235" s="5">
        <f ca="1">IFERROR(__xludf.DUMMYFUNCTION("""COMPUTED_VALUE"""),44931.2938960879)</f>
        <v>44931.293896087896</v>
      </c>
      <c r="CC1235" s="1" t="str">
        <f ca="1">IFERROR(__xludf.DUMMYFUNCTION("""COMPUTED_VALUE"""),"आत्मोत्कर्ष का आधार ज्ञान : H_VS_58")</f>
        <v>आत्मोत्कर्ष का आधार ज्ञान : H_VS_58</v>
      </c>
      <c r="CD1235" s="1" t="str">
        <f ca="1">IFERROR(__xludf.DUMMYFUNCTION("""COMPUTED_VALUE"""),"#N/A")</f>
        <v>#N/A</v>
      </c>
      <c r="CE1235" s="1" t="str">
        <f ca="1">IFERROR(__xludf.DUMMYFUNCTION("""COMPUTED_VALUE"""),"Audiobook : आत्मोत्कर्ष का आधार ज्ञान : H_VS_58 : druma4107@gmail.com : Recorded")</f>
        <v>Audiobook : आत्मोत्कर्ष का आधार ज्ञान : H_VS_58 : druma4107@gmail.com : Recorded</v>
      </c>
      <c r="CF1235" s="1" t="str">
        <f ca="1">IFERROR(__xludf.DUMMYFUNCTION("""COMPUTED_VALUE"""),"Do Not Follow Up")</f>
        <v>Do Not Follow Up</v>
      </c>
      <c r="CG1235" s="1" t="str">
        <f ca="1">IFERROR(__xludf.DUMMYFUNCTION("""COMPUTED_VALUE"""),"Adarniya Dr Uma Agrawal ji आत्मोत्कर्ष का आधार ज्ञान : H_VS_58 : Allocated on 26-Dec-22 Contact Number  9410861182")</f>
        <v>Adarniya Dr Uma Agrawal ji आत्मोत्कर्ष का आधार ज्ञान : H_VS_58 : Allocated on 26-Dec-22 Contact Number  9410861182</v>
      </c>
      <c r="CH1235" s="1" t="str">
        <f ca="1">IFERROR(__xludf.DUMMYFUNCTION("""COMPUTED_VALUE"""),"druma4107@gmail.com : आत्मोत्कर्ष का आधार ज्ञान : H_VS_58")</f>
        <v>druma4107@gmail.com : आत्मोत्कर्ष का आधार ज्ञान : H_VS_58</v>
      </c>
      <c r="CI1235" s="5">
        <f ca="1">IFERROR(__xludf.DUMMYFUNCTION("""COMPUTED_VALUE"""),44921.2938960879)</f>
        <v>44921.293896087896</v>
      </c>
    </row>
    <row r="1236" spans="1:87" x14ac:dyDescent="0.25">
      <c r="A1236" s="5">
        <f ca="1">IFERROR(__xludf.DUMMYFUNCTION("""COMPUTED_VALUE"""),44920.4979504861)</f>
        <v>44920.497950486097</v>
      </c>
      <c r="B1236" s="1" t="str">
        <f ca="1">IFERROR(__xludf.DUMMYFUNCTION("""COMPUTED_VALUE"""),"nainamistry177@gmail.com")</f>
        <v>nainamistry177@gmail.com</v>
      </c>
      <c r="C1236" s="1" t="str">
        <f ca="1">IFERROR(__xludf.DUMMYFUNCTION("""COMPUTED_VALUE"""),"Naina Mistry")</f>
        <v>Naina Mistry</v>
      </c>
      <c r="D1236" s="1"/>
      <c r="E1236" s="1" t="str">
        <f ca="1">IFERROR(__xludf.DUMMYFUNCTION("""COMPUTED_VALUE"""),"Yes")</f>
        <v>Yes</v>
      </c>
      <c r="F1236" s="1" t="str">
        <f ca="1">IFERROR(__xludf.DUMMYFUNCTION("""COMPUTED_VALUE"""),"English")</f>
        <v>English</v>
      </c>
      <c r="G1236" s="1" t="str">
        <f ca="1">IFERROR(__xludf.DUMMYFUNCTION("""COMPUTED_VALUE"""),"English")</f>
        <v>English</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f ca="1">IFERROR(__xludf.DUMMYFUNCTION("""COMPUTED_VALUE"""),4)</f>
        <v>4</v>
      </c>
      <c r="BX1236" s="1">
        <f ca="1">IFERROR(__xludf.DUMMYFUNCTION("""COMPUTED_VALUE"""),1)</f>
        <v>1</v>
      </c>
      <c r="BY1236" s="1">
        <f ca="1">IFERROR(__xludf.DUMMYFUNCTION("""COMPUTED_VALUE"""),2)</f>
        <v>2</v>
      </c>
      <c r="BZ1236" s="1">
        <f ca="1">IFERROR(__xludf.DUMMYFUNCTION("""COMPUTED_VALUE"""),1)</f>
        <v>1</v>
      </c>
      <c r="CA1236" s="1" t="str">
        <f ca="1">IFERROR(__xludf.DUMMYFUNCTION("""COMPUTED_VALUE"""),"Yes")</f>
        <v>Yes</v>
      </c>
      <c r="CB1236" s="5">
        <f ca="1">IFERROR(__xludf.DUMMYFUNCTION("""COMPUTED_VALUE"""),44930.4979504861)</f>
        <v>44930.497950486097</v>
      </c>
      <c r="CC1236" s="1" t="str">
        <f ca="1">IFERROR(__xludf.DUMMYFUNCTION("""COMPUTED_VALUE"""),"Bhagwan Buddha : EPB_139")</f>
        <v>Bhagwan Buddha : EPB_139</v>
      </c>
      <c r="CD1236" s="1" t="str">
        <f ca="1">IFERROR(__xludf.DUMMYFUNCTION("""COMPUTED_VALUE"""),"#N/A")</f>
        <v>#N/A</v>
      </c>
      <c r="CE1236" s="1" t="str">
        <f ca="1">IFERROR(__xludf.DUMMYFUNCTION("""COMPUTED_VALUE"""),"Audiobook : Bhagwan Buddha : EPB_139 : nainamistry177@gmail.com : Recorded")</f>
        <v>Audiobook : Bhagwan Buddha : EPB_139 : nainamistry177@gmail.com : Recorded</v>
      </c>
      <c r="CF1236" s="1" t="str">
        <f ca="1">IFERROR(__xludf.DUMMYFUNCTION("""COMPUTED_VALUE"""),"Do Not Follow Up")</f>
        <v>Do Not Follow Up</v>
      </c>
      <c r="CG1236" s="1" t="str">
        <f ca="1">IFERROR(__xludf.DUMMYFUNCTION("""COMPUTED_VALUE"""),"Adarniya Naina Mistry ji Bhagwan Buddha : EPB_139 : Allocated on 25-Dec-22 Contact Number  ")</f>
        <v xml:space="preserve">Adarniya Naina Mistry ji Bhagwan Buddha : EPB_139 : Allocated on 25-Dec-22 Contact Number  </v>
      </c>
      <c r="CH1236" s="1" t="str">
        <f ca="1">IFERROR(__xludf.DUMMYFUNCTION("""COMPUTED_VALUE"""),"nainamistry177@gmail.com : Bhagwan Buddha : EPB_139")</f>
        <v>nainamistry177@gmail.com : Bhagwan Buddha : EPB_139</v>
      </c>
      <c r="CI1236" s="5">
        <f ca="1">IFERROR(__xludf.DUMMYFUNCTION("""COMPUTED_VALUE"""),44920.4979504861)</f>
        <v>44920.497950486097</v>
      </c>
    </row>
    <row r="1237" spans="1:87" x14ac:dyDescent="0.25">
      <c r="A1237" s="5">
        <f ca="1">IFERROR(__xludf.DUMMYFUNCTION("""COMPUTED_VALUE"""),44919.6954037963)</f>
        <v>44919.695403796301</v>
      </c>
      <c r="B1237" s="1" t="str">
        <f ca="1">IFERROR(__xludf.DUMMYFUNCTION("""COMPUTED_VALUE"""),"pravinathakkar15@gmail.com")</f>
        <v>pravinathakkar15@gmail.com</v>
      </c>
      <c r="C1237" s="1" t="str">
        <f ca="1">IFERROR(__xludf.DUMMYFUNCTION("""COMPUTED_VALUE"""),"Pravina B Thakkar ")</f>
        <v xml:space="preserve">Pravina B Thakkar </v>
      </c>
      <c r="D1237" s="1" t="str">
        <f ca="1">IFERROR(__xludf.DUMMYFUNCTION("""COMPUTED_VALUE"""),"76000 58001 ")</f>
        <v xml:space="preserve">76000 58001 </v>
      </c>
      <c r="E1237" s="1" t="str">
        <f ca="1">IFERROR(__xludf.DUMMYFUNCTION("""COMPUTED_VALUE"""),"Yes")</f>
        <v>Yes</v>
      </c>
      <c r="F1237" s="1" t="str">
        <f ca="1">IFERROR(__xludf.DUMMYFUNCTION("""COMPUTED_VALUE"""),"हिन्दी")</f>
        <v>हिन्दी</v>
      </c>
      <c r="G1237" s="1" t="str">
        <f ca="1">IFERROR(__xludf.DUMMYFUNCTION("""COMPUTED_VALUE"""),"युग द्रष्टा पं. श्रीराम शर्मा आचार्यजी")</f>
        <v>युग द्रष्टा पं. श्रीराम शर्मा आचार्यजी</v>
      </c>
      <c r="H1237" s="1"/>
      <c r="I1237" s="1"/>
      <c r="J1237" s="1"/>
      <c r="K1237" s="1"/>
      <c r="L1237" s="1"/>
      <c r="M1237" s="1"/>
      <c r="N1237" s="1"/>
      <c r="O1237" s="1"/>
      <c r="P1237" s="1" t="str">
        <f ca="1">IFERROR(__xludf.DUMMYFUNCTION("""COMPUTED_VALUE"""),"युगॠषी की अमृतवाणी")</f>
        <v>युगॠषी की अमृतवाणी</v>
      </c>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f ca="1">IFERROR(__xludf.DUMMYFUNCTION("""COMPUTED_VALUE"""),6)</f>
        <v>6</v>
      </c>
      <c r="BX1237" s="1">
        <f ca="1">IFERROR(__xludf.DUMMYFUNCTION("""COMPUTED_VALUE"""),2)</f>
        <v>2</v>
      </c>
      <c r="BY1237" s="1">
        <f ca="1">IFERROR(__xludf.DUMMYFUNCTION("""COMPUTED_VALUE"""),3)</f>
        <v>3</v>
      </c>
      <c r="BZ1237" s="1">
        <f ca="1">IFERROR(__xludf.DUMMYFUNCTION("""COMPUTED_VALUE"""),0)</f>
        <v>0</v>
      </c>
      <c r="CA1237" s="1" t="str">
        <f ca="1">IFERROR(__xludf.DUMMYFUNCTION("""COMPUTED_VALUE"""),"Yes")</f>
        <v>Yes</v>
      </c>
      <c r="CB1237" s="5">
        <f ca="1">IFERROR(__xludf.DUMMYFUNCTION("""COMPUTED_VALUE"""),44929.6954037963)</f>
        <v>44929.695403796301</v>
      </c>
      <c r="CC1237" s="1" t="str">
        <f ca="1">IFERROR(__xludf.DUMMYFUNCTION("""COMPUTED_VALUE"""),"चेतना की शिखर यात्रा भाग १ : H_SJ_15")</f>
        <v>चेतना की शिखर यात्रा भाग १ : H_SJ_15</v>
      </c>
      <c r="CD1237" s="1" t="str">
        <f ca="1">IFERROR(__xludf.DUMMYFUNCTION("""COMPUTED_VALUE"""),"#N/A")</f>
        <v>#N/A</v>
      </c>
      <c r="CE1237" s="1" t="str">
        <f ca="1">IFERROR(__xludf.DUMMYFUNCTION("""COMPUTED_VALUE"""),"Audiobook : चेतना की शिखर यात्रा भाग १ : H_SJ_15 : pravinathakkar15@gmail.com : Recorded")</f>
        <v>Audiobook : चेतना की शिखर यात्रा भाग १ : H_SJ_15 : pravinathakkar15@gmail.com : Recorded</v>
      </c>
      <c r="CF1237" s="1" t="str">
        <f ca="1">IFERROR(__xludf.DUMMYFUNCTION("""COMPUTED_VALUE"""),"Do Not Follow Up")</f>
        <v>Do Not Follow Up</v>
      </c>
      <c r="CG1237" s="1" t="str">
        <f ca="1">IFERROR(__xludf.DUMMYFUNCTION("""COMPUTED_VALUE"""),"Adarniya Pravina B Thakkar  ji चेतना की शिखर यात्रा भाग १ : H_SJ_15 : Allocated on 24-Dec-22 Contact Number  76000 58001 ")</f>
        <v xml:space="preserve">Adarniya Pravina B Thakkar  ji चेतना की शिखर यात्रा भाग १ : H_SJ_15 : Allocated on 24-Dec-22 Contact Number  76000 58001 </v>
      </c>
      <c r="CH1237" s="1" t="str">
        <f ca="1">IFERROR(__xludf.DUMMYFUNCTION("""COMPUTED_VALUE"""),"pravinathakkar15@gmail.com : चेतना की शिखर यात्रा भाग १ : H_SJ_15")</f>
        <v>pravinathakkar15@gmail.com : चेतना की शिखर यात्रा भाग १ : H_SJ_15</v>
      </c>
      <c r="CI1237" s="5">
        <f ca="1">IFERROR(__xludf.DUMMYFUNCTION("""COMPUTED_VALUE"""),44919.6954037963)</f>
        <v>44919.695403796301</v>
      </c>
    </row>
    <row r="1238" spans="1:87" x14ac:dyDescent="0.25">
      <c r="A1238" s="5">
        <f ca="1">IFERROR(__xludf.DUMMYFUNCTION("""COMPUTED_VALUE"""),44919.4692290972)</f>
        <v>44919.469229097202</v>
      </c>
      <c r="B1238" s="1" t="str">
        <f ca="1">IFERROR(__xludf.DUMMYFUNCTION("""COMPUTED_VALUE"""),"geetabhavsar2004@gmail.co.in")</f>
        <v>geetabhavsar2004@gmail.co.in</v>
      </c>
      <c r="C1238" s="1" t="str">
        <f ca="1">IFERROR(__xludf.DUMMYFUNCTION("""COMPUTED_VALUE"""),"Geetaben Bhavsar ")</f>
        <v xml:space="preserve">Geetaben Bhavsar </v>
      </c>
      <c r="D1238" s="1">
        <f ca="1">IFERROR(__xludf.DUMMYFUNCTION("""COMPUTED_VALUE"""),9427047644)</f>
        <v>9427047644</v>
      </c>
      <c r="E1238" s="1" t="str">
        <f ca="1">IFERROR(__xludf.DUMMYFUNCTION("""COMPUTED_VALUE"""),"No")</f>
        <v>No</v>
      </c>
      <c r="F1238" s="1" t="str">
        <f ca="1">IFERROR(__xludf.DUMMYFUNCTION("""COMPUTED_VALUE"""),"हिन्दी")</f>
        <v>हिन्दी</v>
      </c>
      <c r="G1238" s="1" t="str">
        <f ca="1">IFERROR(__xludf.DUMMYFUNCTION("""COMPUTED_VALUE"""),"परिवार निर्माण")</f>
        <v>परिवार निर्माण</v>
      </c>
      <c r="H1238" s="1"/>
      <c r="I1238" s="1"/>
      <c r="J1238" s="1"/>
      <c r="K1238" s="1"/>
      <c r="L1238" s="1"/>
      <c r="M1238" s="1" t="str">
        <f ca="1">IFERROR(__xludf.DUMMYFUNCTION("""COMPUTED_VALUE"""),"बाल मनोविज्ञान")</f>
        <v>बाल मनोविज्ञान</v>
      </c>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f ca="1">IFERROR(__xludf.DUMMYFUNCTION("""COMPUTED_VALUE"""),1)</f>
        <v>1</v>
      </c>
      <c r="BX1238" s="1">
        <f ca="1">IFERROR(__xludf.DUMMYFUNCTION("""COMPUTED_VALUE"""),0)</f>
        <v>0</v>
      </c>
      <c r="BY1238" s="1">
        <f ca="1">IFERROR(__xludf.DUMMYFUNCTION("""COMPUTED_VALUE"""),0)</f>
        <v>0</v>
      </c>
      <c r="BZ1238" s="1">
        <f ca="1">IFERROR(__xludf.DUMMYFUNCTION("""COMPUTED_VALUE"""),0)</f>
        <v>0</v>
      </c>
      <c r="CA1238" s="1" t="str">
        <f ca="1">IFERROR(__xludf.DUMMYFUNCTION("""COMPUTED_VALUE"""),"Yes")</f>
        <v>Yes</v>
      </c>
      <c r="CB1238" s="5">
        <f ca="1">IFERROR(__xludf.DUMMYFUNCTION("""COMPUTED_VALUE"""),44929.4692290972)</f>
        <v>44929.469229097202</v>
      </c>
      <c r="CC1238" s="1" t="str">
        <f ca="1">IFERROR(__xludf.DUMMYFUNCTION("""COMPUTED_VALUE"""),"गृहस्थ एक तपोवन : H_VS_61")</f>
        <v>गृहस्थ एक तपोवन : H_VS_61</v>
      </c>
      <c r="CD1238" s="1" t="str">
        <f ca="1">IFERROR(__xludf.DUMMYFUNCTION("""COMPUTED_VALUE"""),"#N/A")</f>
        <v>#N/A</v>
      </c>
      <c r="CE1238" s="1" t="str">
        <f ca="1">IFERROR(__xludf.DUMMYFUNCTION("""COMPUTED_VALUE"""),"Audiobook : गृहस्थ एक तपोवन : H_VS_61 : geetabhavsar2004@gmail.co.in : Recorded")</f>
        <v>Audiobook : गृहस्थ एक तपोवन : H_VS_61 : geetabhavsar2004@gmail.co.in : Recorded</v>
      </c>
      <c r="CF1238" s="1" t="str">
        <f ca="1">IFERROR(__xludf.DUMMYFUNCTION("""COMPUTED_VALUE"""),"Do Not Follow Up")</f>
        <v>Do Not Follow Up</v>
      </c>
      <c r="CG1238" s="1" t="str">
        <f ca="1">IFERROR(__xludf.DUMMYFUNCTION("""COMPUTED_VALUE"""),"Adarniya Geetaben Bhavsar  ji गृहस्थ एक तपोवन : H_VS_61 : Allocated on 24-Dec-22 Contact Number  9427047644")</f>
        <v>Adarniya Geetaben Bhavsar  ji गृहस्थ एक तपोवन : H_VS_61 : Allocated on 24-Dec-22 Contact Number  9427047644</v>
      </c>
      <c r="CH1238" s="1" t="str">
        <f ca="1">IFERROR(__xludf.DUMMYFUNCTION("""COMPUTED_VALUE"""),"geetabhavsar2004@gmail.co.in : गृहस्थ एक तपोवन : H_VS_61")</f>
        <v>geetabhavsar2004@gmail.co.in : गृहस्थ एक तपोवन : H_VS_61</v>
      </c>
      <c r="CI1238" s="5">
        <f ca="1">IFERROR(__xludf.DUMMYFUNCTION("""COMPUTED_VALUE"""),44919.4692290972)</f>
        <v>44919.469229097202</v>
      </c>
    </row>
    <row r="1239" spans="1:87" x14ac:dyDescent="0.25">
      <c r="A1239" s="5">
        <f ca="1">IFERROR(__xludf.DUMMYFUNCTION("""COMPUTED_VALUE"""),44918.7501554629)</f>
        <v>44918.750155462898</v>
      </c>
      <c r="B1239" s="1" t="str">
        <f ca="1">IFERROR(__xludf.DUMMYFUNCTION("""COMPUTED_VALUE"""),"angelicculturespecialities@gmail.com")</f>
        <v>angelicculturespecialities@gmail.com</v>
      </c>
      <c r="C1239" s="1" t="str">
        <f ca="1">IFERROR(__xludf.DUMMYFUNCTION("""COMPUTED_VALUE"""),"Saurabh Kumar Bhatnagar")</f>
        <v>Saurabh Kumar Bhatnagar</v>
      </c>
      <c r="D1239" s="1" t="str">
        <f ca="1">IFERROR(__xludf.DUMMYFUNCTION("""COMPUTED_VALUE"""),"+919557185297")</f>
        <v>+919557185297</v>
      </c>
      <c r="E1239" s="1" t="str">
        <f ca="1">IFERROR(__xludf.DUMMYFUNCTION("""COMPUTED_VALUE"""),"No")</f>
        <v>No</v>
      </c>
      <c r="F1239" s="1" t="str">
        <f ca="1">IFERROR(__xludf.DUMMYFUNCTION("""COMPUTED_VALUE"""),"हिन्दी or English")</f>
        <v>हिन्दी or English</v>
      </c>
      <c r="G1239" s="1" t="str">
        <f ca="1">IFERROR(__xludf.DUMMYFUNCTION("""COMPUTED_VALUE"""),"गायत्री परिवार")</f>
        <v>गायत्री परिवार</v>
      </c>
      <c r="H1239" s="1"/>
      <c r="I1239" s="1"/>
      <c r="J1239" s="1" t="str">
        <f ca="1">IFERROR(__xludf.DUMMYFUNCTION("""COMPUTED_VALUE"""),"प्रमुख संस्थान, प्रकाशन एवं आंदोलन")</f>
        <v>प्रमुख संस्थान, प्रकाशन एवं आंदोलन</v>
      </c>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f ca="1">IFERROR(__xludf.DUMMYFUNCTION("""COMPUTED_VALUE"""),1)</f>
        <v>1</v>
      </c>
      <c r="BX1239" s="1">
        <f ca="1">IFERROR(__xludf.DUMMYFUNCTION("""COMPUTED_VALUE"""),0)</f>
        <v>0</v>
      </c>
      <c r="BY1239" s="1">
        <f ca="1">IFERROR(__xludf.DUMMYFUNCTION("""COMPUTED_VALUE"""),1)</f>
        <v>1</v>
      </c>
      <c r="BZ1239" s="1">
        <f ca="1">IFERROR(__xludf.DUMMYFUNCTION("""COMPUTED_VALUE"""),0)</f>
        <v>0</v>
      </c>
      <c r="CA1239" s="1" t="str">
        <f ca="1">IFERROR(__xludf.DUMMYFUNCTION("""COMPUTED_VALUE"""),"Yes")</f>
        <v>Yes</v>
      </c>
      <c r="CB1239" s="5">
        <f ca="1">IFERROR(__xludf.DUMMYFUNCTION("""COMPUTED_VALUE"""),44928.7501554629)</f>
        <v>44928.750155462898</v>
      </c>
      <c r="CC1239" s="1" t="str">
        <f ca="1">IFERROR(__xludf.DUMMYFUNCTION("""COMPUTED_VALUE"""),"क्षुद्रता छोडें महानता के पठ पर चलें : H_JS_22")</f>
        <v>क्षुद्रता छोडें महानता के पठ पर चलें : H_JS_22</v>
      </c>
      <c r="CD1239" s="3" t="str">
        <f ca="1">IFERROR(__xludf.DUMMYFUNCTION("""COMPUTED_VALUE"""),"https://vicharkrantibooks.org/productdetail?book_name=HINP0445_KSHUDRATA_CHHODEN_MAHANATA_KE_PATH_PAR_CHALEN_xx2011&amp;product_id=1010")</f>
        <v>https://vicharkrantibooks.org/productdetail?book_name=HINP0445_KSHUDRATA_CHHODEN_MAHANATA_KE_PATH_PAR_CHALEN_xx2011&amp;product_id=1010</v>
      </c>
      <c r="CE1239" s="1" t="str">
        <f ca="1">IFERROR(__xludf.DUMMYFUNCTION("""COMPUTED_VALUE"""),"Audiobook : क्षुद्रता छोडें महानता के पठ पर चलें : H_JS_22 : angelicculturespecialities@gmail.com : Recorded")</f>
        <v>Audiobook : क्षुद्रता छोडें महानता के पठ पर चलें : H_JS_22 : angelicculturespecialities@gmail.com : Recorded</v>
      </c>
      <c r="CF1239" s="1" t="str">
        <f ca="1">IFERROR(__xludf.DUMMYFUNCTION("""COMPUTED_VALUE"""),"#N/A")</f>
        <v>#N/A</v>
      </c>
      <c r="CG1239" s="1" t="str">
        <f ca="1">IFERROR(__xludf.DUMMYFUNCTION("""COMPUTED_VALUE"""),"Adarniya Saurabh Kumar Bhatnagar ji क्षुद्रता छोडें महानता के पठ पर चलें : H_JS_22 : Allocated on 23-Dec-22 Contact Number  +919557185297")</f>
        <v>Adarniya Saurabh Kumar Bhatnagar ji क्षुद्रता छोडें महानता के पठ पर चलें : H_JS_22 : Allocated on 23-Dec-22 Contact Number  +919557185297</v>
      </c>
      <c r="CH1239" s="1" t="str">
        <f ca="1">IFERROR(__xludf.DUMMYFUNCTION("""COMPUTED_VALUE"""),"angelicculturespecialities@gmail.com : क्षुद्रता छोडें महानता के पठ पर चलें : H_JS_22")</f>
        <v>angelicculturespecialities@gmail.com : क्षुद्रता छोडें महानता के पठ पर चलें : H_JS_22</v>
      </c>
      <c r="CI1239" s="5">
        <f ca="1">IFERROR(__xludf.DUMMYFUNCTION("""COMPUTED_VALUE"""),44918.7501554629)</f>
        <v>44918.750155462898</v>
      </c>
    </row>
    <row r="1240" spans="1:87" x14ac:dyDescent="0.25">
      <c r="A1240" s="5">
        <f ca="1">IFERROR(__xludf.DUMMYFUNCTION("""COMPUTED_VALUE"""),44918.7272383333)</f>
        <v>44918.727238333297</v>
      </c>
      <c r="B1240" s="1" t="str">
        <f ca="1">IFERROR(__xludf.DUMMYFUNCTION("""COMPUTED_VALUE"""),"anitasharmapandey69@gmail.com")</f>
        <v>anitasharmapandey69@gmail.com</v>
      </c>
      <c r="C1240" s="1" t="str">
        <f ca="1">IFERROR(__xludf.DUMMYFUNCTION("""COMPUTED_VALUE"""),"Anita Devi")</f>
        <v>Anita Devi</v>
      </c>
      <c r="D1240" s="1" t="str">
        <f ca="1">IFERROR(__xludf.DUMMYFUNCTION("""COMPUTED_VALUE"""),"09631693161")</f>
        <v>09631693161</v>
      </c>
      <c r="E1240" s="1" t="str">
        <f ca="1">IFERROR(__xludf.DUMMYFUNCTION("""COMPUTED_VALUE"""),"Yes")</f>
        <v>Yes</v>
      </c>
      <c r="F1240" s="1" t="str">
        <f ca="1">IFERROR(__xludf.DUMMYFUNCTION("""COMPUTED_VALUE"""),"हिन्दी")</f>
        <v>हिन्दी</v>
      </c>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f ca="1">IFERROR(__xludf.DUMMYFUNCTION("""COMPUTED_VALUE"""),1)</f>
        <v>1</v>
      </c>
      <c r="BX1240" s="1">
        <f ca="1">IFERROR(__xludf.DUMMYFUNCTION("""COMPUTED_VALUE"""),0)</f>
        <v>0</v>
      </c>
      <c r="BY1240" s="1">
        <f ca="1">IFERROR(__xludf.DUMMYFUNCTION("""COMPUTED_VALUE"""),1)</f>
        <v>1</v>
      </c>
      <c r="BZ1240" s="1">
        <f ca="1">IFERROR(__xludf.DUMMYFUNCTION("""COMPUTED_VALUE"""),0)</f>
        <v>0</v>
      </c>
      <c r="CA1240" s="1" t="str">
        <f ca="1">IFERROR(__xludf.DUMMYFUNCTION("""COMPUTED_VALUE"""),"Yes")</f>
        <v>Yes</v>
      </c>
      <c r="CB1240" s="5">
        <f ca="1">IFERROR(__xludf.DUMMYFUNCTION("""COMPUTED_VALUE"""),44928.7272383333)</f>
        <v>44928.727238333297</v>
      </c>
      <c r="CC1240" s="1" t="str">
        <f ca="1">IFERROR(__xludf.DUMMYFUNCTION("""COMPUTED_VALUE"""),"अनीति असुरता के अन्याय को रोकें : Rare Book")</f>
        <v>अनीति असुरता के अन्याय को रोकें : Rare Book</v>
      </c>
      <c r="CD1240" s="3" t="str">
        <f ca="1">IFERROR(__xludf.DUMMYFUNCTION("""COMPUTED_VALUE"""),"https://vicharkrantibooks.org/productdetail?book_name=HINP0042_ANITI_ASURATA_KE_ANYAY_KO_ROKEN_xxyyyy&amp;product_id=607")</f>
        <v>https://vicharkrantibooks.org/productdetail?book_name=HINP0042_ANITI_ASURATA_KE_ANYAY_KO_ROKEN_xxyyyy&amp;product_id=607</v>
      </c>
      <c r="CE1240" s="1" t="str">
        <f ca="1">IFERROR(__xludf.DUMMYFUNCTION("""COMPUTED_VALUE"""),"Audiobook : अनीति असुरता के अन्याय को रोकें : Rare Book : anitasharmapandey69@gmail.com : Recorded")</f>
        <v>Audiobook : अनीति असुरता के अन्याय को रोकें : Rare Book : anitasharmapandey69@gmail.com : Recorded</v>
      </c>
      <c r="CF1240" s="1" t="str">
        <f ca="1">IFERROR(__xludf.DUMMYFUNCTION("""COMPUTED_VALUE"""),"#N/A")</f>
        <v>#N/A</v>
      </c>
      <c r="CG1240" s="1" t="str">
        <f ca="1">IFERROR(__xludf.DUMMYFUNCTION("""COMPUTED_VALUE"""),"Adarniya Anita Devi ji अनीति असुरता के अन्याय को रोकें : Rare Book : Allocated on 23-Dec-22 Contact Number  09631693161")</f>
        <v>Adarniya Anita Devi ji अनीति असुरता के अन्याय को रोकें : Rare Book : Allocated on 23-Dec-22 Contact Number  09631693161</v>
      </c>
      <c r="CH1240" s="1"/>
      <c r="CI1240" s="1"/>
    </row>
    <row r="1241" spans="1:87" x14ac:dyDescent="0.25">
      <c r="A1241" s="5">
        <f ca="1">IFERROR(__xludf.DUMMYFUNCTION("""COMPUTED_VALUE"""),44918.567697905)</f>
        <v>44918.567697904997</v>
      </c>
      <c r="B1241" s="1" t="str">
        <f ca="1">IFERROR(__xludf.DUMMYFUNCTION("""COMPUTED_VALUE"""),"anshu14.singh@yahoo.in")</f>
        <v>anshu14.singh@yahoo.in</v>
      </c>
      <c r="C1241" s="1" t="str">
        <f ca="1">IFERROR(__xludf.DUMMYFUNCTION("""COMPUTED_VALUE"""),"Anshu singh")</f>
        <v>Anshu singh</v>
      </c>
      <c r="D1241" s="1">
        <f ca="1">IFERROR(__xludf.DUMMYFUNCTION("""COMPUTED_VALUE"""),9977301575)</f>
        <v>9977301575</v>
      </c>
      <c r="E1241" s="1" t="str">
        <f ca="1">IFERROR(__xludf.DUMMYFUNCTION("""COMPUTED_VALUE"""),"Yes")</f>
        <v>Yes</v>
      </c>
      <c r="F1241" s="1" t="str">
        <f ca="1">IFERROR(__xludf.DUMMYFUNCTION("""COMPUTED_VALUE"""),"हिन्दी")</f>
        <v>हिन्दी</v>
      </c>
      <c r="G1241" s="1" t="str">
        <f ca="1">IFERROR(__xludf.DUMMYFUNCTION("""COMPUTED_VALUE"""),"अध्यात्म, धर्म एवं दर्शन")</f>
        <v>अध्यात्म, धर्म एवं दर्शन</v>
      </c>
      <c r="H1241" s="1" t="str">
        <f ca="1">IFERROR(__xludf.DUMMYFUNCTION("""COMPUTED_VALUE"""),"अध्यात्म, धर्म एवं आस्तिकता")</f>
        <v>अध्यात्म, धर्म एवं आस्तिकता</v>
      </c>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f ca="1">IFERROR(__xludf.DUMMYFUNCTION("""COMPUTED_VALUE"""),9)</f>
        <v>9</v>
      </c>
      <c r="BX1241" s="1">
        <f ca="1">IFERROR(__xludf.DUMMYFUNCTION("""COMPUTED_VALUE"""),5)</f>
        <v>5</v>
      </c>
      <c r="BY1241" s="1">
        <f ca="1">IFERROR(__xludf.DUMMYFUNCTION("""COMPUTED_VALUE"""),4)</f>
        <v>4</v>
      </c>
      <c r="BZ1241" s="1">
        <f ca="1">IFERROR(__xludf.DUMMYFUNCTION("""COMPUTED_VALUE"""),0)</f>
        <v>0</v>
      </c>
      <c r="CA1241" s="1" t="str">
        <f ca="1">IFERROR(__xludf.DUMMYFUNCTION("""COMPUTED_VALUE"""),"Yes")</f>
        <v>Yes</v>
      </c>
      <c r="CB1241" s="5">
        <f ca="1">IFERROR(__xludf.DUMMYFUNCTION("""COMPUTED_VALUE"""),44928.567697905)</f>
        <v>44928.567697904997</v>
      </c>
      <c r="CC1241" s="1" t="str">
        <f ca="1">IFERROR(__xludf.DUMMYFUNCTION("""COMPUTED_VALUE"""),"अध्यात्म उर्जा के प्रकटीकरण की साधना : Rare Book")</f>
        <v>अध्यात्म उर्जा के प्रकटीकरण की साधना : Rare Book</v>
      </c>
      <c r="CD1241" s="3" t="str">
        <f ca="1">IFERROR(__xludf.DUMMYFUNCTION("""COMPUTED_VALUE"""),"https://vicharkrantibooks.org/productdetail?book_name=HINP0020_ADHYATM_URJA_KE_PRAKATIKARAN_KI_SADHANA_xx1981&amp;product_id=585")</f>
        <v>https://vicharkrantibooks.org/productdetail?book_name=HINP0020_ADHYATM_URJA_KE_PRAKATIKARAN_KI_SADHANA_xx1981&amp;product_id=585</v>
      </c>
      <c r="CE1241" s="1" t="str">
        <f ca="1">IFERROR(__xludf.DUMMYFUNCTION("""COMPUTED_VALUE"""),"Audiobook : अध्यात्म उर्जा के प्रकटीकरण की साधना : Rare Book : anshu14.singh@yahoo.in : Recorded")</f>
        <v>Audiobook : अध्यात्म उर्जा के प्रकटीकरण की साधना : Rare Book : anshu14.singh@yahoo.in : Recorded</v>
      </c>
      <c r="CF1241" s="1" t="str">
        <f ca="1">IFERROR(__xludf.DUMMYFUNCTION("""COMPUTED_VALUE"""),"#N/A")</f>
        <v>#N/A</v>
      </c>
      <c r="CG1241" s="1" t="str">
        <f ca="1">IFERROR(__xludf.DUMMYFUNCTION("""COMPUTED_VALUE"""),"Adarniya Anshu singh ji अध्यात्म उर्जा के प्रकटीकरण की साधना : Rare Book : Allocated on 23-Dec-22 Contact Number  9977301575")</f>
        <v>Adarniya Anshu singh ji अध्यात्म उर्जा के प्रकटीकरण की साधना : Rare Book : Allocated on 23-Dec-22 Contact Number  9977301575</v>
      </c>
      <c r="CH1241" s="1"/>
      <c r="CI1241" s="1"/>
    </row>
    <row r="1242" spans="1:87" x14ac:dyDescent="0.25">
      <c r="A1242" s="5">
        <f ca="1">IFERROR(__xludf.DUMMYFUNCTION("""COMPUTED_VALUE"""),44918.5590236805)</f>
        <v>44918.5590236805</v>
      </c>
      <c r="B1242" s="1" t="str">
        <f ca="1">IFERROR(__xludf.DUMMYFUNCTION("""COMPUTED_VALUE"""),"kanademk1961@gmail.com")</f>
        <v>kanademk1961@gmail.com</v>
      </c>
      <c r="C1242" s="1" t="str">
        <f ca="1">IFERROR(__xludf.DUMMYFUNCTION("""COMPUTED_VALUE"""),"Mahesh Kanade")</f>
        <v>Mahesh Kanade</v>
      </c>
      <c r="D1242" s="1" t="str">
        <f ca="1">IFERROR(__xludf.DUMMYFUNCTION("""COMPUTED_VALUE"""),"+919425804905")</f>
        <v>+919425804905</v>
      </c>
      <c r="E1242" s="1" t="str">
        <f ca="1">IFERROR(__xludf.DUMMYFUNCTION("""COMPUTED_VALUE"""),"No")</f>
        <v>No</v>
      </c>
      <c r="F1242" s="1" t="str">
        <f ca="1">IFERROR(__xludf.DUMMYFUNCTION("""COMPUTED_VALUE"""),"हिन्दी")</f>
        <v>हिन्दी</v>
      </c>
      <c r="G1242" s="1" t="str">
        <f ca="1">IFERROR(__xludf.DUMMYFUNCTION("""COMPUTED_VALUE"""),"परिवार निर्माण")</f>
        <v>परिवार निर्माण</v>
      </c>
      <c r="H1242" s="1"/>
      <c r="I1242" s="1"/>
      <c r="J1242" s="1"/>
      <c r="K1242" s="1"/>
      <c r="L1242" s="1"/>
      <c r="M1242" s="1" t="str">
        <f ca="1">IFERROR(__xludf.DUMMYFUNCTION("""COMPUTED_VALUE"""),"बाल मनोविज्ञान")</f>
        <v>बाल मनोविज्ञान</v>
      </c>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f ca="1">IFERROR(__xludf.DUMMYFUNCTION("""COMPUTED_VALUE"""),1)</f>
        <v>1</v>
      </c>
      <c r="BX1242" s="1">
        <f ca="1">IFERROR(__xludf.DUMMYFUNCTION("""COMPUTED_VALUE"""),0)</f>
        <v>0</v>
      </c>
      <c r="BY1242" s="1">
        <f ca="1">IFERROR(__xludf.DUMMYFUNCTION("""COMPUTED_VALUE"""),0)</f>
        <v>0</v>
      </c>
      <c r="BZ1242" s="1">
        <f ca="1">IFERROR(__xludf.DUMMYFUNCTION("""COMPUTED_VALUE"""),0)</f>
        <v>0</v>
      </c>
      <c r="CA1242" s="1" t="str">
        <f ca="1">IFERROR(__xludf.DUMMYFUNCTION("""COMPUTED_VALUE"""),"Yes")</f>
        <v>Yes</v>
      </c>
      <c r="CB1242" s="5">
        <f ca="1">IFERROR(__xludf.DUMMYFUNCTION("""COMPUTED_VALUE"""),44928.5590236805)</f>
        <v>44928.5590236805</v>
      </c>
      <c r="CC1242" s="1" t="str">
        <f ca="1">IFERROR(__xludf.DUMMYFUNCTION("""COMPUTED_VALUE"""),"गृहस्थ एक तपोवन : H_VS_61")</f>
        <v>गृहस्थ एक तपोवन : H_VS_61</v>
      </c>
      <c r="CD1242" s="1" t="str">
        <f ca="1">IFERROR(__xludf.DUMMYFUNCTION("""COMPUTED_VALUE"""),"#N/A")</f>
        <v>#N/A</v>
      </c>
      <c r="CE1242" s="1" t="str">
        <f ca="1">IFERROR(__xludf.DUMMYFUNCTION("""COMPUTED_VALUE"""),"Audiobook : गृहस्थ एक तपोवन : H_VS_61 : kanademk1961@gmail.com : Recorded")</f>
        <v>Audiobook : गृहस्थ एक तपोवन : H_VS_61 : kanademk1961@gmail.com : Recorded</v>
      </c>
      <c r="CF1242" s="1" t="str">
        <f ca="1">IFERROR(__xludf.DUMMYFUNCTION("""COMPUTED_VALUE"""),"Do Not Follow Up")</f>
        <v>Do Not Follow Up</v>
      </c>
      <c r="CG1242" s="1" t="str">
        <f ca="1">IFERROR(__xludf.DUMMYFUNCTION("""COMPUTED_VALUE"""),"Adarniya Mahesh Kanade ji गृहस्थ एक तपोवन : H_VS_61 : Allocated on 23-Dec-22 Contact Number  +919425804905")</f>
        <v>Adarniya Mahesh Kanade ji गृहस्थ एक तपोवन : H_VS_61 : Allocated on 23-Dec-22 Contact Number  +919425804905</v>
      </c>
      <c r="CH1242" s="1"/>
      <c r="CI1242" s="1"/>
    </row>
    <row r="1243" spans="1:87" x14ac:dyDescent="0.25">
      <c r="A1243" s="5">
        <f ca="1">IFERROR(__xludf.DUMMYFUNCTION("""COMPUTED_VALUE"""),44918.5316457407)</f>
        <v>44918.531645740703</v>
      </c>
      <c r="B1243" s="1" t="str">
        <f ca="1">IFERROR(__xludf.DUMMYFUNCTION("""COMPUTED_VALUE"""),"lsmandloi08@gmail.com")</f>
        <v>lsmandloi08@gmail.com</v>
      </c>
      <c r="C1243" s="1" t="str">
        <f ca="1">IFERROR(__xludf.DUMMYFUNCTION("""COMPUTED_VALUE"""),"Lakhan Singh Mandloi")</f>
        <v>Lakhan Singh Mandloi</v>
      </c>
      <c r="D1243" s="1">
        <f ca="1">IFERROR(__xludf.DUMMYFUNCTION("""COMPUTED_VALUE"""),9827472234)</f>
        <v>9827472234</v>
      </c>
      <c r="E1243" s="1" t="str">
        <f ca="1">IFERROR(__xludf.DUMMYFUNCTION("""COMPUTED_VALUE"""),"No")</f>
        <v>No</v>
      </c>
      <c r="F1243" s="1" t="str">
        <f ca="1">IFERROR(__xludf.DUMMYFUNCTION("""COMPUTED_VALUE"""),"हिन्दी")</f>
        <v>हिन्दी</v>
      </c>
      <c r="G1243" s="1" t="str">
        <f ca="1">IFERROR(__xludf.DUMMYFUNCTION("""COMPUTED_VALUE"""),"अध्यात्म, धर्म एवं दर्शन")</f>
        <v>अध्यात्म, धर्म एवं दर्शन</v>
      </c>
      <c r="H1243" s="1" t="str">
        <f ca="1">IFERROR(__xludf.DUMMYFUNCTION("""COMPUTED_VALUE"""),"आत्मज्ञान एवं आत्मनिर्माण")</f>
        <v>आत्मज्ञान एवं आत्मनिर्माण</v>
      </c>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f ca="1">IFERROR(__xludf.DUMMYFUNCTION("""COMPUTED_VALUE"""),1)</f>
        <v>1</v>
      </c>
      <c r="BX1243" s="1">
        <f ca="1">IFERROR(__xludf.DUMMYFUNCTION("""COMPUTED_VALUE"""),0)</f>
        <v>0</v>
      </c>
      <c r="BY1243" s="1">
        <f ca="1">IFERROR(__xludf.DUMMYFUNCTION("""COMPUTED_VALUE"""),0)</f>
        <v>0</v>
      </c>
      <c r="BZ1243" s="1">
        <f ca="1">IFERROR(__xludf.DUMMYFUNCTION("""COMPUTED_VALUE"""),0)</f>
        <v>0</v>
      </c>
      <c r="CA1243" s="1" t="str">
        <f ca="1">IFERROR(__xludf.DUMMYFUNCTION("""COMPUTED_VALUE"""),"Yes")</f>
        <v>Yes</v>
      </c>
      <c r="CB1243" s="5">
        <f ca="1">IFERROR(__xludf.DUMMYFUNCTION("""COMPUTED_VALUE"""),44928.5316457407)</f>
        <v>44928.531645740703</v>
      </c>
      <c r="CC1243" s="1" t="str">
        <f ca="1">IFERROR(__xludf.DUMMYFUNCTION("""COMPUTED_VALUE"""),"आत्मोत्कर्ष का आधार ज्ञान : H_VS_58")</f>
        <v>आत्मोत्कर्ष का आधार ज्ञान : H_VS_58</v>
      </c>
      <c r="CD1243" s="1" t="str">
        <f ca="1">IFERROR(__xludf.DUMMYFUNCTION("""COMPUTED_VALUE"""),"#N/A")</f>
        <v>#N/A</v>
      </c>
      <c r="CE1243" s="1" t="str">
        <f ca="1">IFERROR(__xludf.DUMMYFUNCTION("""COMPUTED_VALUE"""),"Audiobook : आत्मोत्कर्ष का आधार ज्ञान : H_VS_58 : lsmandloi08@gmail.com : Recorded")</f>
        <v>Audiobook : आत्मोत्कर्ष का आधार ज्ञान : H_VS_58 : lsmandloi08@gmail.com : Recorded</v>
      </c>
      <c r="CF1243" s="1" t="str">
        <f ca="1">IFERROR(__xludf.DUMMYFUNCTION("""COMPUTED_VALUE"""),"Do Not Follow Up")</f>
        <v>Do Not Follow Up</v>
      </c>
      <c r="CG1243" s="1" t="str">
        <f ca="1">IFERROR(__xludf.DUMMYFUNCTION("""COMPUTED_VALUE"""),"Adarniya Lakhan Singh Mandloi ji आत्मोत्कर्ष का आधार ज्ञान : H_VS_58 : Allocated on 23-Dec-22 Contact Number  9827472234")</f>
        <v>Adarniya Lakhan Singh Mandloi ji आत्मोत्कर्ष का आधार ज्ञान : H_VS_58 : Allocated on 23-Dec-22 Contact Number  9827472234</v>
      </c>
      <c r="CH1243" s="1"/>
      <c r="CI1243" s="1"/>
    </row>
    <row r="1244" spans="1:87" x14ac:dyDescent="0.25">
      <c r="A1244" s="5">
        <f ca="1">IFERROR(__xludf.DUMMYFUNCTION("""COMPUTED_VALUE"""),44918.4884270486)</f>
        <v>44918.4884270486</v>
      </c>
      <c r="B1244" s="1" t="str">
        <f ca="1">IFERROR(__xludf.DUMMYFUNCTION("""COMPUTED_VALUE"""),"binitathakur1005@gmail.com")</f>
        <v>binitathakur1005@gmail.com</v>
      </c>
      <c r="C1244" s="1" t="str">
        <f ca="1">IFERROR(__xludf.DUMMYFUNCTION("""COMPUTED_VALUE"""),"Binita Thakur")</f>
        <v>Binita Thakur</v>
      </c>
      <c r="D1244" s="1">
        <f ca="1">IFERROR(__xludf.DUMMYFUNCTION("""COMPUTED_VALUE"""),9939304105)</f>
        <v>9939304105</v>
      </c>
      <c r="E1244" s="1" t="str">
        <f ca="1">IFERROR(__xludf.DUMMYFUNCTION("""COMPUTED_VALUE"""),"Yes")</f>
        <v>Yes</v>
      </c>
      <c r="F1244" s="1"/>
      <c r="G1244" s="1" t="str">
        <f ca="1">IFERROR(__xludf.DUMMYFUNCTION("""COMPUTED_VALUE"""),"अध्यात्म, धर्म एवं दर्शन")</f>
        <v>अध्यात्म, धर्म एवं दर्शन</v>
      </c>
      <c r="H1244" s="1" t="str">
        <f ca="1">IFERROR(__xludf.DUMMYFUNCTION("""COMPUTED_VALUE"""),"अध्यात्म, धर्म एवं आस्तिकता")</f>
        <v>अध्यात्म, धर्म एवं आस्तिकता</v>
      </c>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f ca="1">IFERROR(__xludf.DUMMYFUNCTION("""COMPUTED_VALUE"""),5)</f>
        <v>5</v>
      </c>
      <c r="BX1244" s="1">
        <f ca="1">IFERROR(__xludf.DUMMYFUNCTION("""COMPUTED_VALUE"""),3)</f>
        <v>3</v>
      </c>
      <c r="BY1244" s="1">
        <f ca="1">IFERROR(__xludf.DUMMYFUNCTION("""COMPUTED_VALUE"""),1)</f>
        <v>1</v>
      </c>
      <c r="BZ1244" s="1">
        <f ca="1">IFERROR(__xludf.DUMMYFUNCTION("""COMPUTED_VALUE"""),1)</f>
        <v>1</v>
      </c>
      <c r="CA1244" s="1" t="str">
        <f ca="1">IFERROR(__xludf.DUMMYFUNCTION("""COMPUTED_VALUE"""),"Yes")</f>
        <v>Yes</v>
      </c>
      <c r="CB1244" s="5">
        <f ca="1">IFERROR(__xludf.DUMMYFUNCTION("""COMPUTED_VALUE"""),44928.4884270486)</f>
        <v>44928.4884270486</v>
      </c>
      <c r="CC1244" s="1" t="str">
        <f ca="1">IFERROR(__xludf.DUMMYFUNCTION("""COMPUTED_VALUE"""),"आत्मोत्कर्ष का आधार ज्ञान : H_VS_58")</f>
        <v>आत्मोत्कर्ष का आधार ज्ञान : H_VS_58</v>
      </c>
      <c r="CD1244" s="1" t="str">
        <f ca="1">IFERROR(__xludf.DUMMYFUNCTION("""COMPUTED_VALUE"""),"#N/A")</f>
        <v>#N/A</v>
      </c>
      <c r="CE1244" s="1" t="str">
        <f ca="1">IFERROR(__xludf.DUMMYFUNCTION("""COMPUTED_VALUE"""),"Audiobook : आत्मोत्कर्ष का आधार ज्ञान : H_VS_58 : binitathakur1005@gmail.com : Recorded")</f>
        <v>Audiobook : आत्मोत्कर्ष का आधार ज्ञान : H_VS_58 : binitathakur1005@gmail.com : Recorded</v>
      </c>
      <c r="CF1244" s="1" t="str">
        <f ca="1">IFERROR(__xludf.DUMMYFUNCTION("""COMPUTED_VALUE"""),"Do Not Follow Up")</f>
        <v>Do Not Follow Up</v>
      </c>
      <c r="CG1244" s="1" t="str">
        <f ca="1">IFERROR(__xludf.DUMMYFUNCTION("""COMPUTED_VALUE"""),"Adarniya Binita Thakur ji आत्मोत्कर्ष का आधार ज्ञान : H_VS_58 : Allocated on 23-Dec-22 Contact Number  9939304105")</f>
        <v>Adarniya Binita Thakur ji आत्मोत्कर्ष का आधार ज्ञान : H_VS_58 : Allocated on 23-Dec-22 Contact Number  9939304105</v>
      </c>
      <c r="CH1244" s="1"/>
      <c r="CI1244" s="1"/>
    </row>
    <row r="1245" spans="1:87" x14ac:dyDescent="0.25">
      <c r="A1245" s="5">
        <f ca="1">IFERROR(__xludf.DUMMYFUNCTION("""COMPUTED_VALUE"""),44918.4849404976)</f>
        <v>44918.484940497598</v>
      </c>
      <c r="B1245" s="1" t="str">
        <f ca="1">IFERROR(__xludf.DUMMYFUNCTION("""COMPUTED_VALUE"""),"modhshivji@gmail.com")</f>
        <v>modhshivji@gmail.com</v>
      </c>
      <c r="C1245" s="1" t="str">
        <f ca="1">IFERROR(__xludf.DUMMYFUNCTION("""COMPUTED_VALUE"""),"Shivjibhai  R.modh ")</f>
        <v xml:space="preserve">Shivjibhai  R.modh </v>
      </c>
      <c r="D1245" s="1" t="str">
        <f ca="1">IFERROR(__xludf.DUMMYFUNCTION("""COMPUTED_VALUE"""),"99794 92806 ")</f>
        <v xml:space="preserve">99794 92806 </v>
      </c>
      <c r="E1245" s="1" t="str">
        <f ca="1">IFERROR(__xludf.DUMMYFUNCTION("""COMPUTED_VALUE"""),"Yes")</f>
        <v>Yes</v>
      </c>
      <c r="F1245" s="1" t="str">
        <f ca="1">IFERROR(__xludf.DUMMYFUNCTION("""COMPUTED_VALUE"""),"हिन्दी or English")</f>
        <v>हिन्दी or English</v>
      </c>
      <c r="G1245" s="1" t="str">
        <f ca="1">IFERROR(__xludf.DUMMYFUNCTION("""COMPUTED_VALUE"""),"गायत्री परिवार")</f>
        <v>गायत्री परिवार</v>
      </c>
      <c r="H1245" s="1"/>
      <c r="I1245" s="1"/>
      <c r="J1245" s="1" t="str">
        <f ca="1">IFERROR(__xludf.DUMMYFUNCTION("""COMPUTED_VALUE"""),"सृजन शिल्पियों की योजनाबद्ध कार्य पद्धति")</f>
        <v>सृजन शिल्पियों की योजनाबद्ध कार्य पद्धति</v>
      </c>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f ca="1">IFERROR(__xludf.DUMMYFUNCTION("""COMPUTED_VALUE"""),1)</f>
        <v>1</v>
      </c>
      <c r="BX1245" s="1">
        <f ca="1">IFERROR(__xludf.DUMMYFUNCTION("""COMPUTED_VALUE"""),0)</f>
        <v>0</v>
      </c>
      <c r="BY1245" s="1">
        <f ca="1">IFERROR(__xludf.DUMMYFUNCTION("""COMPUTED_VALUE"""),0)</f>
        <v>0</v>
      </c>
      <c r="BZ1245" s="1">
        <f ca="1">IFERROR(__xludf.DUMMYFUNCTION("""COMPUTED_VALUE"""),0)</f>
        <v>0</v>
      </c>
      <c r="CA1245" s="1" t="str">
        <f ca="1">IFERROR(__xludf.DUMMYFUNCTION("""COMPUTED_VALUE"""),"Yes")</f>
        <v>Yes</v>
      </c>
      <c r="CB1245" s="5">
        <f ca="1">IFERROR(__xludf.DUMMYFUNCTION("""COMPUTED_VALUE"""),44928.4849404976)</f>
        <v>44928.484940497598</v>
      </c>
      <c r="CC1245" s="1" t="str">
        <f ca="1">IFERROR(__xludf.DUMMYFUNCTION("""COMPUTED_VALUE"""),"युग ऋषि के चिंतन को घर घर पहुँचाएँ : Rare Book")</f>
        <v>युग ऋषि के चिंतन को घर घर पहुँचाएँ : Rare Book</v>
      </c>
      <c r="CD1245" s="1" t="str">
        <f ca="1">IFERROR(__xludf.DUMMYFUNCTION("""COMPUTED_VALUE"""),"#N/A")</f>
        <v>#N/A</v>
      </c>
      <c r="CE1245" s="1" t="str">
        <f ca="1">IFERROR(__xludf.DUMMYFUNCTION("""COMPUTED_VALUE"""),"Audiobook : युग ऋषि के चिंतन को घर घर पहुँचाएँ : Rare Book : modhshivji@gmail.com : Recorded")</f>
        <v>Audiobook : युग ऋषि के चिंतन को घर घर पहुँचाएँ : Rare Book : modhshivji@gmail.com : Recorded</v>
      </c>
      <c r="CF1245" s="1" t="str">
        <f ca="1">IFERROR(__xludf.DUMMYFUNCTION("""COMPUTED_VALUE"""),"Do Not Follow Up")</f>
        <v>Do Not Follow Up</v>
      </c>
      <c r="CG1245" s="1" t="str">
        <f ca="1">IFERROR(__xludf.DUMMYFUNCTION("""COMPUTED_VALUE"""),"Adarniya Shivjibhai  R.modh  ji युग ऋषि के चिंतन को घर घर पहुँचाएँ : Rare Book : Allocated on 23-Dec-22 Contact Number  99794 92806 ")</f>
        <v xml:space="preserve">Adarniya Shivjibhai  R.modh  ji युग ऋषि के चिंतन को घर घर पहुँचाएँ : Rare Book : Allocated on 23-Dec-22 Contact Number  99794 92806 </v>
      </c>
      <c r="CH1245" s="1"/>
      <c r="CI1245" s="1"/>
    </row>
    <row r="1246" spans="1:87" x14ac:dyDescent="0.25">
      <c r="A1246" s="5">
        <f ca="1">IFERROR(__xludf.DUMMYFUNCTION("""COMPUTED_VALUE"""),44918.4019512152)</f>
        <v>44918.401951215201</v>
      </c>
      <c r="B1246" s="1" t="str">
        <f ca="1">IFERROR(__xludf.DUMMYFUNCTION("""COMPUTED_VALUE"""),"bhagirathcam@gmail.com")</f>
        <v>bhagirathcam@gmail.com</v>
      </c>
      <c r="C1246" s="1" t="str">
        <f ca="1">IFERROR(__xludf.DUMMYFUNCTION("""COMPUTED_VALUE"""),"Bhagirath Gohil")</f>
        <v>Bhagirath Gohil</v>
      </c>
      <c r="D1246" s="1" t="str">
        <f ca="1">IFERROR(__xludf.DUMMYFUNCTION("""COMPUTED_VALUE"""),"+917405751599")</f>
        <v>+917405751599</v>
      </c>
      <c r="E1246" s="1" t="str">
        <f ca="1">IFERROR(__xludf.DUMMYFUNCTION("""COMPUTED_VALUE"""),"No")</f>
        <v>No</v>
      </c>
      <c r="F1246" s="1" t="str">
        <f ca="1">IFERROR(__xludf.DUMMYFUNCTION("""COMPUTED_VALUE"""),"हिन्दी or English")</f>
        <v>हिन्दी or English</v>
      </c>
      <c r="G1246" s="1" t="str">
        <f ca="1">IFERROR(__xludf.DUMMYFUNCTION("""COMPUTED_VALUE"""),"परिवार निर्माण")</f>
        <v>परिवार निर्माण</v>
      </c>
      <c r="H1246" s="1"/>
      <c r="I1246" s="1"/>
      <c r="J1246" s="1"/>
      <c r="K1246" s="1"/>
      <c r="L1246" s="1"/>
      <c r="M1246" s="1" t="str">
        <f ca="1">IFERROR(__xludf.DUMMYFUNCTION("""COMPUTED_VALUE"""),"परिवार")</f>
        <v>परिवार</v>
      </c>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f ca="1">IFERROR(__xludf.DUMMYFUNCTION("""COMPUTED_VALUE"""),2)</f>
        <v>2</v>
      </c>
      <c r="BX1246" s="1">
        <f ca="1">IFERROR(__xludf.DUMMYFUNCTION("""COMPUTED_VALUE"""),1)</f>
        <v>1</v>
      </c>
      <c r="BY1246" s="1">
        <f ca="1">IFERROR(__xludf.DUMMYFUNCTION("""COMPUTED_VALUE"""),0)</f>
        <v>0</v>
      </c>
      <c r="BZ1246" s="1">
        <f ca="1">IFERROR(__xludf.DUMMYFUNCTION("""COMPUTED_VALUE"""),0)</f>
        <v>0</v>
      </c>
      <c r="CA1246" s="1" t="str">
        <f ca="1">IFERROR(__xludf.DUMMYFUNCTION("""COMPUTED_VALUE"""),"Yes")</f>
        <v>Yes</v>
      </c>
      <c r="CB1246" s="5">
        <f ca="1">IFERROR(__xludf.DUMMYFUNCTION("""COMPUTED_VALUE"""),44928.4019512152)</f>
        <v>44928.401951215201</v>
      </c>
      <c r="CC1246" s="1" t="str">
        <f ca="1">IFERROR(__xludf.DUMMYFUNCTION("""COMPUTED_VALUE"""),"गृहस्थ एक तपोवन : H_VS_61")</f>
        <v>गृहस्थ एक तपोवन : H_VS_61</v>
      </c>
      <c r="CD1246" s="1" t="str">
        <f ca="1">IFERROR(__xludf.DUMMYFUNCTION("""COMPUTED_VALUE"""),"#N/A")</f>
        <v>#N/A</v>
      </c>
      <c r="CE1246" s="1" t="str">
        <f ca="1">IFERROR(__xludf.DUMMYFUNCTION("""COMPUTED_VALUE"""),"Audiobook : गृहस्थ एक तपोवन : H_VS_61 : bhagirathcam@gmail.com : Recorded")</f>
        <v>Audiobook : गृहस्थ एक तपोवन : H_VS_61 : bhagirathcam@gmail.com : Recorded</v>
      </c>
      <c r="CF1246" s="1" t="str">
        <f ca="1">IFERROR(__xludf.DUMMYFUNCTION("""COMPUTED_VALUE"""),"Do Not Follow Up")</f>
        <v>Do Not Follow Up</v>
      </c>
      <c r="CG1246" s="1" t="str">
        <f ca="1">IFERROR(__xludf.DUMMYFUNCTION("""COMPUTED_VALUE"""),"Adarniya Bhagirath Gohil ji गृहस्थ एक तपोवन : H_VS_61 : Allocated on 23-Dec-22 Contact Number  +917405751599")</f>
        <v>Adarniya Bhagirath Gohil ji गृहस्थ एक तपोवन : H_VS_61 : Allocated on 23-Dec-22 Contact Number  +917405751599</v>
      </c>
      <c r="CH1246" s="1"/>
      <c r="CI1246" s="1"/>
    </row>
    <row r="1247" spans="1:87" x14ac:dyDescent="0.25">
      <c r="A1247" s="5">
        <f ca="1">IFERROR(__xludf.DUMMYFUNCTION("""COMPUTED_VALUE"""),44918.4014222685)</f>
        <v>44918.4014222685</v>
      </c>
      <c r="B1247" s="1" t="str">
        <f ca="1">IFERROR(__xludf.DUMMYFUNCTION("""COMPUTED_VALUE"""),"bhagirathcam@gmail.com")</f>
        <v>bhagirathcam@gmail.com</v>
      </c>
      <c r="C1247" s="1" t="str">
        <f ca="1">IFERROR(__xludf.DUMMYFUNCTION("""COMPUTED_VALUE"""),"Bhagirath Gohil")</f>
        <v>Bhagirath Gohil</v>
      </c>
      <c r="D1247" s="1" t="str">
        <f ca="1">IFERROR(__xludf.DUMMYFUNCTION("""COMPUTED_VALUE"""),"+917405751599")</f>
        <v>+917405751599</v>
      </c>
      <c r="E1247" s="1" t="str">
        <f ca="1">IFERROR(__xludf.DUMMYFUNCTION("""COMPUTED_VALUE"""),"No")</f>
        <v>No</v>
      </c>
      <c r="F1247" s="1" t="str">
        <f ca="1">IFERROR(__xludf.DUMMYFUNCTION("""COMPUTED_VALUE"""),"हिन्दी or English")</f>
        <v>हिन्दी or English</v>
      </c>
      <c r="G1247" s="1" t="str">
        <f ca="1">IFERROR(__xludf.DUMMYFUNCTION("""COMPUTED_VALUE"""),"परिवार निर्माण")</f>
        <v>परिवार निर्माण</v>
      </c>
      <c r="H1247" s="1"/>
      <c r="I1247" s="1"/>
      <c r="J1247" s="1"/>
      <c r="K1247" s="1"/>
      <c r="L1247" s="1"/>
      <c r="M1247" s="1" t="str">
        <f ca="1">IFERROR(__xludf.DUMMYFUNCTION("""COMPUTED_VALUE"""),"बाल मनोविज्ञान")</f>
        <v>बाल मनोविज्ञान</v>
      </c>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f ca="1">IFERROR(__xludf.DUMMYFUNCTION("""COMPUTED_VALUE"""),2)</f>
        <v>2</v>
      </c>
      <c r="BX1247" s="1">
        <f ca="1">IFERROR(__xludf.DUMMYFUNCTION("""COMPUTED_VALUE"""),1)</f>
        <v>1</v>
      </c>
      <c r="BY1247" s="1">
        <f ca="1">IFERROR(__xludf.DUMMYFUNCTION("""COMPUTED_VALUE"""),0)</f>
        <v>0</v>
      </c>
      <c r="BZ1247" s="1">
        <f ca="1">IFERROR(__xludf.DUMMYFUNCTION("""COMPUTED_VALUE"""),0)</f>
        <v>0</v>
      </c>
      <c r="CA1247" s="1" t="str">
        <f ca="1">IFERROR(__xludf.DUMMYFUNCTION("""COMPUTED_VALUE"""),"Yes")</f>
        <v>Yes</v>
      </c>
      <c r="CB1247" s="5">
        <f ca="1">IFERROR(__xludf.DUMMYFUNCTION("""COMPUTED_VALUE"""),44928.4014222685)</f>
        <v>44928.4014222685</v>
      </c>
      <c r="CC1247" s="1" t="str">
        <f ca="1">IFERROR(__xludf.DUMMYFUNCTION("""COMPUTED_VALUE"""),"गृहस्थ एक तपोवन : H_VS_61")</f>
        <v>गृहस्थ एक तपोवन : H_VS_61</v>
      </c>
      <c r="CD1247" s="1" t="str">
        <f ca="1">IFERROR(__xludf.DUMMYFUNCTION("""COMPUTED_VALUE"""),"#N/A")</f>
        <v>#N/A</v>
      </c>
      <c r="CE1247" s="1" t="str">
        <f ca="1">IFERROR(__xludf.DUMMYFUNCTION("""COMPUTED_VALUE"""),"Audiobook : गृहस्थ एक तपोवन : H_VS_61 : bhagirathcam@gmail.com : Recorded")</f>
        <v>Audiobook : गृहस्थ एक तपोवन : H_VS_61 : bhagirathcam@gmail.com : Recorded</v>
      </c>
      <c r="CF1247" s="1" t="str">
        <f ca="1">IFERROR(__xludf.DUMMYFUNCTION("""COMPUTED_VALUE"""),"Do Not Follow Up")</f>
        <v>Do Not Follow Up</v>
      </c>
      <c r="CG1247" s="1" t="str">
        <f ca="1">IFERROR(__xludf.DUMMYFUNCTION("""COMPUTED_VALUE"""),"Adarniya Bhagirath Gohil ji गृहस्थ एक तपोवन : H_VS_61 : Allocated on 23-Dec-22 Contact Number  +917405751599")</f>
        <v>Adarniya Bhagirath Gohil ji गृहस्थ एक तपोवन : H_VS_61 : Allocated on 23-Dec-22 Contact Number  +917405751599</v>
      </c>
      <c r="CH1247" s="1"/>
      <c r="CI1247" s="1"/>
    </row>
    <row r="1248" spans="1:87" x14ac:dyDescent="0.25">
      <c r="A1248" s="5">
        <f ca="1">IFERROR(__xludf.DUMMYFUNCTION("""COMPUTED_VALUE"""),44917.7988162963)</f>
        <v>44917.798816296301</v>
      </c>
      <c r="B1248" s="1" t="str">
        <f ca="1">IFERROR(__xludf.DUMMYFUNCTION("""COMPUTED_VALUE"""),"divyabhatnagar73@gmail.com")</f>
        <v>divyabhatnagar73@gmail.com</v>
      </c>
      <c r="C1248" s="1" t="str">
        <f ca="1">IFERROR(__xludf.DUMMYFUNCTION("""COMPUTED_VALUE"""),"Divya Bhatnagar")</f>
        <v>Divya Bhatnagar</v>
      </c>
      <c r="D1248" s="1" t="str">
        <f ca="1">IFERROR(__xludf.DUMMYFUNCTION("""COMPUTED_VALUE"""),"09672806579")</f>
        <v>09672806579</v>
      </c>
      <c r="E1248" s="1" t="str">
        <f ca="1">IFERROR(__xludf.DUMMYFUNCTION("""COMPUTED_VALUE"""),"Yes")</f>
        <v>Yes</v>
      </c>
      <c r="F1248" s="1" t="str">
        <f ca="1">IFERROR(__xludf.DUMMYFUNCTION("""COMPUTED_VALUE"""),"English")</f>
        <v>English</v>
      </c>
      <c r="G1248" s="1" t="str">
        <f ca="1">IFERROR(__xludf.DUMMYFUNCTION("""COMPUTED_VALUE"""),"English")</f>
        <v>English</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f ca="1">IFERROR(__xludf.DUMMYFUNCTION("""COMPUTED_VALUE"""),12)</f>
        <v>12</v>
      </c>
      <c r="BX1248" s="1">
        <f ca="1">IFERROR(__xludf.DUMMYFUNCTION("""COMPUTED_VALUE"""),6)</f>
        <v>6</v>
      </c>
      <c r="BY1248" s="1">
        <f ca="1">IFERROR(__xludf.DUMMYFUNCTION("""COMPUTED_VALUE"""),7)</f>
        <v>7</v>
      </c>
      <c r="BZ1248" s="1">
        <f ca="1">IFERROR(__xludf.DUMMYFUNCTION("""COMPUTED_VALUE"""),1)</f>
        <v>1</v>
      </c>
      <c r="CA1248" s="1" t="str">
        <f ca="1">IFERROR(__xludf.DUMMYFUNCTION("""COMPUTED_VALUE"""),"Yes")</f>
        <v>Yes</v>
      </c>
      <c r="CB1248" s="5">
        <f ca="1">IFERROR(__xludf.DUMMYFUNCTION("""COMPUTED_VALUE"""),44927.7988162963)</f>
        <v>44927.798816296301</v>
      </c>
      <c r="CC1248" s="1" t="str">
        <f ca="1">IFERROR(__xludf.DUMMYFUNCTION("""COMPUTED_VALUE"""),"Bhagwan Buddha : EPB_139")</f>
        <v>Bhagwan Buddha : EPB_139</v>
      </c>
      <c r="CD1248" s="1" t="str">
        <f ca="1">IFERROR(__xludf.DUMMYFUNCTION("""COMPUTED_VALUE"""),"#N/A")</f>
        <v>#N/A</v>
      </c>
      <c r="CE1248" s="1" t="str">
        <f ca="1">IFERROR(__xludf.DUMMYFUNCTION("""COMPUTED_VALUE"""),"Audiobook : Bhagwan Buddha : EPB_139 : divyabhatnagar73@gmail.com : Recorded")</f>
        <v>Audiobook : Bhagwan Buddha : EPB_139 : divyabhatnagar73@gmail.com : Recorded</v>
      </c>
      <c r="CF1248" s="1" t="str">
        <f ca="1">IFERROR(__xludf.DUMMYFUNCTION("""COMPUTED_VALUE"""),"Do Not Follow Up")</f>
        <v>Do Not Follow Up</v>
      </c>
      <c r="CG1248" s="1" t="str">
        <f ca="1">IFERROR(__xludf.DUMMYFUNCTION("""COMPUTED_VALUE"""),"Adarniya Divya Bhatnagar ji Bhagwan Buddha : EPB_139 : Allocated on 22-Dec-22 Contact Number  09672806579")</f>
        <v>Adarniya Divya Bhatnagar ji Bhagwan Buddha : EPB_139 : Allocated on 22-Dec-22 Contact Number  09672806579</v>
      </c>
      <c r="CH1248" s="1"/>
      <c r="CI1248" s="1"/>
    </row>
    <row r="1249" spans="1:87" x14ac:dyDescent="0.25">
      <c r="A1249" s="5">
        <f ca="1">IFERROR(__xludf.DUMMYFUNCTION("""COMPUTED_VALUE"""),44917.4048663541)</f>
        <v>44917.404866354103</v>
      </c>
      <c r="B1249" s="1" t="str">
        <f ca="1">IFERROR(__xludf.DUMMYFUNCTION("""COMPUTED_VALUE"""),"jamunashukla17@gmail.com")</f>
        <v>jamunashukla17@gmail.com</v>
      </c>
      <c r="C1249" s="1" t="str">
        <f ca="1">IFERROR(__xludf.DUMMYFUNCTION("""COMPUTED_VALUE"""),"Smt Jamuna S Shukla ")</f>
        <v xml:space="preserve">Smt Jamuna S Shukla </v>
      </c>
      <c r="D1249" s="1" t="str">
        <f ca="1">IFERROR(__xludf.DUMMYFUNCTION("""COMPUTED_VALUE"""),"+918390353167")</f>
        <v>+918390353167</v>
      </c>
      <c r="E1249" s="1" t="str">
        <f ca="1">IFERROR(__xludf.DUMMYFUNCTION("""COMPUTED_VALUE"""),"Yes")</f>
        <v>Yes</v>
      </c>
      <c r="F1249" s="1" t="str">
        <f ca="1">IFERROR(__xludf.DUMMYFUNCTION("""COMPUTED_VALUE"""),"हिन्दी")</f>
        <v>हिन्दी</v>
      </c>
      <c r="G1249" s="1" t="str">
        <f ca="1">IFERROR(__xludf.DUMMYFUNCTION("""COMPUTED_VALUE"""),"अध्यात्म, धर्म एवं दर्शन")</f>
        <v>अध्यात्म, धर्म एवं दर्शन</v>
      </c>
      <c r="H1249" s="1" t="str">
        <f ca="1">IFERROR(__xludf.DUMMYFUNCTION("""COMPUTED_VALUE"""),"उपासना")</f>
        <v>उपासना</v>
      </c>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f ca="1">IFERROR(__xludf.DUMMYFUNCTION("""COMPUTED_VALUE"""),53)</f>
        <v>53</v>
      </c>
      <c r="BX1249" s="1">
        <f ca="1">IFERROR(__xludf.DUMMYFUNCTION("""COMPUTED_VALUE"""),53)</f>
        <v>53</v>
      </c>
      <c r="BY1249" s="1">
        <f ca="1">IFERROR(__xludf.DUMMYFUNCTION("""COMPUTED_VALUE"""),9)</f>
        <v>9</v>
      </c>
      <c r="BZ1249" s="1">
        <f ca="1">IFERROR(__xludf.DUMMYFUNCTION("""COMPUTED_VALUE"""),25)</f>
        <v>25</v>
      </c>
      <c r="CA1249" s="1" t="str">
        <f ca="1">IFERROR(__xludf.DUMMYFUNCTION("""COMPUTED_VALUE"""),"Yes")</f>
        <v>Yes</v>
      </c>
      <c r="CB1249" s="5">
        <f ca="1">IFERROR(__xludf.DUMMYFUNCTION("""COMPUTED_VALUE"""),44927.4048663541)</f>
        <v>44927.404866354103</v>
      </c>
      <c r="CC1249" s="1" t="str">
        <f ca="1">IFERROR(__xludf.DUMMYFUNCTION("""COMPUTED_VALUE"""),"आत्मोत्कर्ष का आधार ज्ञान : H_VS_58")</f>
        <v>आत्मोत्कर्ष का आधार ज्ञान : H_VS_58</v>
      </c>
      <c r="CD1249" s="1" t="str">
        <f ca="1">IFERROR(__xludf.DUMMYFUNCTION("""COMPUTED_VALUE"""),"#N/A")</f>
        <v>#N/A</v>
      </c>
      <c r="CE1249" s="1" t="str">
        <f ca="1">IFERROR(__xludf.DUMMYFUNCTION("""COMPUTED_VALUE"""),"Audiobook : आत्मोत्कर्ष का आधार ज्ञान : H_VS_58 : jamunashukla17@gmail.com : Recorded")</f>
        <v>Audiobook : आत्मोत्कर्ष का आधार ज्ञान : H_VS_58 : jamunashukla17@gmail.com : Recorded</v>
      </c>
      <c r="CF1249" s="1" t="str">
        <f ca="1">IFERROR(__xludf.DUMMYFUNCTION("""COMPUTED_VALUE"""),"Do Not Follow Up")</f>
        <v>Do Not Follow Up</v>
      </c>
      <c r="CG1249" s="1" t="str">
        <f ca="1">IFERROR(__xludf.DUMMYFUNCTION("""COMPUTED_VALUE"""),"Adarniya Smt Jamuna S Shukla  ji आत्मोत्कर्ष का आधार ज्ञान : H_VS_58 : Allocated on 22-Dec-22 Contact Number  +918390353167")</f>
        <v>Adarniya Smt Jamuna S Shukla  ji आत्मोत्कर्ष का आधार ज्ञान : H_VS_58 : Allocated on 22-Dec-22 Contact Number  +918390353167</v>
      </c>
      <c r="CH1249" s="1"/>
      <c r="CI1249" s="1"/>
    </row>
    <row r="1250" spans="1:87" x14ac:dyDescent="0.25">
      <c r="A1250" s="5">
        <f ca="1">IFERROR(__xludf.DUMMYFUNCTION("""COMPUTED_VALUE"""),44916.8376813541)</f>
        <v>44916.837681354104</v>
      </c>
      <c r="B1250" s="1" t="str">
        <f ca="1">IFERROR(__xludf.DUMMYFUNCTION("""COMPUTED_VALUE"""),"druma4107@gmail.com")</f>
        <v>druma4107@gmail.com</v>
      </c>
      <c r="C1250" s="1" t="str">
        <f ca="1">IFERROR(__xludf.DUMMYFUNCTION("""COMPUTED_VALUE"""),"Dr Uma Agarwal ")</f>
        <v xml:space="preserve">Dr Uma Agarwal </v>
      </c>
      <c r="D1250" s="1">
        <f ca="1">IFERROR(__xludf.DUMMYFUNCTION("""COMPUTED_VALUE"""),9410861182)</f>
        <v>9410861182</v>
      </c>
      <c r="E1250" s="1" t="str">
        <f ca="1">IFERROR(__xludf.DUMMYFUNCTION("""COMPUTED_VALUE"""),"Yes")</f>
        <v>Yes</v>
      </c>
      <c r="F1250" s="1" t="str">
        <f ca="1">IFERROR(__xludf.DUMMYFUNCTION("""COMPUTED_VALUE"""),"हिन्दी")</f>
        <v>हिन्दी</v>
      </c>
      <c r="G1250" s="1" t="str">
        <f ca="1">IFERROR(__xludf.DUMMYFUNCTION("""COMPUTED_VALUE"""),"अध्यात्म, धर्म एवं दर्शन")</f>
        <v>अध्यात्म, धर्म एवं दर्शन</v>
      </c>
      <c r="H1250" s="1" t="str">
        <f ca="1">IFERROR(__xludf.DUMMYFUNCTION("""COMPUTED_VALUE"""),"अध्यात्म, धर्म एवं आस्तिकता")</f>
        <v>अध्यात्म, धर्म एवं आस्तिकता</v>
      </c>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f ca="1">IFERROR(__xludf.DUMMYFUNCTION("""COMPUTED_VALUE"""),104)</f>
        <v>104</v>
      </c>
      <c r="BX1250" s="1">
        <f ca="1">IFERROR(__xludf.DUMMYFUNCTION("""COMPUTED_VALUE"""),106)</f>
        <v>106</v>
      </c>
      <c r="BY1250" s="1">
        <f ca="1">IFERROR(__xludf.DUMMYFUNCTION("""COMPUTED_VALUE"""),9)</f>
        <v>9</v>
      </c>
      <c r="BZ1250" s="1">
        <f ca="1">IFERROR(__xludf.DUMMYFUNCTION("""COMPUTED_VALUE"""),43)</f>
        <v>43</v>
      </c>
      <c r="CA1250" s="1" t="str">
        <f ca="1">IFERROR(__xludf.DUMMYFUNCTION("""COMPUTED_VALUE"""),"Yes")</f>
        <v>Yes</v>
      </c>
      <c r="CB1250" s="5">
        <f ca="1">IFERROR(__xludf.DUMMYFUNCTION("""COMPUTED_VALUE"""),44926.8376813541)</f>
        <v>44926.837681354104</v>
      </c>
      <c r="CC1250" s="1" t="str">
        <f ca="1">IFERROR(__xludf.DUMMYFUNCTION("""COMPUTED_VALUE"""),"आत्मोत्कर्ष का आधार ज्ञान : H_VS_58")</f>
        <v>आत्मोत्कर्ष का आधार ज्ञान : H_VS_58</v>
      </c>
      <c r="CD1250" s="1" t="str">
        <f ca="1">IFERROR(__xludf.DUMMYFUNCTION("""COMPUTED_VALUE"""),"#N/A")</f>
        <v>#N/A</v>
      </c>
      <c r="CE1250" s="1" t="str">
        <f ca="1">IFERROR(__xludf.DUMMYFUNCTION("""COMPUTED_VALUE"""),"Audiobook : आत्मोत्कर्ष का आधार ज्ञान : H_VS_58 : druma4107@gmail.com : Recorded")</f>
        <v>Audiobook : आत्मोत्कर्ष का आधार ज्ञान : H_VS_58 : druma4107@gmail.com : Recorded</v>
      </c>
      <c r="CF1250" s="1" t="str">
        <f ca="1">IFERROR(__xludf.DUMMYFUNCTION("""COMPUTED_VALUE"""),"Do Not Follow Up")</f>
        <v>Do Not Follow Up</v>
      </c>
      <c r="CG1250" s="1" t="str">
        <f ca="1">IFERROR(__xludf.DUMMYFUNCTION("""COMPUTED_VALUE"""),"Adarniya Dr Uma Agarwal  ji आत्मोत्कर्ष का आधार ज्ञान : H_VS_58 : Allocated on 21-Dec-22 Contact Number  9410861182")</f>
        <v>Adarniya Dr Uma Agarwal  ji आत्मोत्कर्ष का आधार ज्ञान : H_VS_58 : Allocated on 21-Dec-22 Contact Number  9410861182</v>
      </c>
      <c r="CH1250" s="1"/>
      <c r="CI1250" s="1"/>
    </row>
    <row r="1251" spans="1:87" x14ac:dyDescent="0.25">
      <c r="A1251" s="5">
        <f ca="1">IFERROR(__xludf.DUMMYFUNCTION("""COMPUTED_VALUE"""),44916.7077575115)</f>
        <v>44916.707757511504</v>
      </c>
      <c r="B1251" s="1" t="str">
        <f ca="1">IFERROR(__xludf.DUMMYFUNCTION("""COMPUTED_VALUE"""),"rbbansalriya@gmail.com")</f>
        <v>rbbansalriya@gmail.com</v>
      </c>
      <c r="C1251" s="1" t="str">
        <f ca="1">IFERROR(__xludf.DUMMYFUNCTION("""COMPUTED_VALUE"""),"Riya Bansal")</f>
        <v>Riya Bansal</v>
      </c>
      <c r="D1251" s="1" t="str">
        <f ca="1">IFERROR(__xludf.DUMMYFUNCTION("""COMPUTED_VALUE"""),"09176361023")</f>
        <v>09176361023</v>
      </c>
      <c r="E1251" s="1" t="str">
        <f ca="1">IFERROR(__xludf.DUMMYFUNCTION("""COMPUTED_VALUE"""),"Yes")</f>
        <v>Yes</v>
      </c>
      <c r="F1251" s="1" t="str">
        <f ca="1">IFERROR(__xludf.DUMMYFUNCTION("""COMPUTED_VALUE"""),"हिन्दी")</f>
        <v>हिन्दी</v>
      </c>
      <c r="G1251" s="1" t="str">
        <f ca="1">IFERROR(__xludf.DUMMYFUNCTION("""COMPUTED_VALUE"""),"अध्यात्म, धर्म एवं दर्शन")</f>
        <v>अध्यात्म, धर्म एवं दर्शन</v>
      </c>
      <c r="H1251" s="1" t="str">
        <f ca="1">IFERROR(__xludf.DUMMYFUNCTION("""COMPUTED_VALUE"""),"अध्यात्म, धर्म एवं आस्तिकता")</f>
        <v>अध्यात्म, धर्म एवं आस्तिकता</v>
      </c>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f ca="1">IFERROR(__xludf.DUMMYFUNCTION("""COMPUTED_VALUE"""),54)</f>
        <v>54</v>
      </c>
      <c r="BX1251" s="1">
        <f ca="1">IFERROR(__xludf.DUMMYFUNCTION("""COMPUTED_VALUE"""),55)</f>
        <v>55</v>
      </c>
      <c r="BY1251" s="1">
        <f ca="1">IFERROR(__xludf.DUMMYFUNCTION("""COMPUTED_VALUE"""),9)</f>
        <v>9</v>
      </c>
      <c r="BZ1251" s="1">
        <f ca="1">IFERROR(__xludf.DUMMYFUNCTION("""COMPUTED_VALUE"""),43)</f>
        <v>43</v>
      </c>
      <c r="CA1251" s="1" t="str">
        <f ca="1">IFERROR(__xludf.DUMMYFUNCTION("""COMPUTED_VALUE"""),"Yes")</f>
        <v>Yes</v>
      </c>
      <c r="CB1251" s="5">
        <f ca="1">IFERROR(__xludf.DUMMYFUNCTION("""COMPUTED_VALUE"""),44926.7077575115)</f>
        <v>44926.707757511504</v>
      </c>
      <c r="CC1251" s="1" t="str">
        <f ca="1">IFERROR(__xludf.DUMMYFUNCTION("""COMPUTED_VALUE"""),"आत्मोत्कर्ष का आधार ज्ञान : H_VS_58")</f>
        <v>आत्मोत्कर्ष का आधार ज्ञान : H_VS_58</v>
      </c>
      <c r="CD1251" s="1" t="str">
        <f ca="1">IFERROR(__xludf.DUMMYFUNCTION("""COMPUTED_VALUE"""),"#N/A")</f>
        <v>#N/A</v>
      </c>
      <c r="CE1251" s="1" t="str">
        <f ca="1">IFERROR(__xludf.DUMMYFUNCTION("""COMPUTED_VALUE"""),"Audiobook : आत्मोत्कर्ष का आधार ज्ञान : H_VS_58 : rbbansalriya@gmail.com : Recorded")</f>
        <v>Audiobook : आत्मोत्कर्ष का आधार ज्ञान : H_VS_58 : rbbansalriya@gmail.com : Recorded</v>
      </c>
      <c r="CF1251" s="1" t="str">
        <f ca="1">IFERROR(__xludf.DUMMYFUNCTION("""COMPUTED_VALUE"""),"Do Not Follow Up")</f>
        <v>Do Not Follow Up</v>
      </c>
      <c r="CG1251" s="1" t="str">
        <f ca="1">IFERROR(__xludf.DUMMYFUNCTION("""COMPUTED_VALUE"""),"Adarniya Riya Bansal ji आत्मोत्कर्ष का आधार ज्ञान : H_VS_58 : Allocated on 21-Dec-22 Contact Number  09176361023")</f>
        <v>Adarniya Riya Bansal ji आत्मोत्कर्ष का आधार ज्ञान : H_VS_58 : Allocated on 21-Dec-22 Contact Number  09176361023</v>
      </c>
      <c r="CH1251" s="1"/>
      <c r="CI1251" s="1"/>
    </row>
    <row r="1252" spans="1:87" x14ac:dyDescent="0.25">
      <c r="A1252" s="5">
        <f ca="1">IFERROR(__xludf.DUMMYFUNCTION("""COMPUTED_VALUE"""),44915.663386956)</f>
        <v>44915.663386956003</v>
      </c>
      <c r="B1252" s="1" t="str">
        <f ca="1">IFERROR(__xludf.DUMMYFUNCTION("""COMPUTED_VALUE"""),"sharmabhavna33@gmail.com")</f>
        <v>sharmabhavna33@gmail.com</v>
      </c>
      <c r="C1252" s="1" t="str">
        <f ca="1">IFERROR(__xludf.DUMMYFUNCTION("""COMPUTED_VALUE"""),"Bhawana Parashar ")</f>
        <v xml:space="preserve">Bhawana Parashar </v>
      </c>
      <c r="D1252" s="1">
        <f ca="1">IFERROR(__xludf.DUMMYFUNCTION("""COMPUTED_VALUE"""),9826248427)</f>
        <v>9826248427</v>
      </c>
      <c r="E1252" s="1" t="str">
        <f ca="1">IFERROR(__xludf.DUMMYFUNCTION("""COMPUTED_VALUE"""),"Yes")</f>
        <v>Yes</v>
      </c>
      <c r="F1252" s="1" t="str">
        <f ca="1">IFERROR(__xludf.DUMMYFUNCTION("""COMPUTED_VALUE"""),"हिन्दी")</f>
        <v>हिन्दी</v>
      </c>
      <c r="G1252" s="1" t="str">
        <f ca="1">IFERROR(__xludf.DUMMYFUNCTION("""COMPUTED_VALUE"""),"युग परिवर्तन-विचार क्रांति")</f>
        <v>युग परिवर्तन-विचार क्रांति</v>
      </c>
      <c r="H1252" s="1"/>
      <c r="I1252" s="1"/>
      <c r="J1252" s="1"/>
      <c r="K1252" s="1"/>
      <c r="L1252" s="1"/>
      <c r="M1252" s="1"/>
      <c r="N1252" s="1"/>
      <c r="O1252" s="1"/>
      <c r="P1252" s="1"/>
      <c r="Q1252" s="1" t="str">
        <f ca="1">IFERROR(__xludf.DUMMYFUNCTION("""COMPUTED_VALUE"""),"विचार क्रांति")</f>
        <v>विचार क्रांति</v>
      </c>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f ca="1">IFERROR(__xludf.DUMMYFUNCTION("""COMPUTED_VALUE"""),9)</f>
        <v>9</v>
      </c>
      <c r="BX1252" s="1">
        <f ca="1">IFERROR(__xludf.DUMMYFUNCTION("""COMPUTED_VALUE"""),3)</f>
        <v>3</v>
      </c>
      <c r="BY1252" s="1">
        <f ca="1">IFERROR(__xludf.DUMMYFUNCTION("""COMPUTED_VALUE"""),6)</f>
        <v>6</v>
      </c>
      <c r="BZ1252" s="1">
        <f ca="1">IFERROR(__xludf.DUMMYFUNCTION("""COMPUTED_VALUE"""),1)</f>
        <v>1</v>
      </c>
      <c r="CA1252" s="1" t="str">
        <f ca="1">IFERROR(__xludf.DUMMYFUNCTION("""COMPUTED_VALUE"""),"Yes")</f>
        <v>Yes</v>
      </c>
      <c r="CB1252" s="5">
        <f ca="1">IFERROR(__xludf.DUMMYFUNCTION("""COMPUTED_VALUE"""),44925.663386956)</f>
        <v>44925.663386956003</v>
      </c>
      <c r="CC1252" s="1" t="str">
        <f ca="1">IFERROR(__xludf.DUMMYFUNCTION("""COMPUTED_VALUE"""),"नवयुग की आधारशिला सद्‌भाव युक्त श्रद्धा : Rare Book")</f>
        <v>नवयुग की आधारशिला सद्‌भाव युक्त श्रद्धा : Rare Book</v>
      </c>
      <c r="CD1252" s="3" t="str">
        <f ca="1">IFERROR(__xludf.DUMMYFUNCTION("""COMPUTED_VALUE"""),"https://vicharkrantibooks.org/productdetail?book_name=HINP0596_NAVAYUG_KI_ADHARASHILA_SADBHAV_YUKT_SHRADDHA_xx1981&amp;product_id=1161")</f>
        <v>https://vicharkrantibooks.org/productdetail?book_name=HINP0596_NAVAYUG_KI_ADHARASHILA_SADBHAV_YUKT_SHRADDHA_xx1981&amp;product_id=1161</v>
      </c>
      <c r="CE1252" s="1" t="str">
        <f ca="1">IFERROR(__xludf.DUMMYFUNCTION("""COMPUTED_VALUE"""),"Audiobook : नवयुग की आधारशिला सद्‌भाव युक्त श्रद्धा : Rare Book : sharmabhavna33@gmail.com : Recorded")</f>
        <v>Audiobook : नवयुग की आधारशिला सद्‌भाव युक्त श्रद्धा : Rare Book : sharmabhavna33@gmail.com : Recorded</v>
      </c>
      <c r="CF1252" s="1" t="str">
        <f ca="1">IFERROR(__xludf.DUMMYFUNCTION("""COMPUTED_VALUE"""),"Do Not Follow Up")</f>
        <v>Do Not Follow Up</v>
      </c>
      <c r="CG1252" s="1" t="str">
        <f ca="1">IFERROR(__xludf.DUMMYFUNCTION("""COMPUTED_VALUE"""),"Adarniya Bhawana Parashar  ji नवयुग की आधारशिला सद्‌भाव युक्त श्रद्धा : Rare Book : Allocated on 20-Dec-22 Contact Number  9826248427")</f>
        <v>Adarniya Bhawana Parashar  ji नवयुग की आधारशिला सद्‌भाव युक्त श्रद्धा : Rare Book : Allocated on 20-Dec-22 Contact Number  9826248427</v>
      </c>
      <c r="CH1252" s="1"/>
      <c r="CI1252" s="1"/>
    </row>
    <row r="1253" spans="1:87" x14ac:dyDescent="0.25">
      <c r="A1253" s="5">
        <f ca="1">IFERROR(__xludf.DUMMYFUNCTION("""COMPUTED_VALUE"""),44913.7369848958)</f>
        <v>44913.736984895797</v>
      </c>
      <c r="B1253" s="1" t="str">
        <f ca="1">IFERROR(__xludf.DUMMYFUNCTION("""COMPUTED_VALUE"""),"jamunashukla17@gmail.com")</f>
        <v>jamunashukla17@gmail.com</v>
      </c>
      <c r="C1253" s="1" t="str">
        <f ca="1">IFERROR(__xludf.DUMMYFUNCTION("""COMPUTED_VALUE"""),"Smt J S Shukla ")</f>
        <v xml:space="preserve">Smt J S Shukla </v>
      </c>
      <c r="D1253" s="1">
        <f ca="1">IFERROR(__xludf.DUMMYFUNCTION("""COMPUTED_VALUE"""),8390353167)</f>
        <v>8390353167</v>
      </c>
      <c r="E1253" s="1" t="str">
        <f ca="1">IFERROR(__xludf.DUMMYFUNCTION("""COMPUTED_VALUE"""),"Yes")</f>
        <v>Yes</v>
      </c>
      <c r="F1253" s="1" t="str">
        <f ca="1">IFERROR(__xludf.DUMMYFUNCTION("""COMPUTED_VALUE"""),"हिन्दी")</f>
        <v>हिन्दी</v>
      </c>
      <c r="G1253" s="1" t="str">
        <f ca="1">IFERROR(__xludf.DUMMYFUNCTION("""COMPUTED_VALUE"""),"अध्यात्म, धर्म एवं दर्शन")</f>
        <v>अध्यात्म, धर्म एवं दर्शन</v>
      </c>
      <c r="H1253" s="1" t="str">
        <f ca="1">IFERROR(__xludf.DUMMYFUNCTION("""COMPUTED_VALUE"""),"उपासना")</f>
        <v>उपासना</v>
      </c>
      <c r="I1253" s="1"/>
      <c r="J1253" s="1"/>
      <c r="K1253" s="1"/>
      <c r="L1253" s="1"/>
      <c r="M1253" s="1"/>
      <c r="N1253" s="1"/>
      <c r="O1253" s="1"/>
      <c r="P1253" s="1"/>
      <c r="Q1253" s="1"/>
      <c r="R1253" s="1"/>
      <c r="S1253" s="1"/>
      <c r="T1253" s="1"/>
      <c r="U1253" s="1"/>
      <c r="V1253" s="1"/>
      <c r="W1253" s="1"/>
      <c r="X1253" s="1"/>
      <c r="Y1253" s="1"/>
      <c r="Z1253" s="1" t="str">
        <f ca="1">IFERROR(__xludf.DUMMYFUNCTION("""COMPUTED_VALUE"""),"उपासना साधना आराधना")</f>
        <v>उपासना साधना आराधना</v>
      </c>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f ca="1">IFERROR(__xludf.DUMMYFUNCTION("""COMPUTED_VALUE"""),53)</f>
        <v>53</v>
      </c>
      <c r="BX1253" s="1">
        <f ca="1">IFERROR(__xludf.DUMMYFUNCTION("""COMPUTED_VALUE"""),53)</f>
        <v>53</v>
      </c>
      <c r="BY1253" s="1">
        <f ca="1">IFERROR(__xludf.DUMMYFUNCTION("""COMPUTED_VALUE"""),9)</f>
        <v>9</v>
      </c>
      <c r="BZ1253" s="1">
        <f ca="1">IFERROR(__xludf.DUMMYFUNCTION("""COMPUTED_VALUE"""),25)</f>
        <v>25</v>
      </c>
      <c r="CA1253" s="1" t="str">
        <f ca="1">IFERROR(__xludf.DUMMYFUNCTION("""COMPUTED_VALUE"""),"Yes")</f>
        <v>Yes</v>
      </c>
      <c r="CB1253" s="5">
        <f ca="1">IFERROR(__xludf.DUMMYFUNCTION("""COMPUTED_VALUE"""),44923.7369848958)</f>
        <v>44923.736984895797</v>
      </c>
      <c r="CC1253" s="1" t="str">
        <f ca="1">IFERROR(__xludf.DUMMYFUNCTION("""COMPUTED_VALUE"""),"आत्मोत्कर्ष का आधार ज्ञान : H_VS_58")</f>
        <v>आत्मोत्कर्ष का आधार ज्ञान : H_VS_58</v>
      </c>
      <c r="CD1253" s="1" t="str">
        <f ca="1">IFERROR(__xludf.DUMMYFUNCTION("""COMPUTED_VALUE"""),"#N/A")</f>
        <v>#N/A</v>
      </c>
      <c r="CE1253" s="1" t="str">
        <f ca="1">IFERROR(__xludf.DUMMYFUNCTION("""COMPUTED_VALUE"""),"Audiobook : आत्मोत्कर्ष का आधार ज्ञान : H_VS_58 : jamunashukla17@gmail.com : Recorded")</f>
        <v>Audiobook : आत्मोत्कर्ष का आधार ज्ञान : H_VS_58 : jamunashukla17@gmail.com : Recorded</v>
      </c>
      <c r="CF1253" s="1" t="str">
        <f ca="1">IFERROR(__xludf.DUMMYFUNCTION("""COMPUTED_VALUE"""),"Do Not Follow Up")</f>
        <v>Do Not Follow Up</v>
      </c>
      <c r="CG1253" s="1" t="str">
        <f ca="1">IFERROR(__xludf.DUMMYFUNCTION("""COMPUTED_VALUE"""),"Adarniya Smt J S Shukla  ji आत्मोत्कर्ष का आधार ज्ञान : H_VS_58 : Allocated on 18-Dec-22 Contact Number  8390353167")</f>
        <v>Adarniya Smt J S Shukla  ji आत्मोत्कर्ष का आधार ज्ञान : H_VS_58 : Allocated on 18-Dec-22 Contact Number  8390353167</v>
      </c>
      <c r="CH1253" s="1" t="str">
        <f ca="1">IFERROR(__xludf.DUMMYFUNCTION("""COMPUTED_VALUE"""),"jamunashukla17@gmail.com : आत्मोत्कर्ष का आधार ज्ञान : H_VS_58")</f>
        <v>jamunashukla17@gmail.com : आत्मोत्कर्ष का आधार ज्ञान : H_VS_58</v>
      </c>
      <c r="CI1253" s="5">
        <f ca="1">IFERROR(__xludf.DUMMYFUNCTION("""COMPUTED_VALUE"""),44913.7369848958)</f>
        <v>44913.736984895797</v>
      </c>
    </row>
    <row r="1254" spans="1:87" x14ac:dyDescent="0.25">
      <c r="A1254" s="5">
        <f ca="1">IFERROR(__xludf.DUMMYFUNCTION("""COMPUTED_VALUE"""),44911.3795371759)</f>
        <v>44911.379537175897</v>
      </c>
      <c r="B1254" s="1" t="str">
        <f ca="1">IFERROR(__xludf.DUMMYFUNCTION("""COMPUTED_VALUE"""),"guptajagruti2@gmail.com")</f>
        <v>guptajagruti2@gmail.com</v>
      </c>
      <c r="C1254" s="1" t="str">
        <f ca="1">IFERROR(__xludf.DUMMYFUNCTION("""COMPUTED_VALUE"""),"Jagruti Gupta ")</f>
        <v xml:space="preserve">Jagruti Gupta </v>
      </c>
      <c r="D1254" s="1">
        <f ca="1">IFERROR(__xludf.DUMMYFUNCTION("""COMPUTED_VALUE"""),9821141115)</f>
        <v>9821141115</v>
      </c>
      <c r="E1254" s="1" t="str">
        <f ca="1">IFERROR(__xludf.DUMMYFUNCTION("""COMPUTED_VALUE"""),"Yes")</f>
        <v>Yes</v>
      </c>
      <c r="F1254" s="1" t="str">
        <f ca="1">IFERROR(__xludf.DUMMYFUNCTION("""COMPUTED_VALUE"""),"English")</f>
        <v>English</v>
      </c>
      <c r="G1254" s="1" t="str">
        <f ca="1">IFERROR(__xludf.DUMMYFUNCTION("""COMPUTED_VALUE"""),"अध्यात्म, धर्म एवं दर्शन")</f>
        <v>अध्यात्म, धर्म एवं दर्शन</v>
      </c>
      <c r="H1254" s="1" t="str">
        <f ca="1">IFERROR(__xludf.DUMMYFUNCTION("""COMPUTED_VALUE"""),"अध्यात्म, धर्म एवं आस्तिकता")</f>
        <v>अध्यात्म, धर्म एवं आस्तिकता</v>
      </c>
      <c r="I1254" s="1"/>
      <c r="J1254" s="1"/>
      <c r="K1254" s="1"/>
      <c r="L1254" s="1"/>
      <c r="M1254" s="1"/>
      <c r="N1254" s="1"/>
      <c r="O1254" s="1"/>
      <c r="P1254" s="1"/>
      <c r="Q1254" s="1"/>
      <c r="R1254" s="1"/>
      <c r="S1254" s="1"/>
      <c r="T1254" s="1"/>
      <c r="U1254" s="1"/>
      <c r="V1254" s="1"/>
      <c r="W1254" s="1"/>
      <c r="X1254" s="1" t="str">
        <f ca="1">IFERROR(__xludf.DUMMYFUNCTION("""COMPUTED_VALUE"""),"अध्यात्म का मर्म समझें")</f>
        <v>अध्यात्म का मर्म समझें</v>
      </c>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f ca="1">IFERROR(__xludf.DUMMYFUNCTION("""COMPUTED_VALUE"""),2)</f>
        <v>2</v>
      </c>
      <c r="BX1254" s="1">
        <f ca="1">IFERROR(__xludf.DUMMYFUNCTION("""COMPUTED_VALUE"""),7)</f>
        <v>7</v>
      </c>
      <c r="BY1254" s="1">
        <f ca="1">IFERROR(__xludf.DUMMYFUNCTION("""COMPUTED_VALUE"""),0)</f>
        <v>0</v>
      </c>
      <c r="BZ1254" s="1">
        <f ca="1">IFERROR(__xludf.DUMMYFUNCTION("""COMPUTED_VALUE"""),2)</f>
        <v>2</v>
      </c>
      <c r="CA1254" s="1" t="str">
        <f ca="1">IFERROR(__xludf.DUMMYFUNCTION("""COMPUTED_VALUE"""),"Yes")</f>
        <v>Yes</v>
      </c>
      <c r="CB1254" s="5">
        <f ca="1">IFERROR(__xludf.DUMMYFUNCTION("""COMPUTED_VALUE"""),44921.3795371759)</f>
        <v>44921.379537175897</v>
      </c>
      <c r="CC1254" s="1" t="str">
        <f ca="1">IFERROR(__xludf.DUMMYFUNCTION("""COMPUTED_VALUE"""),"आत्मोत्कर्ष का आधार ज्ञान : H_VS_58")</f>
        <v>आत्मोत्कर्ष का आधार ज्ञान : H_VS_58</v>
      </c>
      <c r="CD1254" s="1" t="str">
        <f ca="1">IFERROR(__xludf.DUMMYFUNCTION("""COMPUTED_VALUE"""),"#N/A")</f>
        <v>#N/A</v>
      </c>
      <c r="CE1254" s="1" t="str">
        <f ca="1">IFERROR(__xludf.DUMMYFUNCTION("""COMPUTED_VALUE"""),"Audiobook : आत्मोत्कर्ष का आधार ज्ञान : H_VS_58 : guptajagruti2@gmail.com : Recorded")</f>
        <v>Audiobook : आत्मोत्कर्ष का आधार ज्ञान : H_VS_58 : guptajagruti2@gmail.com : Recorded</v>
      </c>
      <c r="CF1254" s="1" t="str">
        <f ca="1">IFERROR(__xludf.DUMMYFUNCTION("""COMPUTED_VALUE"""),"Do Not Follow Up")</f>
        <v>Do Not Follow Up</v>
      </c>
      <c r="CG1254" s="1" t="str">
        <f ca="1">IFERROR(__xludf.DUMMYFUNCTION("""COMPUTED_VALUE"""),"Adarniya Jagruti Gupta  ji आत्मोत्कर्ष का आधार ज्ञान : H_VS_58 : Allocated on 16-Dec-22 Contact Number  9821141115")</f>
        <v>Adarniya Jagruti Gupta  ji आत्मोत्कर्ष का आधार ज्ञान : H_VS_58 : Allocated on 16-Dec-22 Contact Number  9821141115</v>
      </c>
      <c r="CH1254" s="1" t="str">
        <f ca="1">IFERROR(__xludf.DUMMYFUNCTION("""COMPUTED_VALUE"""),"guptajagruti2@gmail.com : आत्मोत्कर्ष का आधार ज्ञान : H_VS_58")</f>
        <v>guptajagruti2@gmail.com : आत्मोत्कर्ष का आधार ज्ञान : H_VS_58</v>
      </c>
      <c r="CI1254" s="5">
        <f ca="1">IFERROR(__xludf.DUMMYFUNCTION("""COMPUTED_VALUE"""),44911.3795371759)</f>
        <v>44911.379537175897</v>
      </c>
    </row>
    <row r="1255" spans="1:87" x14ac:dyDescent="0.25">
      <c r="A1255" s="5">
        <f ca="1">IFERROR(__xludf.DUMMYFUNCTION("""COMPUTED_VALUE"""),44911.3773658564)</f>
        <v>44911.377365856402</v>
      </c>
      <c r="B1255" s="1" t="str">
        <f ca="1">IFERROR(__xludf.DUMMYFUNCTION("""COMPUTED_VALUE"""),"guptajagruti2@gmail.com")</f>
        <v>guptajagruti2@gmail.com</v>
      </c>
      <c r="C1255" s="1" t="str">
        <f ca="1">IFERROR(__xludf.DUMMYFUNCTION("""COMPUTED_VALUE"""),"Jagruti Gupta ")</f>
        <v xml:space="preserve">Jagruti Gupta </v>
      </c>
      <c r="D1255" s="1">
        <f ca="1">IFERROR(__xludf.DUMMYFUNCTION("""COMPUTED_VALUE"""),9821141115)</f>
        <v>9821141115</v>
      </c>
      <c r="E1255" s="1" t="str">
        <f ca="1">IFERROR(__xludf.DUMMYFUNCTION("""COMPUTED_VALUE"""),"Yes")</f>
        <v>Yes</v>
      </c>
      <c r="F1255" s="1" t="str">
        <f ca="1">IFERROR(__xludf.DUMMYFUNCTION("""COMPUTED_VALUE"""),"हिन्दी or English")</f>
        <v>हिन्दी or English</v>
      </c>
      <c r="G1255" s="1" t="str">
        <f ca="1">IFERROR(__xludf.DUMMYFUNCTION("""COMPUTED_VALUE"""),"व्यक्ति निर्माण, युवा/विद्यार्थी एवं शिक्षक")</f>
        <v>व्यक्ति निर्माण, युवा/विद्यार्थी एवं शिक्षक</v>
      </c>
      <c r="H1255" s="1"/>
      <c r="I1255" s="1"/>
      <c r="J1255" s="1"/>
      <c r="K1255" s="1"/>
      <c r="L1255" s="1"/>
      <c r="M1255" s="1"/>
      <c r="N1255" s="1"/>
      <c r="O1255" s="1"/>
      <c r="P1255" s="1"/>
      <c r="Q1255" s="1"/>
      <c r="R1255" s="1"/>
      <c r="S1255" s="1"/>
      <c r="T1255" s="1" t="str">
        <f ca="1">IFERROR(__xludf.DUMMYFUNCTION("""COMPUTED_VALUE"""),"व्यक्तित्व परिष्कार")</f>
        <v>व्यक्तित्व परिष्कार</v>
      </c>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t="str">
        <f ca="1">IFERROR(__xludf.DUMMYFUNCTION("""COMPUTED_VALUE"""),"अपनी कमजोरियों से लडें मजबूत बनें")</f>
        <v>अपनी कमजोरियों से लडें मजबूत बनें</v>
      </c>
      <c r="BG1255" s="1"/>
      <c r="BH1255" s="1"/>
      <c r="BI1255" s="1"/>
      <c r="BJ1255" s="1"/>
      <c r="BK1255" s="1"/>
      <c r="BL1255" s="1"/>
      <c r="BM1255" s="1"/>
      <c r="BN1255" s="1"/>
      <c r="BO1255" s="1"/>
      <c r="BP1255" s="1"/>
      <c r="BQ1255" s="1"/>
      <c r="BR1255" s="1"/>
      <c r="BS1255" s="1"/>
      <c r="BT1255" s="1"/>
      <c r="BU1255" s="1"/>
      <c r="BV1255" s="1"/>
      <c r="BW1255" s="1">
        <f ca="1">IFERROR(__xludf.DUMMYFUNCTION("""COMPUTED_VALUE"""),2)</f>
        <v>2</v>
      </c>
      <c r="BX1255" s="1">
        <f ca="1">IFERROR(__xludf.DUMMYFUNCTION("""COMPUTED_VALUE"""),7)</f>
        <v>7</v>
      </c>
      <c r="BY1255" s="1">
        <f ca="1">IFERROR(__xludf.DUMMYFUNCTION("""COMPUTED_VALUE"""),0)</f>
        <v>0</v>
      </c>
      <c r="BZ1255" s="1">
        <f ca="1">IFERROR(__xludf.DUMMYFUNCTION("""COMPUTED_VALUE"""),2)</f>
        <v>2</v>
      </c>
      <c r="CA1255" s="1" t="str">
        <f ca="1">IFERROR(__xludf.DUMMYFUNCTION("""COMPUTED_VALUE"""),"Yes")</f>
        <v>Yes</v>
      </c>
      <c r="CB1255" s="5">
        <f ca="1">IFERROR(__xludf.DUMMYFUNCTION("""COMPUTED_VALUE"""),44921.3773658564)</f>
        <v>44921.377365856402</v>
      </c>
      <c r="CC1255" s="1" t="str">
        <f ca="1">IFERROR(__xludf.DUMMYFUNCTION("""COMPUTED_VALUE"""),"प्रेरणाप्रद दृष्टान्त  : H_VS_67")</f>
        <v>प्रेरणाप्रद दृष्टान्त  : H_VS_67</v>
      </c>
      <c r="CD1255" s="1" t="str">
        <f ca="1">IFERROR(__xludf.DUMMYFUNCTION("""COMPUTED_VALUE"""),"#N/A")</f>
        <v>#N/A</v>
      </c>
      <c r="CE1255" s="1" t="str">
        <f ca="1">IFERROR(__xludf.DUMMYFUNCTION("""COMPUTED_VALUE"""),"Audiobook : प्रेरणाप्रद दृष्टान्त  : H_VS_67 : guptajagruti2@gmail.com : Recorded")</f>
        <v>Audiobook : प्रेरणाप्रद दृष्टान्त  : H_VS_67 : guptajagruti2@gmail.com : Recorded</v>
      </c>
      <c r="CF1255" s="1" t="str">
        <f ca="1">IFERROR(__xludf.DUMMYFUNCTION("""COMPUTED_VALUE"""),"Do Not Follow Up")</f>
        <v>Do Not Follow Up</v>
      </c>
      <c r="CG1255" s="1" t="str">
        <f ca="1">IFERROR(__xludf.DUMMYFUNCTION("""COMPUTED_VALUE"""),"Adarniya Jagruti Gupta  ji प्रेरणाप्रद दृष्टान्त  : H_VS_67 : Allocated on 16-Dec-22 Contact Number  9821141115")</f>
        <v>Adarniya Jagruti Gupta  ji प्रेरणाप्रद दृष्टान्त  : H_VS_67 : Allocated on 16-Dec-22 Contact Number  9821141115</v>
      </c>
      <c r="CH1255" s="1" t="str">
        <f ca="1">IFERROR(__xludf.DUMMYFUNCTION("""COMPUTED_VALUE"""),"guptajagruti2@gmail.com : प्रेरणाप्रद दृष्टान्त  : H_VS_67")</f>
        <v>guptajagruti2@gmail.com : प्रेरणाप्रद दृष्टान्त  : H_VS_67</v>
      </c>
      <c r="CI1255" s="5">
        <f ca="1">IFERROR(__xludf.DUMMYFUNCTION("""COMPUTED_VALUE"""),44911.3773658564)</f>
        <v>44911.377365856402</v>
      </c>
    </row>
    <row r="1256" spans="1:87" x14ac:dyDescent="0.25">
      <c r="A1256" s="5">
        <f ca="1">IFERROR(__xludf.DUMMYFUNCTION("""COMPUTED_VALUE"""),44906.5898933217)</f>
        <v>44906.589893321703</v>
      </c>
      <c r="B1256" s="1" t="str">
        <f ca="1">IFERROR(__xludf.DUMMYFUNCTION("""COMPUTED_VALUE"""),"jamunashukla17@gmail.com")</f>
        <v>jamunashukla17@gmail.com</v>
      </c>
      <c r="C1256" s="1" t="str">
        <f ca="1">IFERROR(__xludf.DUMMYFUNCTION("""COMPUTED_VALUE"""),"jamuna shukla")</f>
        <v>jamuna shukla</v>
      </c>
      <c r="D1256" s="1" t="str">
        <f ca="1">IFERROR(__xludf.DUMMYFUNCTION("""COMPUTED_VALUE"""),"+918390353167")</f>
        <v>+918390353167</v>
      </c>
      <c r="E1256" s="1" t="str">
        <f ca="1">IFERROR(__xludf.DUMMYFUNCTION("""COMPUTED_VALUE"""),"Yes")</f>
        <v>Yes</v>
      </c>
      <c r="F1256" s="1" t="str">
        <f ca="1">IFERROR(__xludf.DUMMYFUNCTION("""COMPUTED_VALUE"""),"हिन्दी")</f>
        <v>हिन्दी</v>
      </c>
      <c r="G1256" s="1" t="str">
        <f ca="1">IFERROR(__xludf.DUMMYFUNCTION("""COMPUTED_VALUE"""),"जीवन प्रबंध")</f>
        <v>जीवन प्रबंध</v>
      </c>
      <c r="H1256" s="1"/>
      <c r="I1256" s="1"/>
      <c r="J1256" s="1"/>
      <c r="K1256" s="1"/>
      <c r="L1256" s="1" t="str">
        <f ca="1">IFERROR(__xludf.DUMMYFUNCTION("""COMPUTED_VALUE"""),"जीवन साधना")</f>
        <v>जीवन साधना</v>
      </c>
      <c r="M1256" s="1"/>
      <c r="N1256" s="1"/>
      <c r="O1256" s="1"/>
      <c r="P1256" s="1"/>
      <c r="Q1256" s="1"/>
      <c r="R1256" s="1"/>
      <c r="S1256" s="1"/>
      <c r="T1256" s="1"/>
      <c r="U1256" s="1"/>
      <c r="V1256" s="1"/>
      <c r="W1256" s="1"/>
      <c r="X1256" s="1"/>
      <c r="Y1256" s="1"/>
      <c r="Z1256" s="1"/>
      <c r="AA1256" s="1"/>
      <c r="AB1256" s="1"/>
      <c r="AC1256" s="1"/>
      <c r="AD1256" s="1" t="str">
        <f ca="1">IFERROR(__xludf.DUMMYFUNCTION("""COMPUTED_VALUE"""),"जीवन देवता की अनिवार्य साधना")</f>
        <v>जीवन देवता की अनिवार्य साधना</v>
      </c>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f ca="1">IFERROR(__xludf.DUMMYFUNCTION("""COMPUTED_VALUE"""),53)</f>
        <v>53</v>
      </c>
      <c r="BX1256" s="1">
        <f ca="1">IFERROR(__xludf.DUMMYFUNCTION("""COMPUTED_VALUE"""),53)</f>
        <v>53</v>
      </c>
      <c r="BY1256" s="1">
        <f ca="1">IFERROR(__xludf.DUMMYFUNCTION("""COMPUTED_VALUE"""),9)</f>
        <v>9</v>
      </c>
      <c r="BZ1256" s="1">
        <f ca="1">IFERROR(__xludf.DUMMYFUNCTION("""COMPUTED_VALUE"""),25)</f>
        <v>25</v>
      </c>
      <c r="CA1256" s="1" t="str">
        <f ca="1">IFERROR(__xludf.DUMMYFUNCTION("""COMPUTED_VALUE"""),"Yes")</f>
        <v>Yes</v>
      </c>
      <c r="CB1256" s="5">
        <f ca="1">IFERROR(__xludf.DUMMYFUNCTION("""COMPUTED_VALUE"""),44916.5898933217)</f>
        <v>44916.589893321703</v>
      </c>
      <c r="CC1256" s="1" t="str">
        <f ca="1">IFERROR(__xludf.DUMMYFUNCTION("""COMPUTED_VALUE"""),"ऋषि चिंतन के सान्निध्य में भाग १ : H_SJ_09")</f>
        <v>ऋषि चिंतन के सान्निध्य में भाग १ : H_SJ_09</v>
      </c>
      <c r="CD1256" s="1" t="str">
        <f ca="1">IFERROR(__xludf.DUMMYFUNCTION("""COMPUTED_VALUE"""),"#N/A")</f>
        <v>#N/A</v>
      </c>
      <c r="CE1256" s="1" t="str">
        <f ca="1">IFERROR(__xludf.DUMMYFUNCTION("""COMPUTED_VALUE"""),"Audiobook : ऋषि चिंतन के सान्निध्य में भाग १ : H_SJ_09 : jamunashukla17@gmail.com : Recorded")</f>
        <v>Audiobook : ऋषि चिंतन के सान्निध्य में भाग १ : H_SJ_09 : jamunashukla17@gmail.com : Recorded</v>
      </c>
      <c r="CF1256" s="1" t="str">
        <f ca="1">IFERROR(__xludf.DUMMYFUNCTION("""COMPUTED_VALUE"""),"Do Not Follow Up")</f>
        <v>Do Not Follow Up</v>
      </c>
      <c r="CG1256" s="1" t="str">
        <f ca="1">IFERROR(__xludf.DUMMYFUNCTION("""COMPUTED_VALUE"""),"Adarniya jamuna shukla ji ऋषि चिंतन के सान्निध्य में भाग १ : H_SJ_09 : Allocated on 11-Dec-22 Contact Number  +918390353167")</f>
        <v>Adarniya jamuna shukla ji ऋषि चिंतन के सान्निध्य में भाग १ : H_SJ_09 : Allocated on 11-Dec-22 Contact Number  +918390353167</v>
      </c>
      <c r="CH1256" s="1"/>
      <c r="CI1256" s="1"/>
    </row>
    <row r="1257" spans="1:87" x14ac:dyDescent="0.25">
      <c r="A1257" s="5">
        <f ca="1">IFERROR(__xludf.DUMMYFUNCTION("""COMPUTED_VALUE"""),44906.5857909375)</f>
        <v>44906.585790937497</v>
      </c>
      <c r="B1257" s="1" t="str">
        <f ca="1">IFERROR(__xludf.DUMMYFUNCTION("""COMPUTED_VALUE"""),"jamunashukla17@gmail.com")</f>
        <v>jamunashukla17@gmail.com</v>
      </c>
      <c r="C1257" s="1" t="str">
        <f ca="1">IFERROR(__xludf.DUMMYFUNCTION("""COMPUTED_VALUE"""),"Smt J S Shukla ")</f>
        <v xml:space="preserve">Smt J S Shukla </v>
      </c>
      <c r="D1257" s="1" t="str">
        <f ca="1">IFERROR(__xludf.DUMMYFUNCTION("""COMPUTED_VALUE"""),"+918390353167")</f>
        <v>+918390353167</v>
      </c>
      <c r="E1257" s="1" t="str">
        <f ca="1">IFERROR(__xludf.DUMMYFUNCTION("""COMPUTED_VALUE"""),"Yes")</f>
        <v>Yes</v>
      </c>
      <c r="F1257" s="1" t="str">
        <f ca="1">IFERROR(__xludf.DUMMYFUNCTION("""COMPUTED_VALUE"""),"हिन्दी")</f>
        <v>हिन्दी</v>
      </c>
      <c r="G1257" s="1" t="str">
        <f ca="1">IFERROR(__xludf.DUMMYFUNCTION("""COMPUTED_VALUE"""),"जीवन प्रबंध")</f>
        <v>जीवन प्रबंध</v>
      </c>
      <c r="H1257" s="1"/>
      <c r="I1257" s="1"/>
      <c r="J1257" s="1"/>
      <c r="K1257" s="1"/>
      <c r="L1257" s="1" t="str">
        <f ca="1">IFERROR(__xludf.DUMMYFUNCTION("""COMPUTED_VALUE"""),"जीवन साधना")</f>
        <v>जीवन साधना</v>
      </c>
      <c r="M1257" s="1"/>
      <c r="N1257" s="1"/>
      <c r="O1257" s="1"/>
      <c r="P1257" s="1"/>
      <c r="Q1257" s="1"/>
      <c r="R1257" s="1"/>
      <c r="S1257" s="1"/>
      <c r="T1257" s="1"/>
      <c r="U1257" s="1"/>
      <c r="V1257" s="1"/>
      <c r="W1257" s="1"/>
      <c r="X1257" s="1"/>
      <c r="Y1257" s="1"/>
      <c r="Z1257" s="1"/>
      <c r="AA1257" s="1"/>
      <c r="AB1257" s="1"/>
      <c r="AC1257" s="1"/>
      <c r="AD1257" s="1" t="str">
        <f ca="1">IFERROR(__xludf.DUMMYFUNCTION("""COMPUTED_VALUE"""),"जीवन देवता की अनिवार्य साधना")</f>
        <v>जीवन देवता की अनिवार्य साधना</v>
      </c>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f ca="1">IFERROR(__xludf.DUMMYFUNCTION("""COMPUTED_VALUE"""),53)</f>
        <v>53</v>
      </c>
      <c r="BX1257" s="1">
        <f ca="1">IFERROR(__xludf.DUMMYFUNCTION("""COMPUTED_VALUE"""),53)</f>
        <v>53</v>
      </c>
      <c r="BY1257" s="1">
        <f ca="1">IFERROR(__xludf.DUMMYFUNCTION("""COMPUTED_VALUE"""),9)</f>
        <v>9</v>
      </c>
      <c r="BZ1257" s="1">
        <f ca="1">IFERROR(__xludf.DUMMYFUNCTION("""COMPUTED_VALUE"""),25)</f>
        <v>25</v>
      </c>
      <c r="CA1257" s="1" t="str">
        <f ca="1">IFERROR(__xludf.DUMMYFUNCTION("""COMPUTED_VALUE"""),"Yes")</f>
        <v>Yes</v>
      </c>
      <c r="CB1257" s="5">
        <f ca="1">IFERROR(__xludf.DUMMYFUNCTION("""COMPUTED_VALUE"""),44916.5857909375)</f>
        <v>44916.585790937497</v>
      </c>
      <c r="CC1257" s="1" t="str">
        <f ca="1">IFERROR(__xludf.DUMMYFUNCTION("""COMPUTED_VALUE"""),"ऋषि चिंतन के सान्निध्य में भाग १ : H_SJ_09")</f>
        <v>ऋषि चिंतन के सान्निध्य में भाग १ : H_SJ_09</v>
      </c>
      <c r="CD1257" s="1" t="str">
        <f ca="1">IFERROR(__xludf.DUMMYFUNCTION("""COMPUTED_VALUE"""),"#N/A")</f>
        <v>#N/A</v>
      </c>
      <c r="CE1257" s="1" t="str">
        <f ca="1">IFERROR(__xludf.DUMMYFUNCTION("""COMPUTED_VALUE"""),"Audiobook : ऋषि चिंतन के सान्निध्य में भाग १ : H_SJ_09 : jamunashukla17@gmail.com : Recorded")</f>
        <v>Audiobook : ऋषि चिंतन के सान्निध्य में भाग १ : H_SJ_09 : jamunashukla17@gmail.com : Recorded</v>
      </c>
      <c r="CF1257" s="1" t="str">
        <f ca="1">IFERROR(__xludf.DUMMYFUNCTION("""COMPUTED_VALUE"""),"Do Not Follow Up")</f>
        <v>Do Not Follow Up</v>
      </c>
      <c r="CG1257" s="1" t="str">
        <f ca="1">IFERROR(__xludf.DUMMYFUNCTION("""COMPUTED_VALUE"""),"Adarniya Smt J S Shukla  ji ऋषि चिंतन के सान्निध्य में भाग १ : H_SJ_09 : Allocated on 11-Dec-22 Contact Number  +918390353167")</f>
        <v>Adarniya Smt J S Shukla  ji ऋषि चिंतन के सान्निध्य में भाग १ : H_SJ_09 : Allocated on 11-Dec-22 Contact Number  +918390353167</v>
      </c>
      <c r="CH1257" s="1"/>
      <c r="CI1257" s="1"/>
    </row>
    <row r="1258" spans="1:87" x14ac:dyDescent="0.25">
      <c r="A1258" s="5">
        <f ca="1">IFERROR(__xludf.DUMMYFUNCTION("""COMPUTED_VALUE"""),44902.8193475)</f>
        <v>44902.819347500001</v>
      </c>
      <c r="B1258" s="1" t="str">
        <f ca="1">IFERROR(__xludf.DUMMYFUNCTION("""COMPUTED_VALUE"""),"richasharma310575@gmail.com")</f>
        <v>richasharma310575@gmail.com</v>
      </c>
      <c r="C1258" s="1" t="str">
        <f ca="1">IFERROR(__xludf.DUMMYFUNCTION("""COMPUTED_VALUE"""),"Richa sharma")</f>
        <v>Richa sharma</v>
      </c>
      <c r="D1258" s="1">
        <f ca="1">IFERROR(__xludf.DUMMYFUNCTION("""COMPUTED_VALUE"""),9479664049)</f>
        <v>9479664049</v>
      </c>
      <c r="E1258" s="1" t="str">
        <f ca="1">IFERROR(__xludf.DUMMYFUNCTION("""COMPUTED_VALUE"""),"Yes")</f>
        <v>Yes</v>
      </c>
      <c r="F1258" s="1" t="str">
        <f ca="1">IFERROR(__xludf.DUMMYFUNCTION("""COMPUTED_VALUE"""),"हिन्दी")</f>
        <v>हिन्दी</v>
      </c>
      <c r="G1258" s="1" t="str">
        <f ca="1">IFERROR(__xludf.DUMMYFUNCTION("""COMPUTED_VALUE"""),"वैज्ञानिक अध्यात्मवाद का प्रतिपादन")</f>
        <v>वैज्ञानिक अध्यात्मवाद का प्रतिपादन</v>
      </c>
      <c r="H1258" s="1"/>
      <c r="I1258" s="1"/>
      <c r="J1258" s="1"/>
      <c r="K1258" s="1"/>
      <c r="L1258" s="1"/>
      <c r="M1258" s="1"/>
      <c r="N1258" s="1"/>
      <c r="O1258" s="1"/>
      <c r="P1258" s="1"/>
      <c r="Q1258" s="1"/>
      <c r="R1258" s="1"/>
      <c r="S1258" s="1" t="str">
        <f ca="1">IFERROR(__xludf.DUMMYFUNCTION("""COMPUTED_VALUE"""),"वैज्ञानिक अध्यात्मवाद का प्रतिपादन")</f>
        <v>वैज्ञानिक अध्यात्मवाद का प्रतिपादन</v>
      </c>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t="str">
        <f ca="1">IFERROR(__xludf.DUMMYFUNCTION("""COMPUTED_VALUE"""),"हमारी अंतश्चेतना ही वास्तविक गायत्री")</f>
        <v>हमारी अंतश्चेतना ही वास्तविक गायत्री</v>
      </c>
      <c r="BC1258" s="1"/>
      <c r="BD1258" s="1"/>
      <c r="BE1258" s="1"/>
      <c r="BF1258" s="1"/>
      <c r="BG1258" s="1"/>
      <c r="BH1258" s="1"/>
      <c r="BI1258" s="1"/>
      <c r="BJ1258" s="1"/>
      <c r="BK1258" s="1"/>
      <c r="BL1258" s="1"/>
      <c r="BM1258" s="1"/>
      <c r="BN1258" s="1"/>
      <c r="BO1258" s="1"/>
      <c r="BP1258" s="1"/>
      <c r="BQ1258" s="1"/>
      <c r="BR1258" s="1"/>
      <c r="BS1258" s="1"/>
      <c r="BT1258" s="1"/>
      <c r="BU1258" s="1"/>
      <c r="BV1258" s="1"/>
      <c r="BW1258" s="1">
        <f ca="1">IFERROR(__xludf.DUMMYFUNCTION("""COMPUTED_VALUE"""),23)</f>
        <v>23</v>
      </c>
      <c r="BX1258" s="1">
        <f ca="1">IFERROR(__xludf.DUMMYFUNCTION("""COMPUTED_VALUE"""),28)</f>
        <v>28</v>
      </c>
      <c r="BY1258" s="1">
        <f ca="1">IFERROR(__xludf.DUMMYFUNCTION("""COMPUTED_VALUE"""),2)</f>
        <v>2</v>
      </c>
      <c r="BZ1258" s="1">
        <f ca="1">IFERROR(__xludf.DUMMYFUNCTION("""COMPUTED_VALUE"""),24)</f>
        <v>24</v>
      </c>
      <c r="CA1258" s="1" t="str">
        <f ca="1">IFERROR(__xludf.DUMMYFUNCTION("""COMPUTED_VALUE"""),"Yes")</f>
        <v>Yes</v>
      </c>
      <c r="CB1258" s="5">
        <f ca="1">IFERROR(__xludf.DUMMYFUNCTION("""COMPUTED_VALUE"""),44912.8193475)</f>
        <v>44912.819347500001</v>
      </c>
      <c r="CC1258" s="1" t="str">
        <f ca="1">IFERROR(__xludf.DUMMYFUNCTION("""COMPUTED_VALUE"""),"अपरिमित संभावनाओं का आगार मानवी व्यक्तित्व : H_VS_21")</f>
        <v>अपरिमित संभावनाओं का आगार मानवी व्यक्तित्व : H_VS_21</v>
      </c>
      <c r="CD1258" s="1" t="str">
        <f ca="1">IFERROR(__xludf.DUMMYFUNCTION("""COMPUTED_VALUE"""),"#N/A")</f>
        <v>#N/A</v>
      </c>
      <c r="CE1258" s="1" t="str">
        <f ca="1">IFERROR(__xludf.DUMMYFUNCTION("""COMPUTED_VALUE"""),"Audiobook : अपरिमित संभावनाओं का आगार मानवी व्यक्तित्व : H_VS_21 : richasharma310575@gmail.com : Recorded")</f>
        <v>Audiobook : अपरिमित संभावनाओं का आगार मानवी व्यक्तित्व : H_VS_21 : richasharma310575@gmail.com : Recorded</v>
      </c>
      <c r="CF1258" s="1" t="str">
        <f ca="1">IFERROR(__xludf.DUMMYFUNCTION("""COMPUTED_VALUE"""),"Do Not Follow Up")</f>
        <v>Do Not Follow Up</v>
      </c>
      <c r="CG1258" s="1" t="str">
        <f ca="1">IFERROR(__xludf.DUMMYFUNCTION("""COMPUTED_VALUE"""),"Adarniya Richa sharma ji अपरिमित संभावनाओं का आगार मानवी व्यक्तित्व : H_VS_21 : Allocated on 07-Dec-22 Contact Number  9479664049")</f>
        <v>Adarniya Richa sharma ji अपरिमित संभावनाओं का आगार मानवी व्यक्तित्व : H_VS_21 : Allocated on 07-Dec-22 Contact Number  9479664049</v>
      </c>
      <c r="CH1258" s="1"/>
      <c r="CI1258" s="1"/>
    </row>
    <row r="1259" spans="1:87" x14ac:dyDescent="0.25">
      <c r="A1259" s="5">
        <f ca="1">IFERROR(__xludf.DUMMYFUNCTION("""COMPUTED_VALUE"""),44899.980198993)</f>
        <v>44899.980198992998</v>
      </c>
      <c r="B1259" s="1" t="str">
        <f ca="1">IFERROR(__xludf.DUMMYFUNCTION("""COMPUTED_VALUE"""),"kajaliark@gmail.com")</f>
        <v>kajaliark@gmail.com</v>
      </c>
      <c r="C1259" s="1" t="str">
        <f ca="1">IFERROR(__xludf.DUMMYFUNCTION("""COMPUTED_VALUE"""),"Ambrish Kanungo")</f>
        <v>Ambrish Kanungo</v>
      </c>
      <c r="D1259" s="1">
        <f ca="1">IFERROR(__xludf.DUMMYFUNCTION("""COMPUTED_VALUE"""),9423032456)</f>
        <v>9423032456</v>
      </c>
      <c r="E1259" s="1" t="str">
        <f ca="1">IFERROR(__xludf.DUMMYFUNCTION("""COMPUTED_VALUE"""),"Yes")</f>
        <v>Yes</v>
      </c>
      <c r="F1259" s="1" t="str">
        <f ca="1">IFERROR(__xludf.DUMMYFUNCTION("""COMPUTED_VALUE"""),"हिन्दी or English")</f>
        <v>हिन्दी or English</v>
      </c>
      <c r="G1259" s="1" t="str">
        <f ca="1">IFERROR(__xludf.DUMMYFUNCTION("""COMPUTED_VALUE"""),"युग द्रष्टा पं. श्रीराम शर्मा आचार्यजी")</f>
        <v>युग द्रष्टा पं. श्रीराम शर्मा आचार्यजी</v>
      </c>
      <c r="H1259" s="1"/>
      <c r="I1259" s="1"/>
      <c r="J1259" s="1"/>
      <c r="K1259" s="1"/>
      <c r="L1259" s="1"/>
      <c r="M1259" s="1"/>
      <c r="N1259" s="1"/>
      <c r="O1259" s="1"/>
      <c r="P1259" s="1" t="str">
        <f ca="1">IFERROR(__xludf.DUMMYFUNCTION("""COMPUTED_VALUE"""),"युगॠषी की अमृतवाणी")</f>
        <v>युगॠषी की अमृतवाणी</v>
      </c>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t="str">
        <f ca="1">IFERROR(__xludf.DUMMYFUNCTION("""COMPUTED_VALUE"""),"सद्‌गुरू वचनामृत")</f>
        <v>सद्‌गुरू वचनामृत</v>
      </c>
      <c r="AU1259" s="1"/>
      <c r="AV1259" s="1"/>
      <c r="AW1259" s="1"/>
      <c r="AX1259" s="1"/>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f ca="1">IFERROR(__xludf.DUMMYFUNCTION("""COMPUTED_VALUE"""),6)</f>
        <v>6</v>
      </c>
      <c r="BX1259" s="1">
        <f ca="1">IFERROR(__xludf.DUMMYFUNCTION("""COMPUTED_VALUE"""),2)</f>
        <v>2</v>
      </c>
      <c r="BY1259" s="1">
        <f ca="1">IFERROR(__xludf.DUMMYFUNCTION("""COMPUTED_VALUE"""),2)</f>
        <v>2</v>
      </c>
      <c r="BZ1259" s="1">
        <f ca="1">IFERROR(__xludf.DUMMYFUNCTION("""COMPUTED_VALUE"""),1)</f>
        <v>1</v>
      </c>
      <c r="CA1259" s="1" t="str">
        <f ca="1">IFERROR(__xludf.DUMMYFUNCTION("""COMPUTED_VALUE"""),"Yes")</f>
        <v>Yes</v>
      </c>
      <c r="CB1259" s="5">
        <f ca="1">IFERROR(__xludf.DUMMYFUNCTION("""COMPUTED_VALUE"""),44909.980198993)</f>
        <v>44909.980198992998</v>
      </c>
      <c r="CC1259" s="1" t="str">
        <f ca="1">IFERROR(__xludf.DUMMYFUNCTION("""COMPUTED_VALUE"""),"चेतना की शिखर यात्रा भाग १ : H_SJ_15")</f>
        <v>चेतना की शिखर यात्रा भाग १ : H_SJ_15</v>
      </c>
      <c r="CD1259" s="1" t="str">
        <f ca="1">IFERROR(__xludf.DUMMYFUNCTION("""COMPUTED_VALUE"""),"#N/A")</f>
        <v>#N/A</v>
      </c>
      <c r="CE1259" s="1" t="str">
        <f ca="1">IFERROR(__xludf.DUMMYFUNCTION("""COMPUTED_VALUE"""),"Audiobook : चेतना की शिखर यात्रा भाग १ : H_SJ_15 : kajaliark@gmail.com : Recorded")</f>
        <v>Audiobook : चेतना की शिखर यात्रा भाग १ : H_SJ_15 : kajaliark@gmail.com : Recorded</v>
      </c>
      <c r="CF1259" s="1" t="str">
        <f ca="1">IFERROR(__xludf.DUMMYFUNCTION("""COMPUTED_VALUE"""),"Do Not Follow Up")</f>
        <v>Do Not Follow Up</v>
      </c>
      <c r="CG1259" s="1" t="str">
        <f ca="1">IFERROR(__xludf.DUMMYFUNCTION("""COMPUTED_VALUE"""),"Adarniya Ambrish Kanungo ji चेतना की शिखर यात्रा भाग १ : H_SJ_15 : Allocated on 04-Dec-22 Contact Number  9423032456")</f>
        <v>Adarniya Ambrish Kanungo ji चेतना की शिखर यात्रा भाग १ : H_SJ_15 : Allocated on 04-Dec-22 Contact Number  9423032456</v>
      </c>
      <c r="CH1259" s="1"/>
      <c r="CI1259" s="1"/>
    </row>
    <row r="1260" spans="1:87" x14ac:dyDescent="0.25">
      <c r="A1260" s="5">
        <f ca="1">IFERROR(__xludf.DUMMYFUNCTION("""COMPUTED_VALUE"""),44899.9788995717)</f>
        <v>44899.978899571703</v>
      </c>
      <c r="B1260" s="1" t="str">
        <f ca="1">IFERROR(__xludf.DUMMYFUNCTION("""COMPUTED_VALUE"""),"kajaliark@gmail.com")</f>
        <v>kajaliark@gmail.com</v>
      </c>
      <c r="C1260" s="1" t="str">
        <f ca="1">IFERROR(__xludf.DUMMYFUNCTION("""COMPUTED_VALUE"""),"Prachi Ambrish Kanungo")</f>
        <v>Prachi Ambrish Kanungo</v>
      </c>
      <c r="D1260" s="1">
        <f ca="1">IFERROR(__xludf.DUMMYFUNCTION("""COMPUTED_VALUE"""),9423032456)</f>
        <v>9423032456</v>
      </c>
      <c r="E1260" s="1" t="str">
        <f ca="1">IFERROR(__xludf.DUMMYFUNCTION("""COMPUTED_VALUE"""),"Yes")</f>
        <v>Yes</v>
      </c>
      <c r="F1260" s="1" t="str">
        <f ca="1">IFERROR(__xludf.DUMMYFUNCTION("""COMPUTED_VALUE"""),"हिन्दी")</f>
        <v>हिन्दी</v>
      </c>
      <c r="G1260" s="1" t="str">
        <f ca="1">IFERROR(__xludf.DUMMYFUNCTION("""COMPUTED_VALUE"""),"युग परिवर्तन-विचार क्रांति")</f>
        <v>युग परिवर्तन-विचार क्रांति</v>
      </c>
      <c r="H1260" s="1"/>
      <c r="I1260" s="1"/>
      <c r="J1260" s="1"/>
      <c r="K1260" s="1"/>
      <c r="L1260" s="1"/>
      <c r="M1260" s="1"/>
      <c r="N1260" s="1"/>
      <c r="O1260" s="1"/>
      <c r="P1260" s="1"/>
      <c r="Q1260" s="1" t="str">
        <f ca="1">IFERROR(__xludf.DUMMYFUNCTION("""COMPUTED_VALUE"""),"विचार क्रांति")</f>
        <v>विचार क्रांति</v>
      </c>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t="str">
        <f ca="1">IFERROR(__xludf.DUMMYFUNCTION("""COMPUTED_VALUE"""),"विचार क्रांति ही एकमात्र उपचार")</f>
        <v>विचार क्रांति ही एकमात्र उपचार</v>
      </c>
      <c r="AX1260" s="1"/>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f ca="1">IFERROR(__xludf.DUMMYFUNCTION("""COMPUTED_VALUE"""),6)</f>
        <v>6</v>
      </c>
      <c r="BX1260" s="1">
        <f ca="1">IFERROR(__xludf.DUMMYFUNCTION("""COMPUTED_VALUE"""),2)</f>
        <v>2</v>
      </c>
      <c r="BY1260" s="1">
        <f ca="1">IFERROR(__xludf.DUMMYFUNCTION("""COMPUTED_VALUE"""),2)</f>
        <v>2</v>
      </c>
      <c r="BZ1260" s="1">
        <f ca="1">IFERROR(__xludf.DUMMYFUNCTION("""COMPUTED_VALUE"""),1)</f>
        <v>1</v>
      </c>
      <c r="CA1260" s="1" t="str">
        <f ca="1">IFERROR(__xludf.DUMMYFUNCTION("""COMPUTED_VALUE"""),"Yes")</f>
        <v>Yes</v>
      </c>
      <c r="CB1260" s="5">
        <f ca="1">IFERROR(__xludf.DUMMYFUNCTION("""COMPUTED_VALUE"""),44909.9788995717)</f>
        <v>44909.978899571703</v>
      </c>
      <c r="CC1260" s="1" t="str">
        <f ca="1">IFERROR(__xludf.DUMMYFUNCTION("""COMPUTED_VALUE"""),"नवयुग की आधारशिला सद्‌भाव युक्त श्रद्धा : Rare Book")</f>
        <v>नवयुग की आधारशिला सद्‌भाव युक्त श्रद्धा : Rare Book</v>
      </c>
      <c r="CD1260" s="3" t="str">
        <f ca="1">IFERROR(__xludf.DUMMYFUNCTION("""COMPUTED_VALUE"""),"https://vicharkrantibooks.org/productdetail?book_name=HINP0596_NAVAYUG_KI_ADHARASHILA_SADBHAV_YUKT_SHRADDHA_xx1981&amp;product_id=1161")</f>
        <v>https://vicharkrantibooks.org/productdetail?book_name=HINP0596_NAVAYUG_KI_ADHARASHILA_SADBHAV_YUKT_SHRADDHA_xx1981&amp;product_id=1161</v>
      </c>
      <c r="CE1260" s="1" t="str">
        <f ca="1">IFERROR(__xludf.DUMMYFUNCTION("""COMPUTED_VALUE"""),"Audiobook : नवयुग की आधारशिला सद्‌भाव युक्त श्रद्धा : Rare Book : kajaliark@gmail.com : Recorded")</f>
        <v>Audiobook : नवयुग की आधारशिला सद्‌भाव युक्त श्रद्धा : Rare Book : kajaliark@gmail.com : Recorded</v>
      </c>
      <c r="CF1260" s="1" t="str">
        <f ca="1">IFERROR(__xludf.DUMMYFUNCTION("""COMPUTED_VALUE"""),"Do Not Follow Up")</f>
        <v>Do Not Follow Up</v>
      </c>
      <c r="CG1260" s="1" t="str">
        <f ca="1">IFERROR(__xludf.DUMMYFUNCTION("""COMPUTED_VALUE"""),"Adarniya Prachi Ambrish Kanungo ji नवयुग की आधारशिला सद्‌भाव युक्त श्रद्धा : Rare Book : Allocated on 04-Dec-22 Contact Number  9423032456")</f>
        <v>Adarniya Prachi Ambrish Kanungo ji नवयुग की आधारशिला सद्‌भाव युक्त श्रद्धा : Rare Book : Allocated on 04-Dec-22 Contact Number  9423032456</v>
      </c>
      <c r="CH1260" s="1"/>
      <c r="CI1260" s="1"/>
    </row>
    <row r="1261" spans="1:87" x14ac:dyDescent="0.25">
      <c r="A1261" s="5">
        <f ca="1">IFERROR(__xludf.DUMMYFUNCTION("""COMPUTED_VALUE"""),44899.9770035416)</f>
        <v>44899.9770035416</v>
      </c>
      <c r="B1261" s="1" t="str">
        <f ca="1">IFERROR(__xludf.DUMMYFUNCTION("""COMPUTED_VALUE"""),"kajaliark@gmail.com")</f>
        <v>kajaliark@gmail.com</v>
      </c>
      <c r="C1261" s="1" t="str">
        <f ca="1">IFERROR(__xludf.DUMMYFUNCTION("""COMPUTED_VALUE"""),"Kali.Ambrish Kanungo ")</f>
        <v xml:space="preserve">Kali.Ambrish Kanungo </v>
      </c>
      <c r="D1261" s="1">
        <f ca="1">IFERROR(__xludf.DUMMYFUNCTION("""COMPUTED_VALUE"""),9423032456)</f>
        <v>9423032456</v>
      </c>
      <c r="E1261" s="1" t="str">
        <f ca="1">IFERROR(__xludf.DUMMYFUNCTION("""COMPUTED_VALUE"""),"Yes")</f>
        <v>Yes</v>
      </c>
      <c r="F1261" s="1" t="str">
        <f ca="1">IFERROR(__xludf.DUMMYFUNCTION("""COMPUTED_VALUE"""),"हिन्दी or English")</f>
        <v>हिन्दी or English</v>
      </c>
      <c r="G1261" s="1" t="str">
        <f ca="1">IFERROR(__xludf.DUMMYFUNCTION("""COMPUTED_VALUE"""),"जीवन प्रबंध")</f>
        <v>जीवन प्रबंध</v>
      </c>
      <c r="H1261" s="1"/>
      <c r="I1261" s="1"/>
      <c r="J1261" s="1"/>
      <c r="K1261" s="1"/>
      <c r="L1261" s="1" t="str">
        <f ca="1">IFERROR(__xludf.DUMMYFUNCTION("""COMPUTED_VALUE"""),"मन की शक्ति एवं मनोविज्ञान")</f>
        <v>मन की शक्ति एवं मनोविज्ञान</v>
      </c>
      <c r="M1261" s="1"/>
      <c r="N1261" s="1"/>
      <c r="O1261" s="1"/>
      <c r="P1261" s="1"/>
      <c r="Q1261" s="1"/>
      <c r="R1261" s="1"/>
      <c r="S1261" s="1"/>
      <c r="T1261" s="1"/>
      <c r="U1261" s="1"/>
      <c r="V1261" s="1"/>
      <c r="W1261" s="1"/>
      <c r="X1261" s="1"/>
      <c r="Y1261" s="1"/>
      <c r="Z1261" s="1"/>
      <c r="AA1261" s="1"/>
      <c r="AB1261" s="1"/>
      <c r="AC1261" s="1"/>
      <c r="AD1261" s="1"/>
      <c r="AE1261" s="1" t="str">
        <f ca="1">IFERROR(__xludf.DUMMYFUNCTION("""COMPUTED_VALUE"""),"मन को भगवान के साथ जोडिए")</f>
        <v>मन को भगवान के साथ जोडिए</v>
      </c>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f ca="1">IFERROR(__xludf.DUMMYFUNCTION("""COMPUTED_VALUE"""),6)</f>
        <v>6</v>
      </c>
      <c r="BX1261" s="1">
        <f ca="1">IFERROR(__xludf.DUMMYFUNCTION("""COMPUTED_VALUE"""),2)</f>
        <v>2</v>
      </c>
      <c r="BY1261" s="1">
        <f ca="1">IFERROR(__xludf.DUMMYFUNCTION("""COMPUTED_VALUE"""),2)</f>
        <v>2</v>
      </c>
      <c r="BZ1261" s="1">
        <f ca="1">IFERROR(__xludf.DUMMYFUNCTION("""COMPUTED_VALUE"""),1)</f>
        <v>1</v>
      </c>
      <c r="CA1261" s="1" t="str">
        <f ca="1">IFERROR(__xludf.DUMMYFUNCTION("""COMPUTED_VALUE"""),"Yes")</f>
        <v>Yes</v>
      </c>
      <c r="CB1261" s="5">
        <f ca="1">IFERROR(__xludf.DUMMYFUNCTION("""COMPUTED_VALUE"""),44909.9770035416)</f>
        <v>44909.9770035416</v>
      </c>
      <c r="CC1261" s="1" t="str">
        <f ca="1">IFERROR(__xludf.DUMMYFUNCTION("""COMPUTED_VALUE"""),"ऋषि चिंतन के सान्निध्य में भाग १ : H_SJ_09")</f>
        <v>ऋषि चिंतन के सान्निध्य में भाग १ : H_SJ_09</v>
      </c>
      <c r="CD1261" s="1" t="str">
        <f ca="1">IFERROR(__xludf.DUMMYFUNCTION("""COMPUTED_VALUE"""),"#N/A")</f>
        <v>#N/A</v>
      </c>
      <c r="CE1261" s="1" t="str">
        <f ca="1">IFERROR(__xludf.DUMMYFUNCTION("""COMPUTED_VALUE"""),"Audiobook : ऋषि चिंतन के सान्निध्य में भाग १ : H_SJ_09 : kajaliark@gmail.com : Recorded")</f>
        <v>Audiobook : ऋषि चिंतन के सान्निध्य में भाग १ : H_SJ_09 : kajaliark@gmail.com : Recorded</v>
      </c>
      <c r="CF1261" s="1" t="str">
        <f ca="1">IFERROR(__xludf.DUMMYFUNCTION("""COMPUTED_VALUE"""),"Do Not Follow Up")</f>
        <v>Do Not Follow Up</v>
      </c>
      <c r="CG1261" s="1" t="str">
        <f ca="1">IFERROR(__xludf.DUMMYFUNCTION("""COMPUTED_VALUE"""),"Adarniya Kali.Ambrish Kanungo  ji ऋषि चिंतन के सान्निध्य में भाग १ : H_SJ_09 : Allocated on 04-Dec-22 Contact Number  9423032456")</f>
        <v>Adarniya Kali.Ambrish Kanungo  ji ऋषि चिंतन के सान्निध्य में भाग १ : H_SJ_09 : Allocated on 04-Dec-22 Contact Number  9423032456</v>
      </c>
      <c r="CH1261" s="1"/>
      <c r="CI1261" s="1"/>
    </row>
    <row r="1262" spans="1:87" x14ac:dyDescent="0.25">
      <c r="A1262" s="5">
        <f ca="1">IFERROR(__xludf.DUMMYFUNCTION("""COMPUTED_VALUE"""),44899.975935243)</f>
        <v>44899.975935242997</v>
      </c>
      <c r="B1262" s="1" t="str">
        <f ca="1">IFERROR(__xludf.DUMMYFUNCTION("""COMPUTED_VALUE"""),"nvyas6@gmail.com")</f>
        <v>nvyas6@gmail.com</v>
      </c>
      <c r="C1262" s="1" t="str">
        <f ca="1">IFERROR(__xludf.DUMMYFUNCTION("""COMPUTED_VALUE"""),"Neelima Purohit")</f>
        <v>Neelima Purohit</v>
      </c>
      <c r="D1262" s="1" t="str">
        <f ca="1">IFERROR(__xludf.DUMMYFUNCTION("""COMPUTED_VALUE"""),"08560807035")</f>
        <v>08560807035</v>
      </c>
      <c r="E1262" s="1" t="str">
        <f ca="1">IFERROR(__xludf.DUMMYFUNCTION("""COMPUTED_VALUE"""),"Yes")</f>
        <v>Yes</v>
      </c>
      <c r="F1262" s="1" t="str">
        <f ca="1">IFERROR(__xludf.DUMMYFUNCTION("""COMPUTED_VALUE"""),"हिन्दी or English")</f>
        <v>हिन्दी or English</v>
      </c>
      <c r="G1262" s="1" t="str">
        <f ca="1">IFERROR(__xludf.DUMMYFUNCTION("""COMPUTED_VALUE"""),"जीवन प्रबंध")</f>
        <v>जीवन प्रबंध</v>
      </c>
      <c r="H1262" s="1"/>
      <c r="I1262" s="1"/>
      <c r="J1262" s="1"/>
      <c r="K1262" s="1"/>
      <c r="L1262" s="1" t="str">
        <f ca="1">IFERROR(__xludf.DUMMYFUNCTION("""COMPUTED_VALUE"""),"जीवन साधना")</f>
        <v>जीवन साधना</v>
      </c>
      <c r="M1262" s="1"/>
      <c r="N1262" s="1"/>
      <c r="O1262" s="1"/>
      <c r="P1262" s="1"/>
      <c r="Q1262" s="1"/>
      <c r="R1262" s="1"/>
      <c r="S1262" s="1"/>
      <c r="T1262" s="1"/>
      <c r="U1262" s="1"/>
      <c r="V1262" s="1"/>
      <c r="W1262" s="1"/>
      <c r="X1262" s="1"/>
      <c r="Y1262" s="1"/>
      <c r="Z1262" s="1"/>
      <c r="AA1262" s="1"/>
      <c r="AB1262" s="1"/>
      <c r="AC1262" s="1"/>
      <c r="AD1262" s="1" t="str">
        <f ca="1">IFERROR(__xludf.DUMMYFUNCTION("""COMPUTED_VALUE"""),"जीवन साधना की उर्जा रश्मियाँ")</f>
        <v>जीवन साधना की उर्जा रश्मियाँ</v>
      </c>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f ca="1">IFERROR(__xludf.DUMMYFUNCTION("""COMPUTED_VALUE"""),2)</f>
        <v>2</v>
      </c>
      <c r="BX1262" s="1">
        <f ca="1">IFERROR(__xludf.DUMMYFUNCTION("""COMPUTED_VALUE"""),0)</f>
        <v>0</v>
      </c>
      <c r="BY1262" s="1">
        <f ca="1">IFERROR(__xludf.DUMMYFUNCTION("""COMPUTED_VALUE"""),1)</f>
        <v>1</v>
      </c>
      <c r="BZ1262" s="1">
        <f ca="1">IFERROR(__xludf.DUMMYFUNCTION("""COMPUTED_VALUE"""),0)</f>
        <v>0</v>
      </c>
      <c r="CA1262" s="1" t="str">
        <f ca="1">IFERROR(__xludf.DUMMYFUNCTION("""COMPUTED_VALUE"""),"Yes")</f>
        <v>Yes</v>
      </c>
      <c r="CB1262" s="5">
        <f ca="1">IFERROR(__xludf.DUMMYFUNCTION("""COMPUTED_VALUE"""),44909.975935243)</f>
        <v>44909.975935242997</v>
      </c>
      <c r="CC1262" s="1" t="str">
        <f ca="1">IFERROR(__xludf.DUMMYFUNCTION("""COMPUTED_VALUE"""),"ऋषि चिंतन के सान्निध्य में भाग १ : H_SJ_09")</f>
        <v>ऋषि चिंतन के सान्निध्य में भाग १ : H_SJ_09</v>
      </c>
      <c r="CD1262" s="1" t="str">
        <f ca="1">IFERROR(__xludf.DUMMYFUNCTION("""COMPUTED_VALUE"""),"#N/A")</f>
        <v>#N/A</v>
      </c>
      <c r="CE1262" s="1" t="str">
        <f ca="1">IFERROR(__xludf.DUMMYFUNCTION("""COMPUTED_VALUE"""),"Audiobook : ऋषि चिंतन के सान्निध्य में भाग १ : H_SJ_09 : nvyas6@gmail.com : Recorded")</f>
        <v>Audiobook : ऋषि चिंतन के सान्निध्य में भाग १ : H_SJ_09 : nvyas6@gmail.com : Recorded</v>
      </c>
      <c r="CF1262" s="1" t="str">
        <f ca="1">IFERROR(__xludf.DUMMYFUNCTION("""COMPUTED_VALUE"""),"Do Not Follow Up")</f>
        <v>Do Not Follow Up</v>
      </c>
      <c r="CG1262" s="1" t="str">
        <f ca="1">IFERROR(__xludf.DUMMYFUNCTION("""COMPUTED_VALUE"""),"Adarniya Neelima Purohit ji ऋषि चिंतन के सान्निध्य में भाग १ : H_SJ_09 : Allocated on 04-Dec-22 Contact Number  08560807035")</f>
        <v>Adarniya Neelima Purohit ji ऋषि चिंतन के सान्निध्य में भाग १ : H_SJ_09 : Allocated on 04-Dec-22 Contact Number  08560807035</v>
      </c>
      <c r="CH1262" s="1"/>
      <c r="CI1262" s="1"/>
    </row>
    <row r="1263" spans="1:87" x14ac:dyDescent="0.25">
      <c r="A1263" s="5">
        <f ca="1">IFERROR(__xludf.DUMMYFUNCTION("""COMPUTED_VALUE"""),44899.9747299305)</f>
        <v>44899.974729930502</v>
      </c>
      <c r="B1263" s="1" t="str">
        <f ca="1">IFERROR(__xludf.DUMMYFUNCTION("""COMPUTED_VALUE"""),"kajaliark@gmail.com")</f>
        <v>kajaliark@gmail.com</v>
      </c>
      <c r="C1263" s="1" t="str">
        <f ca="1">IFERROR(__xludf.DUMMYFUNCTION("""COMPUTED_VALUE"""),"Mili Ambrish Kanungo ")</f>
        <v xml:space="preserve">Mili Ambrish Kanungo </v>
      </c>
      <c r="D1263" s="1">
        <f ca="1">IFERROR(__xludf.DUMMYFUNCTION("""COMPUTED_VALUE"""),9423032456)</f>
        <v>9423032456</v>
      </c>
      <c r="E1263" s="1" t="str">
        <f ca="1">IFERROR(__xludf.DUMMYFUNCTION("""COMPUTED_VALUE"""),"Yes")</f>
        <v>Yes</v>
      </c>
      <c r="F1263" s="1" t="str">
        <f ca="1">IFERROR(__xludf.DUMMYFUNCTION("""COMPUTED_VALUE"""),"हिन्दी or English")</f>
        <v>हिन्दी or English</v>
      </c>
      <c r="G1263" s="1" t="str">
        <f ca="1">IFERROR(__xludf.DUMMYFUNCTION("""COMPUTED_VALUE"""),"युग परिवर्तन-विचार क्रांति")</f>
        <v>युग परिवर्तन-विचार क्रांति</v>
      </c>
      <c r="H1263" s="1"/>
      <c r="I1263" s="1"/>
      <c r="J1263" s="1"/>
      <c r="K1263" s="1"/>
      <c r="L1263" s="1"/>
      <c r="M1263" s="1"/>
      <c r="N1263" s="1"/>
      <c r="O1263" s="1"/>
      <c r="P1263" s="1"/>
      <c r="Q1263" s="1" t="str">
        <f ca="1">IFERROR(__xludf.DUMMYFUNCTION("""COMPUTED_VALUE"""),"युग निर्माण योजना एवं युग परिवर्तन")</f>
        <v>युग निर्माण योजना एवं युग परिवर्तन</v>
      </c>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t="str">
        <f ca="1">IFERROR(__xludf.DUMMYFUNCTION("""COMPUTED_VALUE"""),"युग परिवर्तन में ज्ञानयज्ञ की भूमिका")</f>
        <v>युग परिवर्तन में ज्ञानयज्ञ की भूमिका</v>
      </c>
      <c r="AW1263" s="1"/>
      <c r="AX1263" s="1"/>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f ca="1">IFERROR(__xludf.DUMMYFUNCTION("""COMPUTED_VALUE"""),6)</f>
        <v>6</v>
      </c>
      <c r="BX1263" s="1">
        <f ca="1">IFERROR(__xludf.DUMMYFUNCTION("""COMPUTED_VALUE"""),2)</f>
        <v>2</v>
      </c>
      <c r="BY1263" s="1">
        <f ca="1">IFERROR(__xludf.DUMMYFUNCTION("""COMPUTED_VALUE"""),2)</f>
        <v>2</v>
      </c>
      <c r="BZ1263" s="1">
        <f ca="1">IFERROR(__xludf.DUMMYFUNCTION("""COMPUTED_VALUE"""),1)</f>
        <v>1</v>
      </c>
      <c r="CA1263" s="1" t="str">
        <f ca="1">IFERROR(__xludf.DUMMYFUNCTION("""COMPUTED_VALUE"""),"Yes")</f>
        <v>Yes</v>
      </c>
      <c r="CB1263" s="5">
        <f ca="1">IFERROR(__xludf.DUMMYFUNCTION("""COMPUTED_VALUE"""),44909.9747299305)</f>
        <v>44909.974729930502</v>
      </c>
      <c r="CC1263" s="1" t="str">
        <f ca="1">IFERROR(__xludf.DUMMYFUNCTION("""COMPUTED_VALUE"""),"नवयुग की आधारशिला सद्‌भाव युक्त श्रद्धा : Rare Book")</f>
        <v>नवयुग की आधारशिला सद्‌भाव युक्त श्रद्धा : Rare Book</v>
      </c>
      <c r="CD1263" s="3" t="str">
        <f ca="1">IFERROR(__xludf.DUMMYFUNCTION("""COMPUTED_VALUE"""),"https://vicharkrantibooks.org/productdetail?book_name=HINP0596_NAVAYUG_KI_ADHARASHILA_SADBHAV_YUKT_SHRADDHA_xx1981&amp;product_id=1161")</f>
        <v>https://vicharkrantibooks.org/productdetail?book_name=HINP0596_NAVAYUG_KI_ADHARASHILA_SADBHAV_YUKT_SHRADDHA_xx1981&amp;product_id=1161</v>
      </c>
      <c r="CE1263" s="1" t="str">
        <f ca="1">IFERROR(__xludf.DUMMYFUNCTION("""COMPUTED_VALUE"""),"Audiobook : नवयुग की आधारशिला सद्‌भाव युक्त श्रद्धा : Rare Book : kajaliark@gmail.com : Recorded")</f>
        <v>Audiobook : नवयुग की आधारशिला सद्‌भाव युक्त श्रद्धा : Rare Book : kajaliark@gmail.com : Recorded</v>
      </c>
      <c r="CF1263" s="1" t="str">
        <f ca="1">IFERROR(__xludf.DUMMYFUNCTION("""COMPUTED_VALUE"""),"Do Not Follow Up")</f>
        <v>Do Not Follow Up</v>
      </c>
      <c r="CG1263" s="1" t="str">
        <f ca="1">IFERROR(__xludf.DUMMYFUNCTION("""COMPUTED_VALUE"""),"Adarniya Mili Ambrish Kanungo  ji नवयुग की आधारशिला सद्‌भाव युक्त श्रद्धा : Rare Book : Allocated on 04-Dec-22 Contact Number  9423032456")</f>
        <v>Adarniya Mili Ambrish Kanungo  ji नवयुग की आधारशिला सद्‌भाव युक्त श्रद्धा : Rare Book : Allocated on 04-Dec-22 Contact Number  9423032456</v>
      </c>
      <c r="CH1263" s="1"/>
      <c r="CI1263" s="1"/>
    </row>
    <row r="1264" spans="1:87" x14ac:dyDescent="0.25">
      <c r="A1264" s="8">
        <f ca="1">IFERROR(__xludf.DUMMYFUNCTION("""COMPUTED_VALUE"""),44849)</f>
        <v>44849</v>
      </c>
      <c r="B1264" s="1" t="str">
        <f ca="1">IFERROR(__xludf.DUMMYFUNCTION("""COMPUTED_VALUE"""),"artiawgp@gmail.com")</f>
        <v>artiawgp@gmail.com</v>
      </c>
      <c r="C1264" s="1" t="str">
        <f ca="1">IFERROR(__xludf.DUMMYFUNCTION("""COMPUTED_VALUE"""),"Arti Upadhyay ")</f>
        <v xml:space="preserve">Arti Upadhyay </v>
      </c>
      <c r="D1264" s="1">
        <f ca="1">IFERROR(__xludf.DUMMYFUNCTION("""COMPUTED_VALUE"""),9979734774)</f>
        <v>9979734774</v>
      </c>
      <c r="E1264" s="1" t="str">
        <f ca="1">IFERROR(__xludf.DUMMYFUNCTION("""COMPUTED_VALUE"""),"Yes")</f>
        <v>Yes</v>
      </c>
      <c r="F1264" s="1" t="str">
        <f ca="1">IFERROR(__xludf.DUMMYFUNCTION("""COMPUTED_VALUE"""),"हिन्दी")</f>
        <v>हिन्दी</v>
      </c>
      <c r="G1264" s="1" t="str">
        <f ca="1">IFERROR(__xludf.DUMMYFUNCTION("""COMPUTED_VALUE"""),"संस्कार, कर्मकाण्ड, पाठ, पूजा, गीत-संगीत")</f>
        <v>संस्कार, कर्मकाण्ड, पाठ, पूजा, गीत-संगीत</v>
      </c>
      <c r="H1264" s="1"/>
      <c r="I1264" s="1"/>
      <c r="J1264" s="1"/>
      <c r="K1264" s="1"/>
      <c r="L1264" s="1"/>
      <c r="M1264" s="1"/>
      <c r="N1264" s="1"/>
      <c r="O1264" s="1"/>
      <c r="P1264" s="1"/>
      <c r="Q1264" s="1"/>
      <c r="R1264" s="1"/>
      <c r="S1264" s="1"/>
      <c r="T1264" s="1"/>
      <c r="U1264" s="1"/>
      <c r="V1264" s="1"/>
      <c r="W1264" s="1" t="str">
        <f ca="1">IFERROR(__xludf.DUMMYFUNCTION("""COMPUTED_VALUE"""),"पर्व-त्यौहार, कर्मकाण्ड")</f>
        <v>पर्व-त्यौहार, कर्मकाण्ड</v>
      </c>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t="str">
        <f ca="1">IFERROR(__xludf.DUMMYFUNCTION("""COMPUTED_VALUE"""),"युग परिवर्तन में समर्थ दीपयज्ञ")</f>
        <v>युग परिवर्तन में समर्थ दीपयज्ञ</v>
      </c>
      <c r="BH1264" s="1"/>
      <c r="BI1264" s="1"/>
      <c r="BJ1264" s="1"/>
      <c r="BK1264" s="1"/>
      <c r="BL1264" s="1"/>
      <c r="BM1264" s="1"/>
      <c r="BN1264" s="1"/>
      <c r="BO1264" s="1"/>
      <c r="BP1264" s="1"/>
      <c r="BQ1264" s="1"/>
      <c r="BR1264" s="1"/>
      <c r="BS1264" s="1"/>
      <c r="BT1264" s="1"/>
      <c r="BU1264" s="1"/>
      <c r="BV1264" s="1"/>
      <c r="BW1264" s="1">
        <f ca="1">IFERROR(__xludf.DUMMYFUNCTION("""COMPUTED_VALUE"""),12)</f>
        <v>12</v>
      </c>
      <c r="BX1264" s="1">
        <f ca="1">IFERROR(__xludf.DUMMYFUNCTION("""COMPUTED_VALUE"""),3)</f>
        <v>3</v>
      </c>
      <c r="BY1264" s="1">
        <f ca="1">IFERROR(__xludf.DUMMYFUNCTION("""COMPUTED_VALUE"""),10)</f>
        <v>10</v>
      </c>
      <c r="BZ1264" s="1">
        <f ca="1">IFERROR(__xludf.DUMMYFUNCTION("""COMPUTED_VALUE"""),0)</f>
        <v>0</v>
      </c>
      <c r="CA1264" s="1" t="str">
        <f ca="1">IFERROR(__xludf.DUMMYFUNCTION("""COMPUTED_VALUE"""),"Email")</f>
        <v>Email</v>
      </c>
      <c r="CB1264" s="8">
        <f ca="1">IFERROR(__xludf.DUMMYFUNCTION("""COMPUTED_VALUE"""),44859)</f>
        <v>44859</v>
      </c>
      <c r="CC1264" s="1" t="str">
        <f ca="1">IFERROR(__xludf.DUMMYFUNCTION("""COMPUTED_VALUE"""),"अग्निहोत्र की गरिमा और महत्ता : Rare Book")</f>
        <v>अग्निहोत्र की गरिमा और महत्ता : Rare Book</v>
      </c>
      <c r="CD1264" s="3" t="str">
        <f ca="1">IFERROR(__xludf.DUMMYFUNCTION("""COMPUTED_VALUE"""),"https://vicharkrantibooks.org/productdetail?book_name=HINP0030_AGNIHOTR_KI_GARIMA_AUR_MAHATTA_xx1982&amp;product_id=595")</f>
        <v>https://vicharkrantibooks.org/productdetail?book_name=HINP0030_AGNIHOTR_KI_GARIMA_AUR_MAHATTA_xx1982&amp;product_id=595</v>
      </c>
      <c r="CE1264" s="1" t="str">
        <f ca="1">IFERROR(__xludf.DUMMYFUNCTION("""COMPUTED_VALUE"""),"Audiobook : अग्निहोत्र की गरिमा और महत्ता : Rare Book : artiawgp@gmail.com : Recorded")</f>
        <v>Audiobook : अग्निहोत्र की गरिमा और महत्ता : Rare Book : artiawgp@gmail.com : Recorded</v>
      </c>
      <c r="CF1264" s="1" t="str">
        <f ca="1">IFERROR(__xludf.DUMMYFUNCTION("""COMPUTED_VALUE"""),"Audiobook : अग्निहोत्र की गरिमा और महत्ता : Rare Book : artiawgp@gmail.com : Recorded")</f>
        <v>Audiobook : अग्निहोत्र की गरिमा और महत्ता : Rare Book : artiawgp@gmail.com : Recorded</v>
      </c>
      <c r="CG1264" s="1" t="str">
        <f ca="1">IFERROR(__xludf.DUMMYFUNCTION("""COMPUTED_VALUE"""),"Adarniya Arti Upadhyay  ji अग्निहोत्र की गरिमा और महत्ता : Rare Book : Allocated on 15-Oct-22 Contact Number  9979734774")</f>
        <v>Adarniya Arti Upadhyay  ji अग्निहोत्र की गरिमा और महत्ता : Rare Book : Allocated on 15-Oct-22 Contact Number  9979734774</v>
      </c>
      <c r="CH1264" s="1"/>
      <c r="CI1264" s="1"/>
    </row>
    <row r="1265" spans="1:87" x14ac:dyDescent="0.25">
      <c r="A1265" s="8">
        <f ca="1">IFERROR(__xludf.DUMMYFUNCTION("""COMPUTED_VALUE"""),44849)</f>
        <v>44849</v>
      </c>
      <c r="B1265" s="1" t="str">
        <f ca="1">IFERROR(__xludf.DUMMYFUNCTION("""COMPUTED_VALUE"""),"artiawgp@gmail.com")</f>
        <v>artiawgp@gmail.com</v>
      </c>
      <c r="C1265" s="1" t="str">
        <f ca="1">IFERROR(__xludf.DUMMYFUNCTION("""COMPUTED_VALUE"""),"Arti Upadhyay ")</f>
        <v xml:space="preserve">Arti Upadhyay </v>
      </c>
      <c r="D1265" s="1">
        <f ca="1">IFERROR(__xludf.DUMMYFUNCTION("""COMPUTED_VALUE"""),9979734774)</f>
        <v>9979734774</v>
      </c>
      <c r="E1265" s="1" t="str">
        <f ca="1">IFERROR(__xludf.DUMMYFUNCTION("""COMPUTED_VALUE"""),"Yes")</f>
        <v>Yes</v>
      </c>
      <c r="F1265" s="1" t="str">
        <f ca="1">IFERROR(__xludf.DUMMYFUNCTION("""COMPUTED_VALUE"""),"हिन्दी")</f>
        <v>हिन्दी</v>
      </c>
      <c r="G1265" s="1" t="str">
        <f ca="1">IFERROR(__xludf.DUMMYFUNCTION("""COMPUTED_VALUE"""),"संस्कार, कर्मकाण्ड, पाठ, पूजा, गीत-संगीत")</f>
        <v>संस्कार, कर्मकाण्ड, पाठ, पूजा, गीत-संगीत</v>
      </c>
      <c r="H1265" s="1"/>
      <c r="I1265" s="1"/>
      <c r="J1265" s="1"/>
      <c r="K1265" s="1"/>
      <c r="L1265" s="1"/>
      <c r="M1265" s="1"/>
      <c r="N1265" s="1"/>
      <c r="O1265" s="1"/>
      <c r="P1265" s="1"/>
      <c r="Q1265" s="1"/>
      <c r="R1265" s="1"/>
      <c r="S1265" s="1"/>
      <c r="T1265" s="1"/>
      <c r="U1265" s="1"/>
      <c r="V1265" s="1"/>
      <c r="W1265" s="1" t="str">
        <f ca="1">IFERROR(__xludf.DUMMYFUNCTION("""COMPUTED_VALUE"""),"पर्व-त्यौहार, कर्मकाण्ड")</f>
        <v>पर्व-त्यौहार, कर्मकाण्ड</v>
      </c>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t="str">
        <f ca="1">IFERROR(__xludf.DUMMYFUNCTION("""COMPUTED_VALUE"""),"युग परिवर्तन में समर्थ दीपयज्ञ")</f>
        <v>युग परिवर्तन में समर्थ दीपयज्ञ</v>
      </c>
      <c r="BH1265" s="1"/>
      <c r="BI1265" s="1"/>
      <c r="BJ1265" s="1"/>
      <c r="BK1265" s="1"/>
      <c r="BL1265" s="1"/>
      <c r="BM1265" s="1"/>
      <c r="BN1265" s="1"/>
      <c r="BO1265" s="1"/>
      <c r="BP1265" s="1"/>
      <c r="BQ1265" s="1"/>
      <c r="BR1265" s="1"/>
      <c r="BS1265" s="1"/>
      <c r="BT1265" s="1"/>
      <c r="BU1265" s="1"/>
      <c r="BV1265" s="1"/>
      <c r="BW1265" s="1">
        <f ca="1">IFERROR(__xludf.DUMMYFUNCTION("""COMPUTED_VALUE"""),12)</f>
        <v>12</v>
      </c>
      <c r="BX1265" s="1">
        <f ca="1">IFERROR(__xludf.DUMMYFUNCTION("""COMPUTED_VALUE"""),3)</f>
        <v>3</v>
      </c>
      <c r="BY1265" s="1">
        <f ca="1">IFERROR(__xludf.DUMMYFUNCTION("""COMPUTED_VALUE"""),10)</f>
        <v>10</v>
      </c>
      <c r="BZ1265" s="1">
        <f ca="1">IFERROR(__xludf.DUMMYFUNCTION("""COMPUTED_VALUE"""),0)</f>
        <v>0</v>
      </c>
      <c r="CA1265" s="1" t="str">
        <f ca="1">IFERROR(__xludf.DUMMYFUNCTION("""COMPUTED_VALUE"""),"Email")</f>
        <v>Email</v>
      </c>
      <c r="CB1265" s="8">
        <f ca="1">IFERROR(__xludf.DUMMYFUNCTION("""COMPUTED_VALUE"""),44859)</f>
        <v>44859</v>
      </c>
      <c r="CC1265" s="1" t="str">
        <f ca="1">IFERROR(__xludf.DUMMYFUNCTION("""COMPUTED_VALUE"""),"जनमानस का परिष्कार पर्व आयोजनों से : Rare Book")</f>
        <v>जनमानस का परिष्कार पर्व आयोजनों से : Rare Book</v>
      </c>
      <c r="CD1265" s="3" t="str">
        <f ca="1">IFERROR(__xludf.DUMMYFUNCTION("""COMPUTED_VALUE"""),"https://vicharkrantibooks.org/productdetail?book_name=HINP0377_JANAMANAS_KE_PARISHKAR_PARV_AYOJANON_SE_xx1981&amp;product_id=942")</f>
        <v>https://vicharkrantibooks.org/productdetail?book_name=HINP0377_JANAMANAS_KE_PARISHKAR_PARV_AYOJANON_SE_xx1981&amp;product_id=942</v>
      </c>
      <c r="CE1265" s="1" t="str">
        <f ca="1">IFERROR(__xludf.DUMMYFUNCTION("""COMPUTED_VALUE"""),"Audiobook : जनमानस का परिष्कार पर्व आयोजनों से : Rare Book : artiawgp@gmail.com : Recorded")</f>
        <v>Audiobook : जनमानस का परिष्कार पर्व आयोजनों से : Rare Book : artiawgp@gmail.com : Recorded</v>
      </c>
      <c r="CF1265" s="1" t="str">
        <f ca="1">IFERROR(__xludf.DUMMYFUNCTION("""COMPUTED_VALUE"""),"Audiobook : जनमानस का परिष्कार पर्व आयोजनों से : Rare Book : artiawgp@gmail.com : Recorded")</f>
        <v>Audiobook : जनमानस का परिष्कार पर्व आयोजनों से : Rare Book : artiawgp@gmail.com : Recorded</v>
      </c>
      <c r="CG1265" s="1" t="str">
        <f ca="1">IFERROR(__xludf.DUMMYFUNCTION("""COMPUTED_VALUE"""),"Adarniya Arti Upadhyay  ji जनमानस का परिष्कार पर्व आयोजनों से : Rare Book : Allocated on 15-Oct-22 Contact Number  9979734774")</f>
        <v>Adarniya Arti Upadhyay  ji जनमानस का परिष्कार पर्व आयोजनों से : Rare Book : Allocated on 15-Oct-22 Contact Number  9979734774</v>
      </c>
      <c r="CH1265" s="1"/>
      <c r="CI1265" s="1"/>
    </row>
    <row r="1266" spans="1:87" x14ac:dyDescent="0.25">
      <c r="A1266" s="8">
        <f ca="1">IFERROR(__xludf.DUMMYFUNCTION("""COMPUTED_VALUE"""),44849)</f>
        <v>44849</v>
      </c>
      <c r="B1266" s="1" t="str">
        <f ca="1">IFERROR(__xludf.DUMMYFUNCTION("""COMPUTED_VALUE"""),"artiawgp@gmail.com")</f>
        <v>artiawgp@gmail.com</v>
      </c>
      <c r="C1266" s="1" t="str">
        <f ca="1">IFERROR(__xludf.DUMMYFUNCTION("""COMPUTED_VALUE"""),"Arti Upadhyay ")</f>
        <v xml:space="preserve">Arti Upadhyay </v>
      </c>
      <c r="D1266" s="1">
        <f ca="1">IFERROR(__xludf.DUMMYFUNCTION("""COMPUTED_VALUE"""),9979734774)</f>
        <v>9979734774</v>
      </c>
      <c r="E1266" s="1" t="str">
        <f ca="1">IFERROR(__xludf.DUMMYFUNCTION("""COMPUTED_VALUE"""),"Yes")</f>
        <v>Yes</v>
      </c>
      <c r="F1266" s="1" t="str">
        <f ca="1">IFERROR(__xludf.DUMMYFUNCTION("""COMPUTED_VALUE"""),"हिन्दी")</f>
        <v>हिन्दी</v>
      </c>
      <c r="G1266" s="1" t="str">
        <f ca="1">IFERROR(__xludf.DUMMYFUNCTION("""COMPUTED_VALUE"""),"संस्कार, कर्मकाण्ड, पाठ, पूजा, गीत-संगीत")</f>
        <v>संस्कार, कर्मकाण्ड, पाठ, पूजा, गीत-संगीत</v>
      </c>
      <c r="H1266" s="1"/>
      <c r="I1266" s="1"/>
      <c r="J1266" s="1"/>
      <c r="K1266" s="1"/>
      <c r="L1266" s="1"/>
      <c r="M1266" s="1"/>
      <c r="N1266" s="1"/>
      <c r="O1266" s="1"/>
      <c r="P1266" s="1"/>
      <c r="Q1266" s="1"/>
      <c r="R1266" s="1"/>
      <c r="S1266" s="1"/>
      <c r="T1266" s="1"/>
      <c r="U1266" s="1"/>
      <c r="V1266" s="1"/>
      <c r="W1266" s="1" t="str">
        <f ca="1">IFERROR(__xludf.DUMMYFUNCTION("""COMPUTED_VALUE"""),"पर्व-त्यौहार, कर्मकाण्ड")</f>
        <v>पर्व-त्यौहार, कर्मकाण्ड</v>
      </c>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t="str">
        <f ca="1">IFERROR(__xludf.DUMMYFUNCTION("""COMPUTED_VALUE"""),"युग परिवर्तन में समर्थ दीपयज्ञ")</f>
        <v>युग परिवर्तन में समर्थ दीपयज्ञ</v>
      </c>
      <c r="BH1266" s="1"/>
      <c r="BI1266" s="1"/>
      <c r="BJ1266" s="1"/>
      <c r="BK1266" s="1"/>
      <c r="BL1266" s="1"/>
      <c r="BM1266" s="1"/>
      <c r="BN1266" s="1"/>
      <c r="BO1266" s="1"/>
      <c r="BP1266" s="1"/>
      <c r="BQ1266" s="1"/>
      <c r="BR1266" s="1"/>
      <c r="BS1266" s="1"/>
      <c r="BT1266" s="1"/>
      <c r="BU1266" s="1"/>
      <c r="BV1266" s="1"/>
      <c r="BW1266" s="1">
        <f ca="1">IFERROR(__xludf.DUMMYFUNCTION("""COMPUTED_VALUE"""),12)</f>
        <v>12</v>
      </c>
      <c r="BX1266" s="1">
        <f ca="1">IFERROR(__xludf.DUMMYFUNCTION("""COMPUTED_VALUE"""),3)</f>
        <v>3</v>
      </c>
      <c r="BY1266" s="1">
        <f ca="1">IFERROR(__xludf.DUMMYFUNCTION("""COMPUTED_VALUE"""),10)</f>
        <v>10</v>
      </c>
      <c r="BZ1266" s="1">
        <f ca="1">IFERROR(__xludf.DUMMYFUNCTION("""COMPUTED_VALUE"""),0)</f>
        <v>0</v>
      </c>
      <c r="CA1266" s="1" t="str">
        <f ca="1">IFERROR(__xludf.DUMMYFUNCTION("""COMPUTED_VALUE"""),"Email")</f>
        <v>Email</v>
      </c>
      <c r="CB1266" s="8">
        <f ca="1">IFERROR(__xludf.DUMMYFUNCTION("""COMPUTED_VALUE"""),44859)</f>
        <v>44859</v>
      </c>
      <c r="CC1266" s="1" t="str">
        <f ca="1">IFERROR(__xludf.DUMMYFUNCTION("""COMPUTED_VALUE"""),"कर्मकांड की प्रेरणाओं में छिपा अध्यात्म : H_JS_39")</f>
        <v>कर्मकांड की प्रेरणाओं में छिपा अध्यात्म : H_JS_39</v>
      </c>
      <c r="CD1266" s="3" t="str">
        <f ca="1">IFERROR(__xludf.DUMMYFUNCTION("""COMPUTED_VALUE"""),"https://vicharkrantibooks.org/productdetail?book_name=HINP0423_KARMAKAND_KI_PRERANAON_MEIN_CHHIPA_ADHYATM_xx2011&amp;product_id=988")</f>
        <v>https://vicharkrantibooks.org/productdetail?book_name=HINP0423_KARMAKAND_KI_PRERANAON_MEIN_CHHIPA_ADHYATM_xx2011&amp;product_id=988</v>
      </c>
      <c r="CE1266" s="1" t="str">
        <f ca="1">IFERROR(__xludf.DUMMYFUNCTION("""COMPUTED_VALUE"""),"Audiobook : कर्मकांड की प्रेरणाओं में छिपा अध्यात्म : H_JS_39 : artiawgp@gmail.com : Recorded")</f>
        <v>Audiobook : कर्मकांड की प्रेरणाओं में छिपा अध्यात्म : H_JS_39 : artiawgp@gmail.com : Recorded</v>
      </c>
      <c r="CF1266" s="1" t="str">
        <f ca="1">IFERROR(__xludf.DUMMYFUNCTION("""COMPUTED_VALUE"""),"#N/A")</f>
        <v>#N/A</v>
      </c>
      <c r="CG1266" s="1" t="str">
        <f ca="1">IFERROR(__xludf.DUMMYFUNCTION("""COMPUTED_VALUE"""),"Adarniya Arti Upadhyay  ji कर्मकांड की प्रेरणाओं में छिपा अध्यात्म : H_JS_39 : Allocated on 15-Oct-22 Contact Number  9979734774")</f>
        <v>Adarniya Arti Upadhyay  ji कर्मकांड की प्रेरणाओं में छिपा अध्यात्म : H_JS_39 : Allocated on 15-Oct-22 Contact Number  9979734774</v>
      </c>
      <c r="CH1266" s="1"/>
      <c r="CI1266" s="1"/>
    </row>
    <row r="1267" spans="1:87" x14ac:dyDescent="0.25">
      <c r="A1267" s="8">
        <f ca="1">IFERROR(__xludf.DUMMYFUNCTION("""COMPUTED_VALUE"""),44849)</f>
        <v>44849</v>
      </c>
      <c r="B1267" s="1" t="str">
        <f ca="1">IFERROR(__xludf.DUMMYFUNCTION("""COMPUTED_VALUE"""),"artiawgp@gmail.com")</f>
        <v>artiawgp@gmail.com</v>
      </c>
      <c r="C1267" s="1" t="str">
        <f ca="1">IFERROR(__xludf.DUMMYFUNCTION("""COMPUTED_VALUE"""),"Arti Upadhyay ")</f>
        <v xml:space="preserve">Arti Upadhyay </v>
      </c>
      <c r="D1267" s="1">
        <f ca="1">IFERROR(__xludf.DUMMYFUNCTION("""COMPUTED_VALUE"""),9979734774)</f>
        <v>9979734774</v>
      </c>
      <c r="E1267" s="1" t="str">
        <f ca="1">IFERROR(__xludf.DUMMYFUNCTION("""COMPUTED_VALUE"""),"Yes")</f>
        <v>Yes</v>
      </c>
      <c r="F1267" s="1" t="str">
        <f ca="1">IFERROR(__xludf.DUMMYFUNCTION("""COMPUTED_VALUE"""),"हिन्दी")</f>
        <v>हिन्दी</v>
      </c>
      <c r="G1267" s="1" t="str">
        <f ca="1">IFERROR(__xludf.DUMMYFUNCTION("""COMPUTED_VALUE"""),"संस्कार, कर्मकाण्ड, पाठ, पूजा, गीत-संगीत")</f>
        <v>संस्कार, कर्मकाण्ड, पाठ, पूजा, गीत-संगीत</v>
      </c>
      <c r="H1267" s="1"/>
      <c r="I1267" s="1"/>
      <c r="J1267" s="1"/>
      <c r="K1267" s="1"/>
      <c r="L1267" s="1"/>
      <c r="M1267" s="1"/>
      <c r="N1267" s="1"/>
      <c r="O1267" s="1"/>
      <c r="P1267" s="1"/>
      <c r="Q1267" s="1"/>
      <c r="R1267" s="1"/>
      <c r="S1267" s="1"/>
      <c r="T1267" s="1"/>
      <c r="U1267" s="1"/>
      <c r="V1267" s="1"/>
      <c r="W1267" s="1" t="str">
        <f ca="1">IFERROR(__xludf.DUMMYFUNCTION("""COMPUTED_VALUE"""),"पर्व-त्यौहार, कर्मकाण्ड")</f>
        <v>पर्व-त्यौहार, कर्मकाण्ड</v>
      </c>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t="str">
        <f ca="1">IFERROR(__xludf.DUMMYFUNCTION("""COMPUTED_VALUE"""),"युग परिवर्तन में समर्थ दीपयज्ञ")</f>
        <v>युग परिवर्तन में समर्थ दीपयज्ञ</v>
      </c>
      <c r="BH1267" s="1"/>
      <c r="BI1267" s="1"/>
      <c r="BJ1267" s="1"/>
      <c r="BK1267" s="1"/>
      <c r="BL1267" s="1"/>
      <c r="BM1267" s="1"/>
      <c r="BN1267" s="1"/>
      <c r="BO1267" s="1"/>
      <c r="BP1267" s="1"/>
      <c r="BQ1267" s="1"/>
      <c r="BR1267" s="1"/>
      <c r="BS1267" s="1"/>
      <c r="BT1267" s="1"/>
      <c r="BU1267" s="1"/>
      <c r="BV1267" s="1"/>
      <c r="BW1267" s="1">
        <f ca="1">IFERROR(__xludf.DUMMYFUNCTION("""COMPUTED_VALUE"""),12)</f>
        <v>12</v>
      </c>
      <c r="BX1267" s="1">
        <f ca="1">IFERROR(__xludf.DUMMYFUNCTION("""COMPUTED_VALUE"""),3)</f>
        <v>3</v>
      </c>
      <c r="BY1267" s="1">
        <f ca="1">IFERROR(__xludf.DUMMYFUNCTION("""COMPUTED_VALUE"""),10)</f>
        <v>10</v>
      </c>
      <c r="BZ1267" s="1">
        <f ca="1">IFERROR(__xludf.DUMMYFUNCTION("""COMPUTED_VALUE"""),0)</f>
        <v>0</v>
      </c>
      <c r="CA1267" s="1" t="str">
        <f ca="1">IFERROR(__xludf.DUMMYFUNCTION("""COMPUTED_VALUE"""),"Email")</f>
        <v>Email</v>
      </c>
      <c r="CB1267" s="8">
        <f ca="1">IFERROR(__xludf.DUMMYFUNCTION("""COMPUTED_VALUE"""),44859)</f>
        <v>44859</v>
      </c>
      <c r="CC1267" s="1" t="str">
        <f ca="1">IFERROR(__xludf.DUMMYFUNCTION("""COMPUTED_VALUE"""),"कर्मकांड में छिपा व्यक्तित्व निर्माण का शिक्षण : H_JS_38")</f>
        <v>कर्मकांड में छिपा व्यक्तित्व निर्माण का शिक्षण : H_JS_38</v>
      </c>
      <c r="CD1267" s="3" t="str">
        <f ca="1">IFERROR(__xludf.DUMMYFUNCTION("""COMPUTED_VALUE"""),"https://vicharkrantibooks.org/productdetail?book_name=HINP0424_KARMAKAND_MEIN_CHHIPA_VYAKTITV_NIRMAN_KA_SHIKSHAN_xx2011&amp;product_id=989")</f>
        <v>https://vicharkrantibooks.org/productdetail?book_name=HINP0424_KARMAKAND_MEIN_CHHIPA_VYAKTITV_NIRMAN_KA_SHIKSHAN_xx2011&amp;product_id=989</v>
      </c>
      <c r="CE1267" s="1" t="str">
        <f ca="1">IFERROR(__xludf.DUMMYFUNCTION("""COMPUTED_VALUE"""),"Audiobook : कर्मकांड में छिपा व्यक्तित्व निर्माण का शिक्षण : H_JS_38 : artiawgp@gmail.com : Recorded")</f>
        <v>Audiobook : कर्मकांड में छिपा व्यक्तित्व निर्माण का शिक्षण : H_JS_38 : artiawgp@gmail.com : Recorded</v>
      </c>
      <c r="CF1267" s="1" t="str">
        <f ca="1">IFERROR(__xludf.DUMMYFUNCTION("""COMPUTED_VALUE"""),"#N/A")</f>
        <v>#N/A</v>
      </c>
      <c r="CG1267" s="1" t="str">
        <f ca="1">IFERROR(__xludf.DUMMYFUNCTION("""COMPUTED_VALUE"""),"Adarniya Arti Upadhyay  ji कर्मकांड में छिपा व्यक्तित्व निर्माण का शिक्षण : H_JS_38 : Allocated on 15-Oct-22 Contact Number  9979734774")</f>
        <v>Adarniya Arti Upadhyay  ji कर्मकांड में छिपा व्यक्तित्व निर्माण का शिक्षण : H_JS_38 : Allocated on 15-Oct-22 Contact Number  9979734774</v>
      </c>
      <c r="CH1267" s="1"/>
      <c r="CI1267" s="1"/>
    </row>
    <row r="1268" spans="1:87" x14ac:dyDescent="0.25">
      <c r="A1268" s="8">
        <f ca="1">IFERROR(__xludf.DUMMYFUNCTION("""COMPUTED_VALUE"""),44849)</f>
        <v>44849</v>
      </c>
      <c r="B1268" s="1" t="str">
        <f ca="1">IFERROR(__xludf.DUMMYFUNCTION("""COMPUTED_VALUE"""),"artiawgp@gmail.com")</f>
        <v>artiawgp@gmail.com</v>
      </c>
      <c r="C1268" s="1" t="str">
        <f ca="1">IFERROR(__xludf.DUMMYFUNCTION("""COMPUTED_VALUE"""),"Arti Upadhyay ")</f>
        <v xml:space="preserve">Arti Upadhyay </v>
      </c>
      <c r="D1268" s="1">
        <f ca="1">IFERROR(__xludf.DUMMYFUNCTION("""COMPUTED_VALUE"""),9979734774)</f>
        <v>9979734774</v>
      </c>
      <c r="E1268" s="1" t="str">
        <f ca="1">IFERROR(__xludf.DUMMYFUNCTION("""COMPUTED_VALUE"""),"Yes")</f>
        <v>Yes</v>
      </c>
      <c r="F1268" s="1" t="str">
        <f ca="1">IFERROR(__xludf.DUMMYFUNCTION("""COMPUTED_VALUE"""),"हिन्दी")</f>
        <v>हिन्दी</v>
      </c>
      <c r="G1268" s="1" t="str">
        <f ca="1">IFERROR(__xludf.DUMMYFUNCTION("""COMPUTED_VALUE"""),"संस्कार, कर्मकाण्ड, पाठ, पूजा, गीत-संगीत")</f>
        <v>संस्कार, कर्मकाण्ड, पाठ, पूजा, गीत-संगीत</v>
      </c>
      <c r="H1268" s="1"/>
      <c r="I1268" s="1"/>
      <c r="J1268" s="1"/>
      <c r="K1268" s="1"/>
      <c r="L1268" s="1"/>
      <c r="M1268" s="1"/>
      <c r="N1268" s="1"/>
      <c r="O1268" s="1"/>
      <c r="P1268" s="1"/>
      <c r="Q1268" s="1"/>
      <c r="R1268" s="1"/>
      <c r="S1268" s="1"/>
      <c r="T1268" s="1"/>
      <c r="U1268" s="1"/>
      <c r="V1268" s="1"/>
      <c r="W1268" s="1" t="str">
        <f ca="1">IFERROR(__xludf.DUMMYFUNCTION("""COMPUTED_VALUE"""),"पर्व-त्यौहार, कर्मकाण्ड")</f>
        <v>पर्व-त्यौहार, कर्मकाण्ड</v>
      </c>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t="str">
        <f ca="1">IFERROR(__xludf.DUMMYFUNCTION("""COMPUTED_VALUE"""),"युग परिवर्तन में समर्थ दीपयज्ञ")</f>
        <v>युग परिवर्तन में समर्थ दीपयज्ञ</v>
      </c>
      <c r="BH1268" s="1"/>
      <c r="BI1268" s="1"/>
      <c r="BJ1268" s="1"/>
      <c r="BK1268" s="1"/>
      <c r="BL1268" s="1"/>
      <c r="BM1268" s="1"/>
      <c r="BN1268" s="1"/>
      <c r="BO1268" s="1"/>
      <c r="BP1268" s="1"/>
      <c r="BQ1268" s="1"/>
      <c r="BR1268" s="1"/>
      <c r="BS1268" s="1"/>
      <c r="BT1268" s="1"/>
      <c r="BU1268" s="1"/>
      <c r="BV1268" s="1"/>
      <c r="BW1268" s="1">
        <f ca="1">IFERROR(__xludf.DUMMYFUNCTION("""COMPUTED_VALUE"""),12)</f>
        <v>12</v>
      </c>
      <c r="BX1268" s="1">
        <f ca="1">IFERROR(__xludf.DUMMYFUNCTION("""COMPUTED_VALUE"""),3)</f>
        <v>3</v>
      </c>
      <c r="BY1268" s="1">
        <f ca="1">IFERROR(__xludf.DUMMYFUNCTION("""COMPUTED_VALUE"""),10)</f>
        <v>10</v>
      </c>
      <c r="BZ1268" s="1">
        <f ca="1">IFERROR(__xludf.DUMMYFUNCTION("""COMPUTED_VALUE"""),0)</f>
        <v>0</v>
      </c>
      <c r="CA1268" s="1" t="str">
        <f ca="1">IFERROR(__xludf.DUMMYFUNCTION("""COMPUTED_VALUE"""),"Email")</f>
        <v>Email</v>
      </c>
      <c r="CB1268" s="8">
        <f ca="1">IFERROR(__xludf.DUMMYFUNCTION("""COMPUTED_VALUE"""),44859)</f>
        <v>44859</v>
      </c>
      <c r="CC1268" s="1" t="str">
        <f ca="1">IFERROR(__xludf.DUMMYFUNCTION("""COMPUTED_VALUE"""),"कर्मकांड नहीं भावना प्रधान : H_JS_90")</f>
        <v>कर्मकांड नहीं भावना प्रधान : H_JS_90</v>
      </c>
      <c r="CD1268" s="3" t="str">
        <f ca="1">IFERROR(__xludf.DUMMYFUNCTION("""COMPUTED_VALUE"""),"https://vicharkrantibooks.org/productdetail?book_name=HINP0425_KARMAKAND_NAHI_BHAVANA_PRADHAN_xx2011&amp;product_id=990")</f>
        <v>https://vicharkrantibooks.org/productdetail?book_name=HINP0425_KARMAKAND_NAHI_BHAVANA_PRADHAN_xx2011&amp;product_id=990</v>
      </c>
      <c r="CE1268" s="1" t="str">
        <f ca="1">IFERROR(__xludf.DUMMYFUNCTION("""COMPUTED_VALUE"""),"Audiobook : कर्मकांड नहीं भावना प्रधान : H_JS_90 : artiawgp@gmail.com : Recorded")</f>
        <v>Audiobook : कर्मकांड नहीं भावना प्रधान : H_JS_90 : artiawgp@gmail.com : Recorded</v>
      </c>
      <c r="CF1268" s="1" t="str">
        <f ca="1">IFERROR(__xludf.DUMMYFUNCTION("""COMPUTED_VALUE"""),"#N/A")</f>
        <v>#N/A</v>
      </c>
      <c r="CG1268" s="1" t="str">
        <f ca="1">IFERROR(__xludf.DUMMYFUNCTION("""COMPUTED_VALUE"""),"Adarniya Arti Upadhyay  ji कर्मकांड नहीं भावना प्रधान : H_JS_90 : Allocated on 15-Oct-22 Contact Number  9979734774")</f>
        <v>Adarniya Arti Upadhyay  ji कर्मकांड नहीं भावना प्रधान : H_JS_90 : Allocated on 15-Oct-22 Contact Number  9979734774</v>
      </c>
      <c r="CH1268" s="1"/>
      <c r="CI1268" s="1"/>
    </row>
    <row r="1269" spans="1:87" x14ac:dyDescent="0.25">
      <c r="A1269" s="8">
        <f ca="1">IFERROR(__xludf.DUMMYFUNCTION("""COMPUTED_VALUE"""),44849)</f>
        <v>44849</v>
      </c>
      <c r="B1269" s="1" t="str">
        <f ca="1">IFERROR(__xludf.DUMMYFUNCTION("""COMPUTED_VALUE"""),"artiawgp@gmail.com")</f>
        <v>artiawgp@gmail.com</v>
      </c>
      <c r="C1269" s="1" t="str">
        <f ca="1">IFERROR(__xludf.DUMMYFUNCTION("""COMPUTED_VALUE"""),"Arti Upadhyay ")</f>
        <v xml:space="preserve">Arti Upadhyay </v>
      </c>
      <c r="D1269" s="1">
        <f ca="1">IFERROR(__xludf.DUMMYFUNCTION("""COMPUTED_VALUE"""),9979734774)</f>
        <v>9979734774</v>
      </c>
      <c r="E1269" s="1" t="str">
        <f ca="1">IFERROR(__xludf.DUMMYFUNCTION("""COMPUTED_VALUE"""),"Yes")</f>
        <v>Yes</v>
      </c>
      <c r="F1269" s="1" t="str">
        <f ca="1">IFERROR(__xludf.DUMMYFUNCTION("""COMPUTED_VALUE"""),"हिन्दी")</f>
        <v>हिन्दी</v>
      </c>
      <c r="G1269" s="1" t="str">
        <f ca="1">IFERROR(__xludf.DUMMYFUNCTION("""COMPUTED_VALUE"""),"संस्कार, कर्मकाण्ड, पाठ, पूजा, गीत-संगीत")</f>
        <v>संस्कार, कर्मकाण्ड, पाठ, पूजा, गीत-संगीत</v>
      </c>
      <c r="H1269" s="1"/>
      <c r="I1269" s="1"/>
      <c r="J1269" s="1"/>
      <c r="K1269" s="1"/>
      <c r="L1269" s="1"/>
      <c r="M1269" s="1"/>
      <c r="N1269" s="1"/>
      <c r="O1269" s="1"/>
      <c r="P1269" s="1"/>
      <c r="Q1269" s="1"/>
      <c r="R1269" s="1"/>
      <c r="S1269" s="1"/>
      <c r="T1269" s="1"/>
      <c r="U1269" s="1"/>
      <c r="V1269" s="1"/>
      <c r="W1269" s="1" t="str">
        <f ca="1">IFERROR(__xludf.DUMMYFUNCTION("""COMPUTED_VALUE"""),"पर्व-त्यौहार, कर्मकाण्ड")</f>
        <v>पर्व-त्यौहार, कर्मकाण्ड</v>
      </c>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t="str">
        <f ca="1">IFERROR(__xludf.DUMMYFUNCTION("""COMPUTED_VALUE"""),"युग परिवर्तन में समर्थ दीपयज्ञ")</f>
        <v>युग परिवर्तन में समर्थ दीपयज्ञ</v>
      </c>
      <c r="BH1269" s="1"/>
      <c r="BI1269" s="1"/>
      <c r="BJ1269" s="1"/>
      <c r="BK1269" s="1"/>
      <c r="BL1269" s="1"/>
      <c r="BM1269" s="1"/>
      <c r="BN1269" s="1"/>
      <c r="BO1269" s="1"/>
      <c r="BP1269" s="1"/>
      <c r="BQ1269" s="1"/>
      <c r="BR1269" s="1"/>
      <c r="BS1269" s="1"/>
      <c r="BT1269" s="1"/>
      <c r="BU1269" s="1"/>
      <c r="BV1269" s="1"/>
      <c r="BW1269" s="1">
        <f ca="1">IFERROR(__xludf.DUMMYFUNCTION("""COMPUTED_VALUE"""),12)</f>
        <v>12</v>
      </c>
      <c r="BX1269" s="1">
        <f ca="1">IFERROR(__xludf.DUMMYFUNCTION("""COMPUTED_VALUE"""),3)</f>
        <v>3</v>
      </c>
      <c r="BY1269" s="1">
        <f ca="1">IFERROR(__xludf.DUMMYFUNCTION("""COMPUTED_VALUE"""),10)</f>
        <v>10</v>
      </c>
      <c r="BZ1269" s="1">
        <f ca="1">IFERROR(__xludf.DUMMYFUNCTION("""COMPUTED_VALUE"""),0)</f>
        <v>0</v>
      </c>
      <c r="CA1269" s="1" t="str">
        <f ca="1">IFERROR(__xludf.DUMMYFUNCTION("""COMPUTED_VALUE"""),"Email")</f>
        <v>Email</v>
      </c>
      <c r="CB1269" s="8">
        <f ca="1">IFERROR(__xludf.DUMMYFUNCTION("""COMPUTED_VALUE"""),44859)</f>
        <v>44859</v>
      </c>
      <c r="CC1269" s="1" t="str">
        <f ca="1">IFERROR(__xludf.DUMMYFUNCTION("""COMPUTED_VALUE"""),"नवरात्रि का पावन पर्व : H_SC_10")</f>
        <v>नवरात्रि का पावन पर्व : H_SC_10</v>
      </c>
      <c r="CD1269" s="3" t="str">
        <f ca="1">IFERROR(__xludf.DUMMYFUNCTION("""COMPUTED_VALUE"""),"https://vicharkrantibooks.org/productdetail?book_name=HINP0594_NAVARATRI_KA_PAVAN_PARV_xx1980&amp;product_id=1159")</f>
        <v>https://vicharkrantibooks.org/productdetail?book_name=HINP0594_NAVARATRI_KA_PAVAN_PARV_xx1980&amp;product_id=1159</v>
      </c>
      <c r="CE1269" s="1" t="str">
        <f ca="1">IFERROR(__xludf.DUMMYFUNCTION("""COMPUTED_VALUE"""),"Audiobook : नवरात्रि का पावन पर्व : H_SC_10 : artiawgp@gmail.com : Recorded")</f>
        <v>Audiobook : नवरात्रि का पावन पर्व : H_SC_10 : artiawgp@gmail.com : Recorded</v>
      </c>
      <c r="CF1269" s="1" t="str">
        <f ca="1">IFERROR(__xludf.DUMMYFUNCTION("""COMPUTED_VALUE"""),"#N/A")</f>
        <v>#N/A</v>
      </c>
      <c r="CG1269" s="1" t="str">
        <f ca="1">IFERROR(__xludf.DUMMYFUNCTION("""COMPUTED_VALUE"""),"Adarniya Arti Upadhyay  ji नवरात्रि का पावन पर्व : H_SC_10 : Allocated on 15-Oct-22 Contact Number  9979734774")</f>
        <v>Adarniya Arti Upadhyay  ji नवरात्रि का पावन पर्व : H_SC_10 : Allocated on 15-Oct-22 Contact Number  9979734774</v>
      </c>
      <c r="CH1269" s="1"/>
      <c r="CI1269" s="1"/>
    </row>
    <row r="1270" spans="1:87" x14ac:dyDescent="0.25">
      <c r="A1270" s="8">
        <f ca="1">IFERROR(__xludf.DUMMYFUNCTION("""COMPUTED_VALUE"""),44849)</f>
        <v>44849</v>
      </c>
      <c r="B1270" s="1" t="str">
        <f ca="1">IFERROR(__xludf.DUMMYFUNCTION("""COMPUTED_VALUE"""),"artiawgp@gmail.com")</f>
        <v>artiawgp@gmail.com</v>
      </c>
      <c r="C1270" s="1" t="str">
        <f ca="1">IFERROR(__xludf.DUMMYFUNCTION("""COMPUTED_VALUE"""),"Arti Upadhyay ")</f>
        <v xml:space="preserve">Arti Upadhyay </v>
      </c>
      <c r="D1270" s="1">
        <f ca="1">IFERROR(__xludf.DUMMYFUNCTION("""COMPUTED_VALUE"""),9979734774)</f>
        <v>9979734774</v>
      </c>
      <c r="E1270" s="1" t="str">
        <f ca="1">IFERROR(__xludf.DUMMYFUNCTION("""COMPUTED_VALUE"""),"Yes")</f>
        <v>Yes</v>
      </c>
      <c r="F1270" s="1" t="str">
        <f ca="1">IFERROR(__xludf.DUMMYFUNCTION("""COMPUTED_VALUE"""),"हिन्दी")</f>
        <v>हिन्दी</v>
      </c>
      <c r="G1270" s="1" t="str">
        <f ca="1">IFERROR(__xludf.DUMMYFUNCTION("""COMPUTED_VALUE"""),"संस्कार, कर्मकाण्ड, पाठ, पूजा, गीत-संगीत")</f>
        <v>संस्कार, कर्मकाण्ड, पाठ, पूजा, गीत-संगीत</v>
      </c>
      <c r="H1270" s="1"/>
      <c r="I1270" s="1"/>
      <c r="J1270" s="1"/>
      <c r="K1270" s="1"/>
      <c r="L1270" s="1"/>
      <c r="M1270" s="1"/>
      <c r="N1270" s="1"/>
      <c r="O1270" s="1"/>
      <c r="P1270" s="1"/>
      <c r="Q1270" s="1"/>
      <c r="R1270" s="1"/>
      <c r="S1270" s="1"/>
      <c r="T1270" s="1"/>
      <c r="U1270" s="1"/>
      <c r="V1270" s="1"/>
      <c r="W1270" s="1" t="str">
        <f ca="1">IFERROR(__xludf.DUMMYFUNCTION("""COMPUTED_VALUE"""),"पर्व-त्यौहार, कर्मकाण्ड")</f>
        <v>पर्व-त्यौहार, कर्मकाण्ड</v>
      </c>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t="str">
        <f ca="1">IFERROR(__xludf.DUMMYFUNCTION("""COMPUTED_VALUE"""),"युग परिवर्तन में समर्थ दीपयज्ञ")</f>
        <v>युग परिवर्तन में समर्थ दीपयज्ञ</v>
      </c>
      <c r="BH1270" s="1"/>
      <c r="BI1270" s="1"/>
      <c r="BJ1270" s="1"/>
      <c r="BK1270" s="1"/>
      <c r="BL1270" s="1"/>
      <c r="BM1270" s="1"/>
      <c r="BN1270" s="1"/>
      <c r="BO1270" s="1"/>
      <c r="BP1270" s="1"/>
      <c r="BQ1270" s="1"/>
      <c r="BR1270" s="1"/>
      <c r="BS1270" s="1"/>
      <c r="BT1270" s="1"/>
      <c r="BU1270" s="1"/>
      <c r="BV1270" s="1"/>
      <c r="BW1270" s="1">
        <f ca="1">IFERROR(__xludf.DUMMYFUNCTION("""COMPUTED_VALUE"""),12)</f>
        <v>12</v>
      </c>
      <c r="BX1270" s="1">
        <f ca="1">IFERROR(__xludf.DUMMYFUNCTION("""COMPUTED_VALUE"""),3)</f>
        <v>3</v>
      </c>
      <c r="BY1270" s="1">
        <f ca="1">IFERROR(__xludf.DUMMYFUNCTION("""COMPUTED_VALUE"""),10)</f>
        <v>10</v>
      </c>
      <c r="BZ1270" s="1">
        <f ca="1">IFERROR(__xludf.DUMMYFUNCTION("""COMPUTED_VALUE"""),0)</f>
        <v>0</v>
      </c>
      <c r="CA1270" s="1" t="str">
        <f ca="1">IFERROR(__xludf.DUMMYFUNCTION("""COMPUTED_VALUE"""),"Email")</f>
        <v>Email</v>
      </c>
      <c r="CB1270" s="8">
        <f ca="1">IFERROR(__xludf.DUMMYFUNCTION("""COMPUTED_VALUE"""),44859)</f>
        <v>44859</v>
      </c>
      <c r="CC1270" s="1" t="str">
        <f ca="1">IFERROR(__xludf.DUMMYFUNCTION("""COMPUTED_VALUE"""),"पर्व त्यौहार एक सामाजिक संस्कार : H_SJ_56")</f>
        <v>पर्व त्यौहार एक सामाजिक संस्कार : H_SJ_56</v>
      </c>
      <c r="CD1270" s="3" t="str">
        <f ca="1">IFERROR(__xludf.DUMMYFUNCTION("""COMPUTED_VALUE"""),"https://vicharkrantibooks.org/productdetail?book_name=HINP0640_PARV_TYAUHAR_EK_SAMAJIK_SANSKAR_xxyyyy&amp;product_id=1205")</f>
        <v>https://vicharkrantibooks.org/productdetail?book_name=HINP0640_PARV_TYAUHAR_EK_SAMAJIK_SANSKAR_xxyyyy&amp;product_id=1205</v>
      </c>
      <c r="CE1270" s="1" t="str">
        <f ca="1">IFERROR(__xludf.DUMMYFUNCTION("""COMPUTED_VALUE"""),"Audiobook : पर्व त्यौहार एक सामाजिक संस्कार : H_SJ_56 : artiawgp@gmail.com : Recorded")</f>
        <v>Audiobook : पर्व त्यौहार एक सामाजिक संस्कार : H_SJ_56 : artiawgp@gmail.com : Recorded</v>
      </c>
      <c r="CF1270" s="1" t="str">
        <f ca="1">IFERROR(__xludf.DUMMYFUNCTION("""COMPUTED_VALUE"""),"#N/A")</f>
        <v>#N/A</v>
      </c>
      <c r="CG1270" s="1" t="str">
        <f ca="1">IFERROR(__xludf.DUMMYFUNCTION("""COMPUTED_VALUE"""),"Adarniya Arti Upadhyay  ji पर्व त्यौहार एक सामाजिक संस्कार : H_SJ_56 : Allocated on 15-Oct-22 Contact Number  9979734774")</f>
        <v>Adarniya Arti Upadhyay  ji पर्व त्यौहार एक सामाजिक संस्कार : H_SJ_56 : Allocated on 15-Oct-22 Contact Number  9979734774</v>
      </c>
      <c r="CH1270" s="1"/>
      <c r="CI1270" s="1"/>
    </row>
    <row r="1271" spans="1:87" x14ac:dyDescent="0.25">
      <c r="A1271" s="8">
        <f ca="1">IFERROR(__xludf.DUMMYFUNCTION("""COMPUTED_VALUE"""),44849)</f>
        <v>44849</v>
      </c>
      <c r="B1271" s="1" t="str">
        <f ca="1">IFERROR(__xludf.DUMMYFUNCTION("""COMPUTED_VALUE"""),"artiawgp@gmail.com")</f>
        <v>artiawgp@gmail.com</v>
      </c>
      <c r="C1271" s="1" t="str">
        <f ca="1">IFERROR(__xludf.DUMMYFUNCTION("""COMPUTED_VALUE"""),"Arti Upadhyay ")</f>
        <v xml:space="preserve">Arti Upadhyay </v>
      </c>
      <c r="D1271" s="1">
        <f ca="1">IFERROR(__xludf.DUMMYFUNCTION("""COMPUTED_VALUE"""),9979734774)</f>
        <v>9979734774</v>
      </c>
      <c r="E1271" s="1" t="str">
        <f ca="1">IFERROR(__xludf.DUMMYFUNCTION("""COMPUTED_VALUE"""),"Yes")</f>
        <v>Yes</v>
      </c>
      <c r="F1271" s="1" t="str">
        <f ca="1">IFERROR(__xludf.DUMMYFUNCTION("""COMPUTED_VALUE"""),"हिन्दी")</f>
        <v>हिन्दी</v>
      </c>
      <c r="G1271" s="1" t="str">
        <f ca="1">IFERROR(__xludf.DUMMYFUNCTION("""COMPUTED_VALUE"""),"संस्कार, कर्मकाण्ड, पाठ, पूजा, गीत-संगीत")</f>
        <v>संस्कार, कर्मकाण्ड, पाठ, पूजा, गीत-संगीत</v>
      </c>
      <c r="H1271" s="1"/>
      <c r="I1271" s="1"/>
      <c r="J1271" s="1"/>
      <c r="K1271" s="1"/>
      <c r="L1271" s="1"/>
      <c r="M1271" s="1"/>
      <c r="N1271" s="1"/>
      <c r="O1271" s="1"/>
      <c r="P1271" s="1"/>
      <c r="Q1271" s="1"/>
      <c r="R1271" s="1"/>
      <c r="S1271" s="1"/>
      <c r="T1271" s="1"/>
      <c r="U1271" s="1"/>
      <c r="V1271" s="1"/>
      <c r="W1271" s="1" t="str">
        <f ca="1">IFERROR(__xludf.DUMMYFUNCTION("""COMPUTED_VALUE"""),"पर्व-त्यौहार, कर्मकाण्ड")</f>
        <v>पर्व-त्यौहार, कर्मकाण्ड</v>
      </c>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t="str">
        <f ca="1">IFERROR(__xludf.DUMMYFUNCTION("""COMPUTED_VALUE"""),"युग परिवर्तन में समर्थ दीपयज्ञ")</f>
        <v>युग परिवर्तन में समर्थ दीपयज्ञ</v>
      </c>
      <c r="BH1271" s="1"/>
      <c r="BI1271" s="1"/>
      <c r="BJ1271" s="1"/>
      <c r="BK1271" s="1"/>
      <c r="BL1271" s="1"/>
      <c r="BM1271" s="1"/>
      <c r="BN1271" s="1"/>
      <c r="BO1271" s="1"/>
      <c r="BP1271" s="1"/>
      <c r="BQ1271" s="1"/>
      <c r="BR1271" s="1"/>
      <c r="BS1271" s="1"/>
      <c r="BT1271" s="1"/>
      <c r="BU1271" s="1"/>
      <c r="BV1271" s="1"/>
      <c r="BW1271" s="1">
        <f ca="1">IFERROR(__xludf.DUMMYFUNCTION("""COMPUTED_VALUE"""),12)</f>
        <v>12</v>
      </c>
      <c r="BX1271" s="1">
        <f ca="1">IFERROR(__xludf.DUMMYFUNCTION("""COMPUTED_VALUE"""),3)</f>
        <v>3</v>
      </c>
      <c r="BY1271" s="1">
        <f ca="1">IFERROR(__xludf.DUMMYFUNCTION("""COMPUTED_VALUE"""),10)</f>
        <v>10</v>
      </c>
      <c r="BZ1271" s="1">
        <f ca="1">IFERROR(__xludf.DUMMYFUNCTION("""COMPUTED_VALUE"""),0)</f>
        <v>0</v>
      </c>
      <c r="CA1271" s="1" t="str">
        <f ca="1">IFERROR(__xludf.DUMMYFUNCTION("""COMPUTED_VALUE"""),"Email")</f>
        <v>Email</v>
      </c>
      <c r="CB1271" s="8">
        <f ca="1">IFERROR(__xludf.DUMMYFUNCTION("""COMPUTED_VALUE"""),44859)</f>
        <v>44859</v>
      </c>
      <c r="CC1271" s="1" t="str">
        <f ca="1">IFERROR(__xludf.DUMMYFUNCTION("""COMPUTED_VALUE"""),"युग परिवर्तन में समर्थ दीपयज्ञ : H_JS_97")</f>
        <v>युग परिवर्तन में समर्थ दीपयज्ञ : H_JS_97</v>
      </c>
      <c r="CD1271" s="3" t="str">
        <f ca="1">IFERROR(__xludf.DUMMYFUNCTION("""COMPUTED_VALUE"""),"https://vicharkrantibooks.org/productdetail?book_name=HINP1058_YUG_PARIVARTAN_MEIN_SAMARTH_DIPYAGY_xx2011&amp;product_id=1623")</f>
        <v>https://vicharkrantibooks.org/productdetail?book_name=HINP1058_YUG_PARIVARTAN_MEIN_SAMARTH_DIPYAGY_xx2011&amp;product_id=1623</v>
      </c>
      <c r="CE1271" s="1" t="str">
        <f ca="1">IFERROR(__xludf.DUMMYFUNCTION("""COMPUTED_VALUE"""),"Audiobook : युग परिवर्तन में समर्थ दीपयज्ञ : H_JS_97 : artiawgp@gmail.com : Recorded")</f>
        <v>Audiobook : युग परिवर्तन में समर्थ दीपयज्ञ : H_JS_97 : artiawgp@gmail.com : Recorded</v>
      </c>
      <c r="CF1271" s="1" t="str">
        <f ca="1">IFERROR(__xludf.DUMMYFUNCTION("""COMPUTED_VALUE"""),"#N/A")</f>
        <v>#N/A</v>
      </c>
      <c r="CG1271" s="1" t="str">
        <f ca="1">IFERROR(__xludf.DUMMYFUNCTION("""COMPUTED_VALUE"""),"Adarniya Arti Upadhyay  ji युग परिवर्तन में समर्थ दीपयज्ञ : H_JS_97 : Allocated on 15-Oct-22 Contact Number  9979734774")</f>
        <v>Adarniya Arti Upadhyay  ji युग परिवर्तन में समर्थ दीपयज्ञ : H_JS_97 : Allocated on 15-Oct-22 Contact Number  9979734774</v>
      </c>
      <c r="CH1271" s="1"/>
      <c r="CI1271" s="1"/>
    </row>
    <row r="1272" spans="1:87" x14ac:dyDescent="0.25">
      <c r="A1272" s="8">
        <f ca="1">IFERROR(__xludf.DUMMYFUNCTION("""COMPUTED_VALUE"""),44849)</f>
        <v>44849</v>
      </c>
      <c r="B1272" s="1" t="str">
        <f ca="1">IFERROR(__xludf.DUMMYFUNCTION("""COMPUTED_VALUE"""),"artiawgp@gmail.com")</f>
        <v>artiawgp@gmail.com</v>
      </c>
      <c r="C1272" s="1" t="str">
        <f ca="1">IFERROR(__xludf.DUMMYFUNCTION("""COMPUTED_VALUE"""),"Arti Upadhyay ")</f>
        <v xml:space="preserve">Arti Upadhyay </v>
      </c>
      <c r="D1272" s="1">
        <f ca="1">IFERROR(__xludf.DUMMYFUNCTION("""COMPUTED_VALUE"""),9979734774)</f>
        <v>9979734774</v>
      </c>
      <c r="E1272" s="1" t="str">
        <f ca="1">IFERROR(__xludf.DUMMYFUNCTION("""COMPUTED_VALUE"""),"Yes")</f>
        <v>Yes</v>
      </c>
      <c r="F1272" s="1" t="str">
        <f ca="1">IFERROR(__xludf.DUMMYFUNCTION("""COMPUTED_VALUE"""),"हिन्दी")</f>
        <v>हिन्दी</v>
      </c>
      <c r="G1272" s="1" t="str">
        <f ca="1">IFERROR(__xludf.DUMMYFUNCTION("""COMPUTED_VALUE"""),"संस्कार, कर्मकाण्ड, पाठ, पूजा, गीत-संगीत")</f>
        <v>संस्कार, कर्मकाण्ड, पाठ, पूजा, गीत-संगीत</v>
      </c>
      <c r="H1272" s="1"/>
      <c r="I1272" s="1"/>
      <c r="J1272" s="1"/>
      <c r="K1272" s="1"/>
      <c r="L1272" s="1"/>
      <c r="M1272" s="1"/>
      <c r="N1272" s="1"/>
      <c r="O1272" s="1"/>
      <c r="P1272" s="1"/>
      <c r="Q1272" s="1"/>
      <c r="R1272" s="1"/>
      <c r="S1272" s="1"/>
      <c r="T1272" s="1"/>
      <c r="U1272" s="1"/>
      <c r="V1272" s="1"/>
      <c r="W1272" s="1" t="str">
        <f ca="1">IFERROR(__xludf.DUMMYFUNCTION("""COMPUTED_VALUE"""),"पर्व-त्यौहार, कर्मकाण्ड")</f>
        <v>पर्व-त्यौहार, कर्मकाण्ड</v>
      </c>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t="str">
        <f ca="1">IFERROR(__xludf.DUMMYFUNCTION("""COMPUTED_VALUE"""),"युग परिवर्तन में समर्थ दीपयज्ञ")</f>
        <v>युग परिवर्तन में समर्थ दीपयज्ञ</v>
      </c>
      <c r="BH1272" s="1"/>
      <c r="BI1272" s="1"/>
      <c r="BJ1272" s="1"/>
      <c r="BK1272" s="1"/>
      <c r="BL1272" s="1"/>
      <c r="BM1272" s="1"/>
      <c r="BN1272" s="1"/>
      <c r="BO1272" s="1"/>
      <c r="BP1272" s="1"/>
      <c r="BQ1272" s="1"/>
      <c r="BR1272" s="1"/>
      <c r="BS1272" s="1"/>
      <c r="BT1272" s="1"/>
      <c r="BU1272" s="1"/>
      <c r="BV1272" s="1"/>
      <c r="BW1272" s="1">
        <f ca="1">IFERROR(__xludf.DUMMYFUNCTION("""COMPUTED_VALUE"""),12)</f>
        <v>12</v>
      </c>
      <c r="BX1272" s="1">
        <f ca="1">IFERROR(__xludf.DUMMYFUNCTION("""COMPUTED_VALUE"""),3)</f>
        <v>3</v>
      </c>
      <c r="BY1272" s="1">
        <f ca="1">IFERROR(__xludf.DUMMYFUNCTION("""COMPUTED_VALUE"""),10)</f>
        <v>10</v>
      </c>
      <c r="BZ1272" s="1">
        <f ca="1">IFERROR(__xludf.DUMMYFUNCTION("""COMPUTED_VALUE"""),0)</f>
        <v>0</v>
      </c>
      <c r="CA1272" s="1" t="str">
        <f ca="1">IFERROR(__xludf.DUMMYFUNCTION("""COMPUTED_VALUE"""),"Email")</f>
        <v>Email</v>
      </c>
      <c r="CB1272" s="8">
        <f ca="1">IFERROR(__xludf.DUMMYFUNCTION("""COMPUTED_VALUE"""),44859)</f>
        <v>44859</v>
      </c>
      <c r="CC1272" s="1" t="str">
        <f ca="1">IFERROR(__xludf.DUMMYFUNCTION("""COMPUTED_VALUE"""),"गायत्री चालीसा")</f>
        <v>गायत्री चालीसा</v>
      </c>
      <c r="CD1272" s="1" t="str">
        <f ca="1">IFERROR(__xludf.DUMMYFUNCTION("""COMPUTED_VALUE"""),"#N/A")</f>
        <v>#N/A</v>
      </c>
      <c r="CE1272" s="1" t="str">
        <f ca="1">IFERROR(__xludf.DUMMYFUNCTION("""COMPUTED_VALUE"""),"Audiobook : गायत्री चालीसा : artiawgp@gmail.com : Recorded")</f>
        <v>Audiobook : गायत्री चालीसा : artiawgp@gmail.com : Recorded</v>
      </c>
      <c r="CF1272" s="1" t="str">
        <f ca="1">IFERROR(__xludf.DUMMYFUNCTION("""COMPUTED_VALUE"""),"#N/A")</f>
        <v>#N/A</v>
      </c>
      <c r="CG1272" s="1" t="str">
        <f ca="1">IFERROR(__xludf.DUMMYFUNCTION("""COMPUTED_VALUE"""),"Adarniya Arti Upadhyay  ji गायत्री चालीसा : Allocated on 15-Oct-22 Contact Number  9979734774")</f>
        <v>Adarniya Arti Upadhyay  ji गायत्री चालीसा : Allocated on 15-Oct-22 Contact Number  9979734774</v>
      </c>
      <c r="CH1272" s="1"/>
      <c r="CI1272" s="1"/>
    </row>
    <row r="1273" spans="1:87" x14ac:dyDescent="0.25">
      <c r="A1273" s="8">
        <f ca="1">IFERROR(__xludf.DUMMYFUNCTION("""COMPUTED_VALUE"""),44849)</f>
        <v>44849</v>
      </c>
      <c r="B1273" s="1" t="str">
        <f ca="1">IFERROR(__xludf.DUMMYFUNCTION("""COMPUTED_VALUE"""),"artiawgp@gmail.com")</f>
        <v>artiawgp@gmail.com</v>
      </c>
      <c r="C1273" s="1" t="str">
        <f ca="1">IFERROR(__xludf.DUMMYFUNCTION("""COMPUTED_VALUE"""),"Arti Upadhyay ")</f>
        <v xml:space="preserve">Arti Upadhyay </v>
      </c>
      <c r="D1273" s="1">
        <f ca="1">IFERROR(__xludf.DUMMYFUNCTION("""COMPUTED_VALUE"""),9979734774)</f>
        <v>9979734774</v>
      </c>
      <c r="E1273" s="1" t="str">
        <f ca="1">IFERROR(__xludf.DUMMYFUNCTION("""COMPUTED_VALUE"""),"Yes")</f>
        <v>Yes</v>
      </c>
      <c r="F1273" s="1" t="str">
        <f ca="1">IFERROR(__xludf.DUMMYFUNCTION("""COMPUTED_VALUE"""),"हिन्दी")</f>
        <v>हिन्दी</v>
      </c>
      <c r="G1273" s="1" t="str">
        <f ca="1">IFERROR(__xludf.DUMMYFUNCTION("""COMPUTED_VALUE"""),"संस्कार, कर्मकाण्ड, पाठ, पूजा, गीत-संगीत")</f>
        <v>संस्कार, कर्मकाण्ड, पाठ, पूजा, गीत-संगीत</v>
      </c>
      <c r="H1273" s="1"/>
      <c r="I1273" s="1"/>
      <c r="J1273" s="1"/>
      <c r="K1273" s="1"/>
      <c r="L1273" s="1"/>
      <c r="M1273" s="1"/>
      <c r="N1273" s="1"/>
      <c r="O1273" s="1"/>
      <c r="P1273" s="1"/>
      <c r="Q1273" s="1"/>
      <c r="R1273" s="1"/>
      <c r="S1273" s="1"/>
      <c r="T1273" s="1"/>
      <c r="U1273" s="1"/>
      <c r="V1273" s="1"/>
      <c r="W1273" s="1" t="str">
        <f ca="1">IFERROR(__xludf.DUMMYFUNCTION("""COMPUTED_VALUE"""),"पर्व-त्यौहार, कर्मकाण्ड")</f>
        <v>पर्व-त्यौहार, कर्मकाण्ड</v>
      </c>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t="str">
        <f ca="1">IFERROR(__xludf.DUMMYFUNCTION("""COMPUTED_VALUE"""),"युग परिवर्तन में समर्थ दीपयज्ञ")</f>
        <v>युग परिवर्तन में समर्थ दीपयज्ञ</v>
      </c>
      <c r="BH1273" s="1"/>
      <c r="BI1273" s="1"/>
      <c r="BJ1273" s="1"/>
      <c r="BK1273" s="1"/>
      <c r="BL1273" s="1"/>
      <c r="BM1273" s="1"/>
      <c r="BN1273" s="1"/>
      <c r="BO1273" s="1"/>
      <c r="BP1273" s="1"/>
      <c r="BQ1273" s="1"/>
      <c r="BR1273" s="1"/>
      <c r="BS1273" s="1"/>
      <c r="BT1273" s="1"/>
      <c r="BU1273" s="1"/>
      <c r="BV1273" s="1"/>
      <c r="BW1273" s="1">
        <f ca="1">IFERROR(__xludf.DUMMYFUNCTION("""COMPUTED_VALUE"""),12)</f>
        <v>12</v>
      </c>
      <c r="BX1273" s="1">
        <f ca="1">IFERROR(__xludf.DUMMYFUNCTION("""COMPUTED_VALUE"""),3)</f>
        <v>3</v>
      </c>
      <c r="BY1273" s="1">
        <f ca="1">IFERROR(__xludf.DUMMYFUNCTION("""COMPUTED_VALUE"""),10)</f>
        <v>10</v>
      </c>
      <c r="BZ1273" s="1">
        <f ca="1">IFERROR(__xludf.DUMMYFUNCTION("""COMPUTED_VALUE"""),0)</f>
        <v>0</v>
      </c>
      <c r="CA1273" s="1" t="str">
        <f ca="1">IFERROR(__xludf.DUMMYFUNCTION("""COMPUTED_VALUE"""),"Email")</f>
        <v>Email</v>
      </c>
      <c r="CB1273" s="8">
        <f ca="1">IFERROR(__xludf.DUMMYFUNCTION("""COMPUTED_VALUE"""),44859)</f>
        <v>44859</v>
      </c>
      <c r="CC1273" s="1" t="str">
        <f ca="1">IFERROR(__xludf.DUMMYFUNCTION("""COMPUTED_VALUE"""),"गुरूगीता पाठ विधि : H_SJ_31")</f>
        <v>गुरूगीता पाठ विधि : H_SJ_31</v>
      </c>
      <c r="CD1273" s="3" t="str">
        <f ca="1">IFERROR(__xludf.DUMMYFUNCTION("""COMPUTED_VALUE"""),"https://vicharkrantibooks.org/productdetail?book_name=HINP0318_GURUGITA_PATH_VIDHI_Re2014&amp;product_id=883")</f>
        <v>https://vicharkrantibooks.org/productdetail?book_name=HINP0318_GURUGITA_PATH_VIDHI_Re2014&amp;product_id=883</v>
      </c>
      <c r="CE1273" s="1" t="str">
        <f ca="1">IFERROR(__xludf.DUMMYFUNCTION("""COMPUTED_VALUE"""),"Audiobook : गुरूगीता पाठ विधि : H_SJ_31 : artiawgp@gmail.com : Recorded")</f>
        <v>Audiobook : गुरूगीता पाठ विधि : H_SJ_31 : artiawgp@gmail.com : Recorded</v>
      </c>
      <c r="CF1273" s="1" t="str">
        <f ca="1">IFERROR(__xludf.DUMMYFUNCTION("""COMPUTED_VALUE"""),"#N/A")</f>
        <v>#N/A</v>
      </c>
      <c r="CG1273" s="1" t="str">
        <f ca="1">IFERROR(__xludf.DUMMYFUNCTION("""COMPUTED_VALUE"""),"Adarniya Arti Upadhyay  ji गुरूगीता पाठ विधि : H_SJ_31 : Allocated on 15-Oct-22 Contact Number  9979734774")</f>
        <v>Adarniya Arti Upadhyay  ji गुरूगीता पाठ विधि : H_SJ_31 : Allocated on 15-Oct-22 Contact Number  9979734774</v>
      </c>
      <c r="CH1273" s="1"/>
      <c r="CI1273" s="1"/>
    </row>
    <row r="1274" spans="1:87" x14ac:dyDescent="0.25">
      <c r="A1274" s="8">
        <f ca="1">IFERROR(__xludf.DUMMYFUNCTION("""COMPUTED_VALUE"""),44849)</f>
        <v>44849</v>
      </c>
      <c r="B1274" s="1" t="str">
        <f ca="1">IFERROR(__xludf.DUMMYFUNCTION("""COMPUTED_VALUE"""),"anupriya_deshmukh9@yahoo.co.in")</f>
        <v>anupriya_deshmukh9@yahoo.co.in</v>
      </c>
      <c r="C1274" s="1" t="str">
        <f ca="1">IFERROR(__xludf.DUMMYFUNCTION("""COMPUTED_VALUE"""),"Anupriya Deshmukh ")</f>
        <v xml:space="preserve">Anupriya Deshmukh </v>
      </c>
      <c r="D1274" s="1">
        <f ca="1">IFERROR(__xludf.DUMMYFUNCTION("""COMPUTED_VALUE"""),7506739089)</f>
        <v>7506739089</v>
      </c>
      <c r="E1274" s="1" t="str">
        <f ca="1">IFERROR(__xludf.DUMMYFUNCTION("""COMPUTED_VALUE"""),"Yes")</f>
        <v>Yes</v>
      </c>
      <c r="F1274" s="1" t="str">
        <f ca="1">IFERROR(__xludf.DUMMYFUNCTION("""COMPUTED_VALUE"""),"हिन्दी")</f>
        <v>हिन्दी</v>
      </c>
      <c r="G1274" s="1" t="str">
        <f ca="1">IFERROR(__xludf.DUMMYFUNCTION("""COMPUTED_VALUE"""),"समग्र स्वास्थ्य")</f>
        <v>समग्र स्वास्थ्य</v>
      </c>
      <c r="H1274" s="1"/>
      <c r="I1274" s="1"/>
      <c r="J1274" s="1"/>
      <c r="K1274" s="1"/>
      <c r="L1274" s="1"/>
      <c r="M1274" s="1"/>
      <c r="N1274" s="1"/>
      <c r="O1274" s="1"/>
      <c r="P1274" s="1"/>
      <c r="Q1274" s="1"/>
      <c r="R1274" s="1"/>
      <c r="S1274" s="1"/>
      <c r="T1274" s="1"/>
      <c r="U1274" s="1" t="str">
        <f ca="1">IFERROR(__xludf.DUMMYFUNCTION("""COMPUTED_VALUE"""),"मानसिक स्वास्थ्य")</f>
        <v>मानसिक स्वास्थ्य</v>
      </c>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t="str">
        <f ca="1">IFERROR(__xludf.DUMMYFUNCTION("""COMPUTED_VALUE"""),"मानसिक संतुलन बनाए रखें")</f>
        <v>मानसिक संतुलन बनाए रखें</v>
      </c>
      <c r="BM1274" s="1"/>
      <c r="BN1274" s="1"/>
      <c r="BO1274" s="1"/>
      <c r="BP1274" s="1"/>
      <c r="BQ1274" s="1"/>
      <c r="BR1274" s="1"/>
      <c r="BS1274" s="1"/>
      <c r="BT1274" s="1"/>
      <c r="BU1274" s="1"/>
      <c r="BV1274" s="1"/>
      <c r="BW1274" s="1">
        <f ca="1">IFERROR(__xludf.DUMMYFUNCTION("""COMPUTED_VALUE"""),15)</f>
        <v>15</v>
      </c>
      <c r="BX1274" s="1">
        <f ca="1">IFERROR(__xludf.DUMMYFUNCTION("""COMPUTED_VALUE"""),10)</f>
        <v>10</v>
      </c>
      <c r="BY1274" s="1">
        <f ca="1">IFERROR(__xludf.DUMMYFUNCTION("""COMPUTED_VALUE"""),4)</f>
        <v>4</v>
      </c>
      <c r="BZ1274" s="1">
        <f ca="1">IFERROR(__xludf.DUMMYFUNCTION("""COMPUTED_VALUE"""),6)</f>
        <v>6</v>
      </c>
      <c r="CA1274" s="1" t="str">
        <f ca="1">IFERROR(__xludf.DUMMYFUNCTION("""COMPUTED_VALUE"""),"Email")</f>
        <v>Email</v>
      </c>
      <c r="CB1274" s="8">
        <f ca="1">IFERROR(__xludf.DUMMYFUNCTION("""COMPUTED_VALUE"""),44859)</f>
        <v>44859</v>
      </c>
      <c r="CC1274" s="1" t="str">
        <f ca="1">IFERROR(__xludf.DUMMYFUNCTION("""COMPUTED_VALUE"""),"आंगनवाड़ी लगाएं : Rare Book")</f>
        <v>आंगनवाड़ी लगाएं : Rare Book</v>
      </c>
      <c r="CD1274" s="3" t="str">
        <f ca="1">IFERROR(__xludf.DUMMYFUNCTION("""COMPUTED_VALUE"""),"https://vicharkrantibooks.org/productdetail?book_name=HINP0041_ANGANAVADI_LAGAEN_xxyyyy&amp;product_id=606")</f>
        <v>https://vicharkrantibooks.org/productdetail?book_name=HINP0041_ANGANAVADI_LAGAEN_xxyyyy&amp;product_id=606</v>
      </c>
      <c r="CE1274" s="1" t="str">
        <f ca="1">IFERROR(__xludf.DUMMYFUNCTION("""COMPUTED_VALUE"""),"Audiobook : आंगनवाड़ी लगाएं : Rare Book : anupriya_deshmukh9@yahoo.co.in : Recorded")</f>
        <v>Audiobook : आंगनवाड़ी लगाएं : Rare Book : anupriya_deshmukh9@yahoo.co.in : Recorded</v>
      </c>
      <c r="CF1274" s="1" t="str">
        <f ca="1">IFERROR(__xludf.DUMMYFUNCTION("""COMPUTED_VALUE"""),"Audiobook : आंगनवाड़ी लगाएं : Rare Book : anupriya_deshmukh9@yahoo.co.in : Recorded")</f>
        <v>Audiobook : आंगनवाड़ी लगाएं : Rare Book : anupriya_deshmukh9@yahoo.co.in : Recorded</v>
      </c>
      <c r="CG1274" s="1" t="str">
        <f ca="1">IFERROR(__xludf.DUMMYFUNCTION("""COMPUTED_VALUE"""),"Adarniya Anupriya Deshmukh  ji आंगनवाड़ी लगाएं : Rare Book : Allocated on 15-Oct-22 Contact Number  7506739089")</f>
        <v>Adarniya Anupriya Deshmukh  ji आंगनवाड़ी लगाएं : Rare Book : Allocated on 15-Oct-22 Contact Number  7506739089</v>
      </c>
      <c r="CH1274" s="1"/>
      <c r="CI1274" s="1"/>
    </row>
    <row r="1275" spans="1:87" x14ac:dyDescent="0.25">
      <c r="A1275" s="8">
        <f ca="1">IFERROR(__xludf.DUMMYFUNCTION("""COMPUTED_VALUE"""),44849)</f>
        <v>44849</v>
      </c>
      <c r="B1275" s="1" t="str">
        <f ca="1">IFERROR(__xludf.DUMMYFUNCTION("""COMPUTED_VALUE"""),"anupriya_deshmukh9@yahoo.co.in")</f>
        <v>anupriya_deshmukh9@yahoo.co.in</v>
      </c>
      <c r="C1275" s="1" t="str">
        <f ca="1">IFERROR(__xludf.DUMMYFUNCTION("""COMPUTED_VALUE"""),"Anupriya Deshmukh ")</f>
        <v xml:space="preserve">Anupriya Deshmukh </v>
      </c>
      <c r="D1275" s="1">
        <f ca="1">IFERROR(__xludf.DUMMYFUNCTION("""COMPUTED_VALUE"""),7506739089)</f>
        <v>7506739089</v>
      </c>
      <c r="E1275" s="1" t="str">
        <f ca="1">IFERROR(__xludf.DUMMYFUNCTION("""COMPUTED_VALUE"""),"Yes")</f>
        <v>Yes</v>
      </c>
      <c r="F1275" s="1" t="str">
        <f ca="1">IFERROR(__xludf.DUMMYFUNCTION("""COMPUTED_VALUE"""),"हिन्दी")</f>
        <v>हिन्दी</v>
      </c>
      <c r="G1275" s="1" t="str">
        <f ca="1">IFERROR(__xludf.DUMMYFUNCTION("""COMPUTED_VALUE"""),"समग्र स्वास्थ्य")</f>
        <v>समग्र स्वास्थ्य</v>
      </c>
      <c r="H1275" s="1"/>
      <c r="I1275" s="1"/>
      <c r="J1275" s="1"/>
      <c r="K1275" s="1"/>
      <c r="L1275" s="1"/>
      <c r="M1275" s="1"/>
      <c r="N1275" s="1"/>
      <c r="O1275" s="1"/>
      <c r="P1275" s="1"/>
      <c r="Q1275" s="1"/>
      <c r="R1275" s="1"/>
      <c r="S1275" s="1"/>
      <c r="T1275" s="1"/>
      <c r="U1275" s="1" t="str">
        <f ca="1">IFERROR(__xludf.DUMMYFUNCTION("""COMPUTED_VALUE"""),"मानसिक स्वास्थ्य")</f>
        <v>मानसिक स्वास्थ्य</v>
      </c>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t="str">
        <f ca="1">IFERROR(__xludf.DUMMYFUNCTION("""COMPUTED_VALUE"""),"मानसिक संतुलन बनाए रखें")</f>
        <v>मानसिक संतुलन बनाए रखें</v>
      </c>
      <c r="BM1275" s="1"/>
      <c r="BN1275" s="1"/>
      <c r="BO1275" s="1"/>
      <c r="BP1275" s="1"/>
      <c r="BQ1275" s="1"/>
      <c r="BR1275" s="1"/>
      <c r="BS1275" s="1"/>
      <c r="BT1275" s="1"/>
      <c r="BU1275" s="1"/>
      <c r="BV1275" s="1"/>
      <c r="BW1275" s="1">
        <f ca="1">IFERROR(__xludf.DUMMYFUNCTION("""COMPUTED_VALUE"""),15)</f>
        <v>15</v>
      </c>
      <c r="BX1275" s="1">
        <f ca="1">IFERROR(__xludf.DUMMYFUNCTION("""COMPUTED_VALUE"""),10)</f>
        <v>10</v>
      </c>
      <c r="BY1275" s="1">
        <f ca="1">IFERROR(__xludf.DUMMYFUNCTION("""COMPUTED_VALUE"""),4)</f>
        <v>4</v>
      </c>
      <c r="BZ1275" s="1">
        <f ca="1">IFERROR(__xludf.DUMMYFUNCTION("""COMPUTED_VALUE"""),6)</f>
        <v>6</v>
      </c>
      <c r="CA1275" s="1" t="str">
        <f ca="1">IFERROR(__xludf.DUMMYFUNCTION("""COMPUTED_VALUE"""),"Email")</f>
        <v>Email</v>
      </c>
      <c r="CB1275" s="8">
        <f ca="1">IFERROR(__xludf.DUMMYFUNCTION("""COMPUTED_VALUE"""),44859)</f>
        <v>44859</v>
      </c>
      <c r="CC1275" s="1" t="str">
        <f ca="1">IFERROR(__xludf.DUMMYFUNCTION("""COMPUTED_VALUE"""),"दिव्य जड़ी बूटियों में अपार शक्ति : Rare Book")</f>
        <v>दिव्य जड़ी बूटियों में अपार शक्ति : Rare Book</v>
      </c>
      <c r="CD1275" s="3" t="str">
        <f ca="1">IFERROR(__xludf.DUMMYFUNCTION("""COMPUTED_VALUE"""),"https://vicharkrantibooks.org/productdetail?book_name=HINP0254_DIVY_JADI_BUTIYON_MEIN_APAR_SHAKTI_xxyyyy&amp;product_id=819")</f>
        <v>https://vicharkrantibooks.org/productdetail?book_name=HINP0254_DIVY_JADI_BUTIYON_MEIN_APAR_SHAKTI_xxyyyy&amp;product_id=819</v>
      </c>
      <c r="CE1275" s="1" t="str">
        <f ca="1">IFERROR(__xludf.DUMMYFUNCTION("""COMPUTED_VALUE"""),"Audiobook : दिव्य जड़ी बूटियों में अपार शक्ति : Rare Book : anupriya_deshmukh9@yahoo.co.in : Recorded")</f>
        <v>Audiobook : दिव्य जड़ी बूटियों में अपार शक्ति : Rare Book : anupriya_deshmukh9@yahoo.co.in : Recorded</v>
      </c>
      <c r="CF1275" s="1" t="str">
        <f ca="1">IFERROR(__xludf.DUMMYFUNCTION("""COMPUTED_VALUE"""),"Audiobook : दिव्य जड़ी बूटियों में अपार शक्ति : Rare Book : anupriya_deshmukh9@yahoo.co.in : Recorded")</f>
        <v>Audiobook : दिव्य जड़ी बूटियों में अपार शक्ति : Rare Book : anupriya_deshmukh9@yahoo.co.in : Recorded</v>
      </c>
      <c r="CG1275" s="1" t="str">
        <f ca="1">IFERROR(__xludf.DUMMYFUNCTION("""COMPUTED_VALUE"""),"Adarniya Anupriya Deshmukh  ji दिव्य जड़ी बूटियों में अपार शक्ति : Rare Book : Allocated on 15-Oct-22 Contact Number  7506739089")</f>
        <v>Adarniya Anupriya Deshmukh  ji दिव्य जड़ी बूटियों में अपार शक्ति : Rare Book : Allocated on 15-Oct-22 Contact Number  7506739089</v>
      </c>
      <c r="CH1275" s="1"/>
      <c r="CI1275" s="1"/>
    </row>
    <row r="1276" spans="1:87" x14ac:dyDescent="0.25">
      <c r="A1276" s="8">
        <f ca="1">IFERROR(__xludf.DUMMYFUNCTION("""COMPUTED_VALUE"""),44849)</f>
        <v>44849</v>
      </c>
      <c r="B1276" s="1" t="str">
        <f ca="1">IFERROR(__xludf.DUMMYFUNCTION("""COMPUTED_VALUE"""),"anupriya_deshmukh9@yahoo.co.in")</f>
        <v>anupriya_deshmukh9@yahoo.co.in</v>
      </c>
      <c r="C1276" s="1" t="str">
        <f ca="1">IFERROR(__xludf.DUMMYFUNCTION("""COMPUTED_VALUE"""),"Anupriya Deshmukh ")</f>
        <v xml:space="preserve">Anupriya Deshmukh </v>
      </c>
      <c r="D1276" s="1">
        <f ca="1">IFERROR(__xludf.DUMMYFUNCTION("""COMPUTED_VALUE"""),7506739089)</f>
        <v>7506739089</v>
      </c>
      <c r="E1276" s="1" t="str">
        <f ca="1">IFERROR(__xludf.DUMMYFUNCTION("""COMPUTED_VALUE"""),"Yes")</f>
        <v>Yes</v>
      </c>
      <c r="F1276" s="1" t="str">
        <f ca="1">IFERROR(__xludf.DUMMYFUNCTION("""COMPUTED_VALUE"""),"हिन्दी")</f>
        <v>हिन्दी</v>
      </c>
      <c r="G1276" s="1" t="str">
        <f ca="1">IFERROR(__xludf.DUMMYFUNCTION("""COMPUTED_VALUE"""),"समग्र स्वास्थ्य")</f>
        <v>समग्र स्वास्थ्य</v>
      </c>
      <c r="H1276" s="1"/>
      <c r="I1276" s="1"/>
      <c r="J1276" s="1"/>
      <c r="K1276" s="1"/>
      <c r="L1276" s="1"/>
      <c r="M1276" s="1"/>
      <c r="N1276" s="1"/>
      <c r="O1276" s="1"/>
      <c r="P1276" s="1"/>
      <c r="Q1276" s="1"/>
      <c r="R1276" s="1"/>
      <c r="S1276" s="1"/>
      <c r="T1276" s="1"/>
      <c r="U1276" s="1" t="str">
        <f ca="1">IFERROR(__xludf.DUMMYFUNCTION("""COMPUTED_VALUE"""),"मानसिक स्वास्थ्य")</f>
        <v>मानसिक स्वास्थ्य</v>
      </c>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t="str">
        <f ca="1">IFERROR(__xludf.DUMMYFUNCTION("""COMPUTED_VALUE"""),"मानसिक संतुलन बनाए रखें")</f>
        <v>मानसिक संतुलन बनाए रखें</v>
      </c>
      <c r="BM1276" s="1"/>
      <c r="BN1276" s="1"/>
      <c r="BO1276" s="1"/>
      <c r="BP1276" s="1"/>
      <c r="BQ1276" s="1"/>
      <c r="BR1276" s="1"/>
      <c r="BS1276" s="1"/>
      <c r="BT1276" s="1"/>
      <c r="BU1276" s="1"/>
      <c r="BV1276" s="1"/>
      <c r="BW1276" s="1">
        <f ca="1">IFERROR(__xludf.DUMMYFUNCTION("""COMPUTED_VALUE"""),15)</f>
        <v>15</v>
      </c>
      <c r="BX1276" s="1">
        <f ca="1">IFERROR(__xludf.DUMMYFUNCTION("""COMPUTED_VALUE"""),10)</f>
        <v>10</v>
      </c>
      <c r="BY1276" s="1">
        <f ca="1">IFERROR(__xludf.DUMMYFUNCTION("""COMPUTED_VALUE"""),4)</f>
        <v>4</v>
      </c>
      <c r="BZ1276" s="1">
        <f ca="1">IFERROR(__xludf.DUMMYFUNCTION("""COMPUTED_VALUE"""),6)</f>
        <v>6</v>
      </c>
      <c r="CA1276" s="1" t="str">
        <f ca="1">IFERROR(__xludf.DUMMYFUNCTION("""COMPUTED_VALUE"""),"Email")</f>
        <v>Email</v>
      </c>
      <c r="CB1276" s="8">
        <f ca="1">IFERROR(__xludf.DUMMYFUNCTION("""COMPUTED_VALUE"""),44859)</f>
        <v>44859</v>
      </c>
      <c r="CC1276" s="1" t="str">
        <f ca="1">IFERROR(__xludf.DUMMYFUNCTION("""COMPUTED_VALUE"""),"आहार चिकित्सा : H_SV_44")</f>
        <v>आहार चिकित्सा : H_SV_44</v>
      </c>
      <c r="CD1276" s="3" t="str">
        <f ca="1">IFERROR(__xludf.DUMMYFUNCTION("""COMPUTED_VALUE"""),"https://vicharkrantibooks.org/productdetail?book_name=HINP0032_AHAR_CHIKITSA_xxyyyy&amp;product_id=597")</f>
        <v>https://vicharkrantibooks.org/productdetail?book_name=HINP0032_AHAR_CHIKITSA_xxyyyy&amp;product_id=597</v>
      </c>
      <c r="CE1276" s="1" t="str">
        <f ca="1">IFERROR(__xludf.DUMMYFUNCTION("""COMPUTED_VALUE"""),"Audiobook : आहार चिकित्सा : H_SV_44 : anupriya_deshmukh9@yahoo.co.in : Recorded")</f>
        <v>Audiobook : आहार चिकित्सा : H_SV_44 : anupriya_deshmukh9@yahoo.co.in : Recorded</v>
      </c>
      <c r="CF1276" s="1" t="str">
        <f ca="1">IFERROR(__xludf.DUMMYFUNCTION("""COMPUTED_VALUE"""),"Audiobook : आहार चिकित्सा : H_SV_44 : anupriya_deshmukh9@yahoo.co.in : Recorded")</f>
        <v>Audiobook : आहार चिकित्सा : H_SV_44 : anupriya_deshmukh9@yahoo.co.in : Recorded</v>
      </c>
      <c r="CG1276" s="1" t="str">
        <f ca="1">IFERROR(__xludf.DUMMYFUNCTION("""COMPUTED_VALUE"""),"Adarniya Anupriya Deshmukh  ji आहार चिकित्सा : H_SV_44 : Allocated on 15-Oct-22 Contact Number  7506739089")</f>
        <v>Adarniya Anupriya Deshmukh  ji आहार चिकित्सा : H_SV_44 : Allocated on 15-Oct-22 Contact Number  7506739089</v>
      </c>
      <c r="CH1276" s="1"/>
      <c r="CI1276" s="1"/>
    </row>
    <row r="1277" spans="1:87" x14ac:dyDescent="0.25">
      <c r="A1277" s="8">
        <f ca="1">IFERROR(__xludf.DUMMYFUNCTION("""COMPUTED_VALUE"""),44849)</f>
        <v>44849</v>
      </c>
      <c r="B1277" s="1" t="str">
        <f ca="1">IFERROR(__xludf.DUMMYFUNCTION("""COMPUTED_VALUE"""),"anupriya_deshmukh9@yahoo.co.in")</f>
        <v>anupriya_deshmukh9@yahoo.co.in</v>
      </c>
      <c r="C1277" s="1" t="str">
        <f ca="1">IFERROR(__xludf.DUMMYFUNCTION("""COMPUTED_VALUE"""),"Anupriya Deshmukh ")</f>
        <v xml:space="preserve">Anupriya Deshmukh </v>
      </c>
      <c r="D1277" s="1">
        <f ca="1">IFERROR(__xludf.DUMMYFUNCTION("""COMPUTED_VALUE"""),7506739089)</f>
        <v>7506739089</v>
      </c>
      <c r="E1277" s="1" t="str">
        <f ca="1">IFERROR(__xludf.DUMMYFUNCTION("""COMPUTED_VALUE"""),"Yes")</f>
        <v>Yes</v>
      </c>
      <c r="F1277" s="1" t="str">
        <f ca="1">IFERROR(__xludf.DUMMYFUNCTION("""COMPUTED_VALUE"""),"हिन्दी")</f>
        <v>हिन्दी</v>
      </c>
      <c r="G1277" s="1" t="str">
        <f ca="1">IFERROR(__xludf.DUMMYFUNCTION("""COMPUTED_VALUE"""),"समग्र स्वास्थ्य")</f>
        <v>समग्र स्वास्थ्य</v>
      </c>
      <c r="H1277" s="1"/>
      <c r="I1277" s="1"/>
      <c r="J1277" s="1"/>
      <c r="K1277" s="1"/>
      <c r="L1277" s="1"/>
      <c r="M1277" s="1"/>
      <c r="N1277" s="1"/>
      <c r="O1277" s="1"/>
      <c r="P1277" s="1"/>
      <c r="Q1277" s="1"/>
      <c r="R1277" s="1"/>
      <c r="S1277" s="1"/>
      <c r="T1277" s="1"/>
      <c r="U1277" s="1" t="str">
        <f ca="1">IFERROR(__xludf.DUMMYFUNCTION("""COMPUTED_VALUE"""),"मानसिक स्वास्थ्य")</f>
        <v>मानसिक स्वास्थ्य</v>
      </c>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t="str">
        <f ca="1">IFERROR(__xludf.DUMMYFUNCTION("""COMPUTED_VALUE"""),"मानसिक संतुलन बनाए रखें")</f>
        <v>मानसिक संतुलन बनाए रखें</v>
      </c>
      <c r="BM1277" s="1"/>
      <c r="BN1277" s="1"/>
      <c r="BO1277" s="1"/>
      <c r="BP1277" s="1"/>
      <c r="BQ1277" s="1"/>
      <c r="BR1277" s="1"/>
      <c r="BS1277" s="1"/>
      <c r="BT1277" s="1"/>
      <c r="BU1277" s="1"/>
      <c r="BV1277" s="1"/>
      <c r="BW1277" s="1">
        <f ca="1">IFERROR(__xludf.DUMMYFUNCTION("""COMPUTED_VALUE"""),15)</f>
        <v>15</v>
      </c>
      <c r="BX1277" s="1">
        <f ca="1">IFERROR(__xludf.DUMMYFUNCTION("""COMPUTED_VALUE"""),10)</f>
        <v>10</v>
      </c>
      <c r="BY1277" s="1">
        <f ca="1">IFERROR(__xludf.DUMMYFUNCTION("""COMPUTED_VALUE"""),4)</f>
        <v>4</v>
      </c>
      <c r="BZ1277" s="1">
        <f ca="1">IFERROR(__xludf.DUMMYFUNCTION("""COMPUTED_VALUE"""),6)</f>
        <v>6</v>
      </c>
      <c r="CA1277" s="1" t="str">
        <f ca="1">IFERROR(__xludf.DUMMYFUNCTION("""COMPUTED_VALUE"""),"Email")</f>
        <v>Email</v>
      </c>
      <c r="CB1277" s="8">
        <f ca="1">IFERROR(__xludf.DUMMYFUNCTION("""COMPUTED_VALUE"""),44859)</f>
        <v>44859</v>
      </c>
      <c r="CC1277" s="1" t="str">
        <f ca="1">IFERROR(__xludf.DUMMYFUNCTION("""COMPUTED_VALUE"""),"बेमेल आहार से बचें : Rare Book")</f>
        <v>बेमेल आहार से बचें : Rare Book</v>
      </c>
      <c r="CD1277" s="3" t="str">
        <f ca="1">IFERROR(__xludf.DUMMYFUNCTION("""COMPUTED_VALUE"""),"https://vicharkrantibooks.org/productdetail?book_name=HINP0133_BEMEL_AHAR_SE_BACHEN_xxyyyy&amp;product_id=698")</f>
        <v>https://vicharkrantibooks.org/productdetail?book_name=HINP0133_BEMEL_AHAR_SE_BACHEN_xxyyyy&amp;product_id=698</v>
      </c>
      <c r="CE1277" s="1" t="str">
        <f ca="1">IFERROR(__xludf.DUMMYFUNCTION("""COMPUTED_VALUE"""),"Audiobook : बेमेल आहार से बचें : Rare Book : anupriya_deshmukh9@yahoo.co.in : Recorded")</f>
        <v>Audiobook : बेमेल आहार से बचें : Rare Book : anupriya_deshmukh9@yahoo.co.in : Recorded</v>
      </c>
      <c r="CF1277" s="1" t="str">
        <f ca="1">IFERROR(__xludf.DUMMYFUNCTION("""COMPUTED_VALUE"""),"Audiobook : बेमेल आहार से बचें : Rare Book : anupriya_deshmukh9@yahoo.co.in : Recorded")</f>
        <v>Audiobook : बेमेल आहार से बचें : Rare Book : anupriya_deshmukh9@yahoo.co.in : Recorded</v>
      </c>
      <c r="CG1277" s="1" t="str">
        <f ca="1">IFERROR(__xludf.DUMMYFUNCTION("""COMPUTED_VALUE"""),"Adarniya Anupriya Deshmukh  ji बेमेल आहार से बचें : Rare Book : Allocated on 15-Oct-22 Contact Number  7506739089")</f>
        <v>Adarniya Anupriya Deshmukh  ji बेमेल आहार से बचें : Rare Book : Allocated on 15-Oct-22 Contact Number  7506739089</v>
      </c>
      <c r="CH1277" s="1"/>
      <c r="CI1277" s="1"/>
    </row>
    <row r="1278" spans="1:87" x14ac:dyDescent="0.25">
      <c r="A1278" s="8">
        <f ca="1">IFERROR(__xludf.DUMMYFUNCTION("""COMPUTED_VALUE"""),44849)</f>
        <v>44849</v>
      </c>
      <c r="B1278" s="1" t="str">
        <f ca="1">IFERROR(__xludf.DUMMYFUNCTION("""COMPUTED_VALUE"""),"anupriya_deshmukh9@yahoo.co.in")</f>
        <v>anupriya_deshmukh9@yahoo.co.in</v>
      </c>
      <c r="C1278" s="1" t="str">
        <f ca="1">IFERROR(__xludf.DUMMYFUNCTION("""COMPUTED_VALUE"""),"Anupriya Deshmukh ")</f>
        <v xml:space="preserve">Anupriya Deshmukh </v>
      </c>
      <c r="D1278" s="1">
        <f ca="1">IFERROR(__xludf.DUMMYFUNCTION("""COMPUTED_VALUE"""),7506739089)</f>
        <v>7506739089</v>
      </c>
      <c r="E1278" s="1" t="str">
        <f ca="1">IFERROR(__xludf.DUMMYFUNCTION("""COMPUTED_VALUE"""),"Yes")</f>
        <v>Yes</v>
      </c>
      <c r="F1278" s="1" t="str">
        <f ca="1">IFERROR(__xludf.DUMMYFUNCTION("""COMPUTED_VALUE"""),"हिन्दी")</f>
        <v>हिन्दी</v>
      </c>
      <c r="G1278" s="1" t="str">
        <f ca="1">IFERROR(__xludf.DUMMYFUNCTION("""COMPUTED_VALUE"""),"समग्र स्वास्थ्य")</f>
        <v>समग्र स्वास्थ्य</v>
      </c>
      <c r="H1278" s="1"/>
      <c r="I1278" s="1"/>
      <c r="J1278" s="1"/>
      <c r="K1278" s="1"/>
      <c r="L1278" s="1"/>
      <c r="M1278" s="1"/>
      <c r="N1278" s="1"/>
      <c r="O1278" s="1"/>
      <c r="P1278" s="1"/>
      <c r="Q1278" s="1"/>
      <c r="R1278" s="1"/>
      <c r="S1278" s="1"/>
      <c r="T1278" s="1"/>
      <c r="U1278" s="1" t="str">
        <f ca="1">IFERROR(__xludf.DUMMYFUNCTION("""COMPUTED_VALUE"""),"मानसिक स्वास्थ्य")</f>
        <v>मानसिक स्वास्थ्य</v>
      </c>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t="str">
        <f ca="1">IFERROR(__xludf.DUMMYFUNCTION("""COMPUTED_VALUE"""),"मानसिक संतुलन बनाए रखें")</f>
        <v>मानसिक संतुलन बनाए रखें</v>
      </c>
      <c r="BM1278" s="1"/>
      <c r="BN1278" s="1"/>
      <c r="BO1278" s="1"/>
      <c r="BP1278" s="1"/>
      <c r="BQ1278" s="1"/>
      <c r="BR1278" s="1"/>
      <c r="BS1278" s="1"/>
      <c r="BT1278" s="1"/>
      <c r="BU1278" s="1"/>
      <c r="BV1278" s="1"/>
      <c r="BW1278" s="1">
        <f ca="1">IFERROR(__xludf.DUMMYFUNCTION("""COMPUTED_VALUE"""),15)</f>
        <v>15</v>
      </c>
      <c r="BX1278" s="1">
        <f ca="1">IFERROR(__xludf.DUMMYFUNCTION("""COMPUTED_VALUE"""),10)</f>
        <v>10</v>
      </c>
      <c r="BY1278" s="1">
        <f ca="1">IFERROR(__xludf.DUMMYFUNCTION("""COMPUTED_VALUE"""),4)</f>
        <v>4</v>
      </c>
      <c r="BZ1278" s="1">
        <f ca="1">IFERROR(__xludf.DUMMYFUNCTION("""COMPUTED_VALUE"""),6)</f>
        <v>6</v>
      </c>
      <c r="CA1278" s="1" t="str">
        <f ca="1">IFERROR(__xludf.DUMMYFUNCTION("""COMPUTED_VALUE"""),"Email")</f>
        <v>Email</v>
      </c>
      <c r="CB1278" s="8">
        <f ca="1">IFERROR(__xludf.DUMMYFUNCTION("""COMPUTED_VALUE"""),44859)</f>
        <v>44859</v>
      </c>
      <c r="CC1278" s="1" t="str">
        <f ca="1">IFERROR(__xludf.DUMMYFUNCTION("""COMPUTED_VALUE"""),"दूध दही का उपयोग कैसे करें ? : Rare Book")</f>
        <v>दूध दही का उपयोग कैसे करें ? : Rare Book</v>
      </c>
      <c r="CD1278" s="3" t="str">
        <f ca="1">IFERROR(__xludf.DUMMYFUNCTION("""COMPUTED_VALUE"""),"https://vicharkrantibooks.org/productdetail?book_name=HINP0256_DUDH_DAHI_KA_UPAYOG_KAISE_KAREN_xxyyyy&amp;product_id=821")</f>
        <v>https://vicharkrantibooks.org/productdetail?book_name=HINP0256_DUDH_DAHI_KA_UPAYOG_KAISE_KAREN_xxyyyy&amp;product_id=821</v>
      </c>
      <c r="CE1278" s="1" t="str">
        <f ca="1">IFERROR(__xludf.DUMMYFUNCTION("""COMPUTED_VALUE"""),"Audiobook : दूध दही का उपयोग कैसे करें ? : Rare Book : anupriya_deshmukh9@yahoo.co.in : Recorded")</f>
        <v>Audiobook : दूध दही का उपयोग कैसे करें ? : Rare Book : anupriya_deshmukh9@yahoo.co.in : Recorded</v>
      </c>
      <c r="CF1278" s="1" t="str">
        <f ca="1">IFERROR(__xludf.DUMMYFUNCTION("""COMPUTED_VALUE"""),"Audiobook : दूध दही का उपयोग कैसे करें ? : Rare Book : anupriya_deshmukh9@yahoo.co.in : Recorded")</f>
        <v>Audiobook : दूध दही का उपयोग कैसे करें ? : Rare Book : anupriya_deshmukh9@yahoo.co.in : Recorded</v>
      </c>
      <c r="CG1278" s="1" t="str">
        <f ca="1">IFERROR(__xludf.DUMMYFUNCTION("""COMPUTED_VALUE"""),"Adarniya Anupriya Deshmukh  ji दूध दही का उपयोग कैसे करें ? : Rare Book : Allocated on 15-Oct-22 Contact Number  7506739089")</f>
        <v>Adarniya Anupriya Deshmukh  ji दूध दही का उपयोग कैसे करें ? : Rare Book : Allocated on 15-Oct-22 Contact Number  7506739089</v>
      </c>
      <c r="CH1278" s="1"/>
      <c r="CI1278" s="1"/>
    </row>
    <row r="1279" spans="1:87" x14ac:dyDescent="0.25">
      <c r="A1279" s="8">
        <f ca="1">IFERROR(__xludf.DUMMYFUNCTION("""COMPUTED_VALUE"""),44849)</f>
        <v>44849</v>
      </c>
      <c r="B1279" s="1" t="str">
        <f ca="1">IFERROR(__xludf.DUMMYFUNCTION("""COMPUTED_VALUE"""),"anupriya_deshmukh9@yahoo.co.in")</f>
        <v>anupriya_deshmukh9@yahoo.co.in</v>
      </c>
      <c r="C1279" s="1" t="str">
        <f ca="1">IFERROR(__xludf.DUMMYFUNCTION("""COMPUTED_VALUE"""),"Anupriya Deshmukh ")</f>
        <v xml:space="preserve">Anupriya Deshmukh </v>
      </c>
      <c r="D1279" s="1">
        <f ca="1">IFERROR(__xludf.DUMMYFUNCTION("""COMPUTED_VALUE"""),7506739089)</f>
        <v>7506739089</v>
      </c>
      <c r="E1279" s="1" t="str">
        <f ca="1">IFERROR(__xludf.DUMMYFUNCTION("""COMPUTED_VALUE"""),"Yes")</f>
        <v>Yes</v>
      </c>
      <c r="F1279" s="1" t="str">
        <f ca="1">IFERROR(__xludf.DUMMYFUNCTION("""COMPUTED_VALUE"""),"हिन्दी")</f>
        <v>हिन्दी</v>
      </c>
      <c r="G1279" s="1" t="str">
        <f ca="1">IFERROR(__xludf.DUMMYFUNCTION("""COMPUTED_VALUE"""),"समग्र स्वास्थ्य")</f>
        <v>समग्र स्वास्थ्य</v>
      </c>
      <c r="H1279" s="1"/>
      <c r="I1279" s="1"/>
      <c r="J1279" s="1"/>
      <c r="K1279" s="1"/>
      <c r="L1279" s="1"/>
      <c r="M1279" s="1"/>
      <c r="N1279" s="1"/>
      <c r="O1279" s="1"/>
      <c r="P1279" s="1"/>
      <c r="Q1279" s="1"/>
      <c r="R1279" s="1"/>
      <c r="S1279" s="1"/>
      <c r="T1279" s="1"/>
      <c r="U1279" s="1" t="str">
        <f ca="1">IFERROR(__xludf.DUMMYFUNCTION("""COMPUTED_VALUE"""),"मानसिक स्वास्थ्य")</f>
        <v>मानसिक स्वास्थ्य</v>
      </c>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t="str">
        <f ca="1">IFERROR(__xludf.DUMMYFUNCTION("""COMPUTED_VALUE"""),"मानसिक संतुलन बनाए रखें")</f>
        <v>मानसिक संतुलन बनाए रखें</v>
      </c>
      <c r="BM1279" s="1"/>
      <c r="BN1279" s="1"/>
      <c r="BO1279" s="1"/>
      <c r="BP1279" s="1"/>
      <c r="BQ1279" s="1"/>
      <c r="BR1279" s="1"/>
      <c r="BS1279" s="1"/>
      <c r="BT1279" s="1"/>
      <c r="BU1279" s="1"/>
      <c r="BV1279" s="1"/>
      <c r="BW1279" s="1">
        <f ca="1">IFERROR(__xludf.DUMMYFUNCTION("""COMPUTED_VALUE"""),15)</f>
        <v>15</v>
      </c>
      <c r="BX1279" s="1">
        <f ca="1">IFERROR(__xludf.DUMMYFUNCTION("""COMPUTED_VALUE"""),10)</f>
        <v>10</v>
      </c>
      <c r="BY1279" s="1">
        <f ca="1">IFERROR(__xludf.DUMMYFUNCTION("""COMPUTED_VALUE"""),4)</f>
        <v>4</v>
      </c>
      <c r="BZ1279" s="1">
        <f ca="1">IFERROR(__xludf.DUMMYFUNCTION("""COMPUTED_VALUE"""),6)</f>
        <v>6</v>
      </c>
      <c r="CA1279" s="1" t="str">
        <f ca="1">IFERROR(__xludf.DUMMYFUNCTION("""COMPUTED_VALUE"""),"Email")</f>
        <v>Email</v>
      </c>
      <c r="CB1279" s="8">
        <f ca="1">IFERROR(__xludf.DUMMYFUNCTION("""COMPUTED_VALUE"""),44859)</f>
        <v>44859</v>
      </c>
      <c r="CC1279" s="1" t="str">
        <f ca="1">IFERROR(__xludf.DUMMYFUNCTION("""COMPUTED_VALUE"""),"दूध के दो विकल्प सोयाबीन और मूँगफली : Rare Book")</f>
        <v>दूध के दो विकल्प सोयाबीन और मूँगफली : Rare Book</v>
      </c>
      <c r="CD1279" s="3" t="str">
        <f ca="1">IFERROR(__xludf.DUMMYFUNCTION("""COMPUTED_VALUE"""),"https://vicharkrantibooks.org/productdetail?book_name=HINP0257_DUDH_KE_DO_VIKALP_SOYABIN_AUR_MUNGAPHALI_xx1981&amp;product_id=822")</f>
        <v>https://vicharkrantibooks.org/productdetail?book_name=HINP0257_DUDH_KE_DO_VIKALP_SOYABIN_AUR_MUNGAPHALI_xx1981&amp;product_id=822</v>
      </c>
      <c r="CE1279" s="1" t="str">
        <f ca="1">IFERROR(__xludf.DUMMYFUNCTION("""COMPUTED_VALUE"""),"Audiobook : दूध के दो विकल्प सोयाबीन और मूँगफली : Rare Book : anupriya_deshmukh9@yahoo.co.in : Recorded")</f>
        <v>Audiobook : दूध के दो विकल्प सोयाबीन और मूँगफली : Rare Book : anupriya_deshmukh9@yahoo.co.in : Recorded</v>
      </c>
      <c r="CF1279" s="1" t="str">
        <f ca="1">IFERROR(__xludf.DUMMYFUNCTION("""COMPUTED_VALUE"""),"Audiobook : दूध के दो विकल्प सोयाबीन और मूँगफली : Rare Book : anupriya_deshmukh9@yahoo.co.in : Recorded")</f>
        <v>Audiobook : दूध के दो विकल्प सोयाबीन और मूँगफली : Rare Book : anupriya_deshmukh9@yahoo.co.in : Recorded</v>
      </c>
      <c r="CG1279" s="1" t="str">
        <f ca="1">IFERROR(__xludf.DUMMYFUNCTION("""COMPUTED_VALUE"""),"Adarniya Anupriya Deshmukh  ji दूध के दो विकल्प सोयाबीन और मूँगफली : Rare Book : Allocated on 15-Oct-22 Contact Number  7506739089")</f>
        <v>Adarniya Anupriya Deshmukh  ji दूध के दो विकल्प सोयाबीन और मूँगफली : Rare Book : Allocated on 15-Oct-22 Contact Number  7506739089</v>
      </c>
      <c r="CH1279" s="1" t="str">
        <f ca="1">IFERROR(__xludf.DUMMYFUNCTION("""COMPUTED_VALUE"""),"anupriya_deshmukh9@yahoo.co.in : दूध के दो विकल्प सोयाबीन और मूँगफली : Rare Book")</f>
        <v>anupriya_deshmukh9@yahoo.co.in : दूध के दो विकल्प सोयाबीन और मूँगफली : Rare Book</v>
      </c>
      <c r="CI1279" s="8">
        <f ca="1">IFERROR(__xludf.DUMMYFUNCTION("""COMPUTED_VALUE"""),44849)</f>
        <v>44849</v>
      </c>
    </row>
    <row r="1280" spans="1:87" x14ac:dyDescent="0.25">
      <c r="A1280" s="5">
        <f ca="1">IFERROR(__xludf.DUMMYFUNCTION("""COMPUTED_VALUE"""),44825.4618240509)</f>
        <v>44825.461824050901</v>
      </c>
      <c r="B1280" s="1" t="str">
        <f ca="1">IFERROR(__xludf.DUMMYFUNCTION("""COMPUTED_VALUE"""),"artiawgp@gmail.com")</f>
        <v>artiawgp@gmail.com</v>
      </c>
      <c r="C1280" s="1" t="str">
        <f ca="1">IFERROR(__xludf.DUMMYFUNCTION("""COMPUTED_VALUE"""),"Arti Upadhyay ")</f>
        <v xml:space="preserve">Arti Upadhyay </v>
      </c>
      <c r="D1280" s="1">
        <f ca="1">IFERROR(__xludf.DUMMYFUNCTION("""COMPUTED_VALUE"""),9979734774)</f>
        <v>9979734774</v>
      </c>
      <c r="E1280" s="1" t="str">
        <f ca="1">IFERROR(__xludf.DUMMYFUNCTION("""COMPUTED_VALUE"""),"Yes")</f>
        <v>Yes</v>
      </c>
      <c r="F1280" s="1" t="str">
        <f ca="1">IFERROR(__xludf.DUMMYFUNCTION("""COMPUTED_VALUE"""),"हिन्दी")</f>
        <v>हिन्दी</v>
      </c>
      <c r="G1280" s="1" t="str">
        <f ca="1">IFERROR(__xludf.DUMMYFUNCTION("""COMPUTED_VALUE"""),"संस्कार, कर्मकाण्ड, पाठ, पूजा, गीत-संगीत")</f>
        <v>संस्कार, कर्मकाण्ड, पाठ, पूजा, गीत-संगीत</v>
      </c>
      <c r="H1280" s="1"/>
      <c r="I1280" s="1"/>
      <c r="J1280" s="1"/>
      <c r="K1280" s="1"/>
      <c r="L1280" s="1"/>
      <c r="M1280" s="1"/>
      <c r="N1280" s="1"/>
      <c r="O1280" s="1"/>
      <c r="P1280" s="1"/>
      <c r="Q1280" s="1"/>
      <c r="R1280" s="1"/>
      <c r="S1280" s="1"/>
      <c r="T1280" s="1"/>
      <c r="U1280" s="1"/>
      <c r="V1280" s="1"/>
      <c r="W1280" s="1" t="str">
        <f ca="1">IFERROR(__xludf.DUMMYFUNCTION("""COMPUTED_VALUE"""),"पर्व-त्यौहार, कर्मकाण्ड")</f>
        <v>पर्व-त्यौहार, कर्मकाण्ड</v>
      </c>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t="str">
        <f ca="1">IFERROR(__xludf.DUMMYFUNCTION("""COMPUTED_VALUE"""),"युग परिवर्तन में समर्थ दीपयज्ञ")</f>
        <v>युग परिवर्तन में समर्थ दीपयज्ञ</v>
      </c>
      <c r="BH1280" s="1"/>
      <c r="BI1280" s="1"/>
      <c r="BJ1280" s="1"/>
      <c r="BK1280" s="1"/>
      <c r="BL1280" s="1"/>
      <c r="BM1280" s="1"/>
      <c r="BN1280" s="1"/>
      <c r="BO1280" s="1"/>
      <c r="BP1280" s="1"/>
      <c r="BQ1280" s="1"/>
      <c r="BR1280" s="1"/>
      <c r="BS1280" s="1"/>
      <c r="BT1280" s="1"/>
      <c r="BU1280" s="1"/>
      <c r="BV1280" s="1"/>
      <c r="BW1280" s="1">
        <f ca="1">IFERROR(__xludf.DUMMYFUNCTION("""COMPUTED_VALUE"""),12)</f>
        <v>12</v>
      </c>
      <c r="BX1280" s="1">
        <f ca="1">IFERROR(__xludf.DUMMYFUNCTION("""COMPUTED_VALUE"""),3)</f>
        <v>3</v>
      </c>
      <c r="BY1280" s="1">
        <f ca="1">IFERROR(__xludf.DUMMYFUNCTION("""COMPUTED_VALUE"""),10)</f>
        <v>10</v>
      </c>
      <c r="BZ1280" s="1">
        <f ca="1">IFERROR(__xludf.DUMMYFUNCTION("""COMPUTED_VALUE"""),0)</f>
        <v>0</v>
      </c>
      <c r="CA1280" s="1" t="str">
        <f ca="1">IFERROR(__xludf.DUMMYFUNCTION("""COMPUTED_VALUE"""),"Email")</f>
        <v>Email</v>
      </c>
      <c r="CB1280" s="5">
        <f ca="1">IFERROR(__xludf.DUMMYFUNCTION("""COMPUTED_VALUE"""),44835.4618240509)</f>
        <v>44835.461824050901</v>
      </c>
      <c r="CC1280" s="1" t="str">
        <f ca="1">IFERROR(__xludf.DUMMYFUNCTION("""COMPUTED_VALUE"""),"युग परिवर्तन में समर्थ दीपयज्ञ : H_JS_97")</f>
        <v>युग परिवर्तन में समर्थ दीपयज्ञ : H_JS_97</v>
      </c>
      <c r="CD1280" s="3" t="str">
        <f ca="1">IFERROR(__xludf.DUMMYFUNCTION("""COMPUTED_VALUE"""),"https://vicharkrantibooks.org/productdetail?book_name=HINP1058_YUG_PARIVARTAN_MEIN_SAMARTH_DIPYAGY_xx2011&amp;product_id=1623")</f>
        <v>https://vicharkrantibooks.org/productdetail?book_name=HINP1058_YUG_PARIVARTAN_MEIN_SAMARTH_DIPYAGY_xx2011&amp;product_id=1623</v>
      </c>
      <c r="CE1280" s="1" t="str">
        <f ca="1">IFERROR(__xludf.DUMMYFUNCTION("""COMPUTED_VALUE"""),"Audiobook : युग परिवर्तन में समर्थ दीपयज्ञ : H_JS_97 : artiawgp@gmail.com : Recorded")</f>
        <v>Audiobook : युग परिवर्तन में समर्थ दीपयज्ञ : H_JS_97 : artiawgp@gmail.com : Recorded</v>
      </c>
      <c r="CF1280" s="1" t="str">
        <f ca="1">IFERROR(__xludf.DUMMYFUNCTION("""COMPUTED_VALUE"""),"#N/A")</f>
        <v>#N/A</v>
      </c>
      <c r="CG1280" s="1" t="str">
        <f ca="1">IFERROR(__xludf.DUMMYFUNCTION("""COMPUTED_VALUE"""),"Adarniya Arti Upadhyay  ji युग परिवर्तन में समर्थ दीपयज्ञ : H_JS_97 : Allocated on 21-Sep-22 Contact Number  9979734774")</f>
        <v>Adarniya Arti Upadhyay  ji युग परिवर्तन में समर्थ दीपयज्ञ : H_JS_97 : Allocated on 21-Sep-22 Contact Number  9979734774</v>
      </c>
      <c r="CH1280" s="1"/>
      <c r="CI1280" s="1"/>
    </row>
    <row r="1281" spans="1:87" x14ac:dyDescent="0.25">
      <c r="A1281" s="5">
        <f ca="1">IFERROR(__xludf.DUMMYFUNCTION("""COMPUTED_VALUE"""),44824.5427168981)</f>
        <v>44824.542716898097</v>
      </c>
      <c r="B1281" s="1" t="str">
        <f ca="1">IFERROR(__xludf.DUMMYFUNCTION("""COMPUTED_VALUE"""),"nainamistry177@gmail.com")</f>
        <v>nainamistry177@gmail.com</v>
      </c>
      <c r="C1281" s="1" t="str">
        <f ca="1">IFERROR(__xludf.DUMMYFUNCTION("""COMPUTED_VALUE"""),"Naina Mistry")</f>
        <v>Naina Mistry</v>
      </c>
      <c r="D1281" s="1" t="str">
        <f ca="1">IFERROR(__xludf.DUMMYFUNCTION("""COMPUTED_VALUE"""),"07786996129")</f>
        <v>07786996129</v>
      </c>
      <c r="E1281" s="1" t="str">
        <f ca="1">IFERROR(__xludf.DUMMYFUNCTION("""COMPUTED_VALUE"""),"Yes")</f>
        <v>Yes</v>
      </c>
      <c r="F1281" s="1" t="str">
        <f ca="1">IFERROR(__xludf.DUMMYFUNCTION("""COMPUTED_VALUE"""),"English")</f>
        <v>English</v>
      </c>
      <c r="G1281" s="1" t="str">
        <f ca="1">IFERROR(__xludf.DUMMYFUNCTION("""COMPUTED_VALUE"""),"English")</f>
        <v>English</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c r="BO1281" s="1"/>
      <c r="BP1281" s="1"/>
      <c r="BQ1281" s="1"/>
      <c r="BR1281" s="1"/>
      <c r="BS1281" s="1" t="str">
        <f ca="1">IFERROR(__xludf.DUMMYFUNCTION("""COMPUTED_VALUE"""),"Gayatri A Unique Solutions For Problems")</f>
        <v>Gayatri A Unique Solutions For Problems</v>
      </c>
      <c r="BT1281" s="1"/>
      <c r="BU1281" s="1"/>
      <c r="BV1281" s="1"/>
      <c r="BW1281" s="1">
        <f ca="1">IFERROR(__xludf.DUMMYFUNCTION("""COMPUTED_VALUE"""),4)</f>
        <v>4</v>
      </c>
      <c r="BX1281" s="1">
        <f ca="1">IFERROR(__xludf.DUMMYFUNCTION("""COMPUTED_VALUE"""),1)</f>
        <v>1</v>
      </c>
      <c r="BY1281" s="1">
        <f ca="1">IFERROR(__xludf.DUMMYFUNCTION("""COMPUTED_VALUE"""),2)</f>
        <v>2</v>
      </c>
      <c r="BZ1281" s="1">
        <f ca="1">IFERROR(__xludf.DUMMYFUNCTION("""COMPUTED_VALUE"""),1)</f>
        <v>1</v>
      </c>
      <c r="CA1281" s="1" t="str">
        <f ca="1">IFERROR(__xludf.DUMMYFUNCTION("""COMPUTED_VALUE"""),"Email")</f>
        <v>Email</v>
      </c>
      <c r="CB1281" s="5">
        <f ca="1">IFERROR(__xludf.DUMMYFUNCTION("""COMPUTED_VALUE"""),44834.5427168981)</f>
        <v>44834.542716898097</v>
      </c>
      <c r="CC1281" s="1" t="str">
        <f ca="1">IFERROR(__xludf.DUMMYFUNCTION("""COMPUTED_VALUE"""),"Gayatri A Unique Solutions For Problems : EP_35")</f>
        <v>Gayatri A Unique Solutions For Problems : EP_35</v>
      </c>
      <c r="CD1281" s="3" t="str">
        <f ca="1">IFERROR(__xludf.DUMMYFUNCTION("""COMPUTED_VALUE"""),"https://vicharkrantibooks.org/productdetail?book_name=ENGPE035_GAYATRI_A_UNIQUE_SOLUTIONS_FOR_PROBLEMS_xxyyyy&amp;product_id=3428")</f>
        <v>https://vicharkrantibooks.org/productdetail?book_name=ENGPE035_GAYATRI_A_UNIQUE_SOLUTIONS_FOR_PROBLEMS_xxyyyy&amp;product_id=3428</v>
      </c>
      <c r="CE1281" s="1" t="str">
        <f ca="1">IFERROR(__xludf.DUMMYFUNCTION("""COMPUTED_VALUE"""),"Audiobook : Gayatri A Unique Solutions For Problems : EP_35 : nainamistry177@gmail.com : Recorded")</f>
        <v>Audiobook : Gayatri A Unique Solutions For Problems : EP_35 : nainamistry177@gmail.com : Recorded</v>
      </c>
      <c r="CF1281" s="1" t="str">
        <f ca="1">IFERROR(__xludf.DUMMYFUNCTION("""COMPUTED_VALUE"""),"Audiobook : Gayatri A Unique Solutions For Problems : EP_35 : nainamistry177@gmail.com : Recorded")</f>
        <v>Audiobook : Gayatri A Unique Solutions For Problems : EP_35 : nainamistry177@gmail.com : Recorded</v>
      </c>
      <c r="CG1281" s="1" t="str">
        <f ca="1">IFERROR(__xludf.DUMMYFUNCTION("""COMPUTED_VALUE"""),"Adarniya Naina Mistry ji Gayatri A Unique Solutions For Problems : EP_35 : Allocated on 20-Sep-22 Contact Number  07786996129")</f>
        <v>Adarniya Naina Mistry ji Gayatri A Unique Solutions For Problems : EP_35 : Allocated on 20-Sep-22 Contact Number  07786996129</v>
      </c>
      <c r="CH1281" s="1"/>
      <c r="CI1281" s="1"/>
    </row>
    <row r="1282" spans="1:87" x14ac:dyDescent="0.25">
      <c r="A1282" s="5">
        <f ca="1">IFERROR(__xludf.DUMMYFUNCTION("""COMPUTED_VALUE"""),44820.5220712962)</f>
        <v>44820.522071296196</v>
      </c>
      <c r="B1282" s="1" t="str">
        <f ca="1">IFERROR(__xludf.DUMMYFUNCTION("""COMPUTED_VALUE"""),"vandana15rastogi@gmail.com")</f>
        <v>vandana15rastogi@gmail.com</v>
      </c>
      <c r="C1282" s="1" t="str">
        <f ca="1">IFERROR(__xludf.DUMMYFUNCTION("""COMPUTED_VALUE"""),"Vandana Rastogi")</f>
        <v>Vandana Rastogi</v>
      </c>
      <c r="D1282" s="1">
        <f ca="1">IFERROR(__xludf.DUMMYFUNCTION("""COMPUTED_VALUE"""),9359528684)</f>
        <v>9359528684</v>
      </c>
      <c r="E1282" s="1" t="str">
        <f ca="1">IFERROR(__xludf.DUMMYFUNCTION("""COMPUTED_VALUE"""),"Yes")</f>
        <v>Yes</v>
      </c>
      <c r="F1282" s="1" t="str">
        <f ca="1">IFERROR(__xludf.DUMMYFUNCTION("""COMPUTED_VALUE"""),"हिन्दी")</f>
        <v>हिन्दी</v>
      </c>
      <c r="G1282" s="1" t="str">
        <f ca="1">IFERROR(__xludf.DUMMYFUNCTION("""COMPUTED_VALUE"""),"अध्यात्म, धर्म एवं दर्शन")</f>
        <v>अध्यात्म, धर्म एवं दर्शन</v>
      </c>
      <c r="H1282" s="1" t="str">
        <f ca="1">IFERROR(__xludf.DUMMYFUNCTION("""COMPUTED_VALUE"""),"अध्यात्म, धर्म एवं आस्तिकता")</f>
        <v>अध्यात्म, धर्म एवं आस्तिकता</v>
      </c>
      <c r="I1282" s="1"/>
      <c r="J1282" s="1"/>
      <c r="K1282" s="1"/>
      <c r="L1282" s="1"/>
      <c r="M1282" s="1"/>
      <c r="N1282" s="1"/>
      <c r="O1282" s="1"/>
      <c r="P1282" s="1"/>
      <c r="Q1282" s="1"/>
      <c r="R1282" s="1"/>
      <c r="S1282" s="1"/>
      <c r="T1282" s="1"/>
      <c r="U1282" s="1"/>
      <c r="V1282" s="1"/>
      <c r="W1282" s="1"/>
      <c r="X1282" s="1" t="str">
        <f ca="1">IFERROR(__xludf.DUMMYFUNCTION("""COMPUTED_VALUE"""),"अध्यात्म एक नकद धर्म")</f>
        <v>अध्यात्म एक नकद धर्म</v>
      </c>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f ca="1">IFERROR(__xludf.DUMMYFUNCTION("""COMPUTED_VALUE"""),33)</f>
        <v>33</v>
      </c>
      <c r="BX1282" s="1">
        <f ca="1">IFERROR(__xludf.DUMMYFUNCTION("""COMPUTED_VALUE"""),19)</f>
        <v>19</v>
      </c>
      <c r="BY1282" s="1">
        <f ca="1">IFERROR(__xludf.DUMMYFUNCTION("""COMPUTED_VALUE"""),17)</f>
        <v>17</v>
      </c>
      <c r="BZ1282" s="1">
        <f ca="1">IFERROR(__xludf.DUMMYFUNCTION("""COMPUTED_VALUE"""),14)</f>
        <v>14</v>
      </c>
      <c r="CA1282" s="1" t="str">
        <f ca="1">IFERROR(__xludf.DUMMYFUNCTION("""COMPUTED_VALUE"""),"Email")</f>
        <v>Email</v>
      </c>
      <c r="CB1282" s="5">
        <f ca="1">IFERROR(__xludf.DUMMYFUNCTION("""COMPUTED_VALUE"""),44830.5220712962)</f>
        <v>44830.522071296196</v>
      </c>
      <c r="CC1282" s="1" t="str">
        <f ca="1">IFERROR(__xludf.DUMMYFUNCTION("""COMPUTED_VALUE"""),"अध्यात्म एक नकद धर्म : H_JS_84")</f>
        <v>अध्यात्म एक नकद धर्म : H_JS_84</v>
      </c>
      <c r="CD1282" s="3" t="str">
        <f ca="1">IFERROR(__xludf.DUMMYFUNCTION("""COMPUTED_VALUE"""),"https://vicharkrantibooks.org/productdetail?book_name=HINP0011_ADHYATM_EK_NAKAD_DHARM_xx2011&amp;product_id=576")</f>
        <v>https://vicharkrantibooks.org/productdetail?book_name=HINP0011_ADHYATM_EK_NAKAD_DHARM_xx2011&amp;product_id=576</v>
      </c>
      <c r="CE1282" s="1" t="str">
        <f ca="1">IFERROR(__xludf.DUMMYFUNCTION("""COMPUTED_VALUE"""),"Audiobook : अध्यात्म एक नकद धर्म : H_JS_84 : vandana15rastogi@gmail.com : Recorded")</f>
        <v>Audiobook : अध्यात्म एक नकद धर्म : H_JS_84 : vandana15rastogi@gmail.com : Recorded</v>
      </c>
      <c r="CF1282" s="1" t="str">
        <f ca="1">IFERROR(__xludf.DUMMYFUNCTION("""COMPUTED_VALUE"""),"Audiobook : अध्यात्म एक नकद धर्म : H_JS_84 : vandana15rastogi@gmail.com : Recorded")</f>
        <v>Audiobook : अध्यात्म एक नकद धर्म : H_JS_84 : vandana15rastogi@gmail.com : Recorded</v>
      </c>
      <c r="CG1282" s="1" t="str">
        <f ca="1">IFERROR(__xludf.DUMMYFUNCTION("""COMPUTED_VALUE"""),"Adarniya Vandana Rastogi ji अध्यात्म एक नकद धर्म : H_JS_84 : Allocated on 16-Sep-22 Contact Number  9359528684")</f>
        <v>Adarniya Vandana Rastogi ji अध्यात्म एक नकद धर्म : H_JS_84 : Allocated on 16-Sep-22 Contact Number  9359528684</v>
      </c>
      <c r="CH1282" s="1"/>
      <c r="CI1282" s="1"/>
    </row>
    <row r="1283" spans="1:87" x14ac:dyDescent="0.25">
      <c r="A1283" s="8">
        <f ca="1">IFERROR(__xludf.DUMMYFUNCTION("""COMPUTED_VALUE"""),44818)</f>
        <v>44818</v>
      </c>
      <c r="B1283" s="1" t="str">
        <f ca="1">IFERROR(__xludf.DUMMYFUNCTION("""COMPUTED_VALUE"""),"anupriya_deshmukh9@yahoo.co.in")</f>
        <v>anupriya_deshmukh9@yahoo.co.in</v>
      </c>
      <c r="C1283" s="1" t="str">
        <f ca="1">IFERROR(__xludf.DUMMYFUNCTION("""COMPUTED_VALUE"""),"Anupriya Deshmukh ")</f>
        <v xml:space="preserve">Anupriya Deshmukh </v>
      </c>
      <c r="D1283" s="1">
        <f ca="1">IFERROR(__xludf.DUMMYFUNCTION("""COMPUTED_VALUE"""),7506739089)</f>
        <v>7506739089</v>
      </c>
      <c r="E1283" s="1" t="str">
        <f ca="1">IFERROR(__xludf.DUMMYFUNCTION("""COMPUTED_VALUE"""),"Yes")</f>
        <v>Yes</v>
      </c>
      <c r="F1283" s="1" t="str">
        <f ca="1">IFERROR(__xludf.DUMMYFUNCTION("""COMPUTED_VALUE"""),"हिन्दी")</f>
        <v>हिन्दी</v>
      </c>
      <c r="G1283" s="1" t="str">
        <f ca="1">IFERROR(__xludf.DUMMYFUNCTION("""COMPUTED_VALUE"""),"समग्र स्वास्थ्य")</f>
        <v>समग्र स्वास्थ्य</v>
      </c>
      <c r="H1283" s="1"/>
      <c r="I1283" s="1"/>
      <c r="J1283" s="1"/>
      <c r="K1283" s="1"/>
      <c r="L1283" s="1"/>
      <c r="M1283" s="1"/>
      <c r="N1283" s="1"/>
      <c r="O1283" s="1"/>
      <c r="P1283" s="1"/>
      <c r="Q1283" s="1"/>
      <c r="R1283" s="1"/>
      <c r="S1283" s="1"/>
      <c r="T1283" s="1"/>
      <c r="U1283" s="1" t="str">
        <f ca="1">IFERROR(__xludf.DUMMYFUNCTION("""COMPUTED_VALUE"""),"मानसिक स्वास्थ्य")</f>
        <v>मानसिक स्वास्थ्य</v>
      </c>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t="str">
        <f ca="1">IFERROR(__xludf.DUMMYFUNCTION("""COMPUTED_VALUE"""),"मानसिक संतुलन बनाए रखें")</f>
        <v>मानसिक संतुलन बनाए रखें</v>
      </c>
      <c r="BM1283" s="1"/>
      <c r="BN1283" s="1"/>
      <c r="BO1283" s="1"/>
      <c r="BP1283" s="1"/>
      <c r="BQ1283" s="1"/>
      <c r="BR1283" s="1"/>
      <c r="BS1283" s="1"/>
      <c r="BT1283" s="1"/>
      <c r="BU1283" s="1"/>
      <c r="BV1283" s="1"/>
      <c r="BW1283" s="1">
        <f ca="1">IFERROR(__xludf.DUMMYFUNCTION("""COMPUTED_VALUE"""),15)</f>
        <v>15</v>
      </c>
      <c r="BX1283" s="1">
        <f ca="1">IFERROR(__xludf.DUMMYFUNCTION("""COMPUTED_VALUE"""),10)</f>
        <v>10</v>
      </c>
      <c r="BY1283" s="1">
        <f ca="1">IFERROR(__xludf.DUMMYFUNCTION("""COMPUTED_VALUE"""),4)</f>
        <v>4</v>
      </c>
      <c r="BZ1283" s="1">
        <f ca="1">IFERROR(__xludf.DUMMYFUNCTION("""COMPUTED_VALUE"""),6)</f>
        <v>6</v>
      </c>
      <c r="CA1283" s="1" t="str">
        <f ca="1">IFERROR(__xludf.DUMMYFUNCTION("""COMPUTED_VALUE"""),"Email")</f>
        <v>Email</v>
      </c>
      <c r="CB1283" s="8">
        <f ca="1">IFERROR(__xludf.DUMMYFUNCTION("""COMPUTED_VALUE"""),44828)</f>
        <v>44828</v>
      </c>
      <c r="CC1283" s="1" t="str">
        <f ca="1">IFERROR(__xludf.DUMMYFUNCTION("""COMPUTED_VALUE"""),"मानसिक तनाव से बचें : H_PP_30")</f>
        <v>मानसिक तनाव से बचें : H_PP_30</v>
      </c>
      <c r="CD1283" s="3" t="str">
        <f ca="1">IFERROR(__xludf.DUMMYFUNCTION("""COMPUTED_VALUE"""),"https://vicharkrantibooks.org/productdetail?book_name=HINP0498_MANASIK_TANAV_SE_BACHEN_xxyyyy&amp;product_id=1063")</f>
        <v>https://vicharkrantibooks.org/productdetail?book_name=HINP0498_MANASIK_TANAV_SE_BACHEN_xxyyyy&amp;product_id=1063</v>
      </c>
      <c r="CE1283" s="1" t="str">
        <f ca="1">IFERROR(__xludf.DUMMYFUNCTION("""COMPUTED_VALUE"""),"Audiobook : मानसिक तनाव से बचें : H_PP_30 : anupriya_deshmukh9@yahoo.co.in : Recorded")</f>
        <v>Audiobook : मानसिक तनाव से बचें : H_PP_30 : anupriya_deshmukh9@yahoo.co.in : Recorded</v>
      </c>
      <c r="CF1283" s="1" t="str">
        <f ca="1">IFERROR(__xludf.DUMMYFUNCTION("""COMPUTED_VALUE"""),"Audiobook : मानसिक तनाव से बचें : H_PP_30 : anupriya_deshmukh9@yahoo.co.in : Recorded")</f>
        <v>Audiobook : मानसिक तनाव से बचें : H_PP_30 : anupriya_deshmukh9@yahoo.co.in : Recorded</v>
      </c>
      <c r="CG1283" s="1" t="str">
        <f ca="1">IFERROR(__xludf.DUMMYFUNCTION("""COMPUTED_VALUE"""),"Adarniya Anupriya Deshmukh  ji मानसिक तनाव से बचें : H_PP_30 : Allocated on 14-Sep-22 Contact Number  7506739089")</f>
        <v>Adarniya Anupriya Deshmukh  ji मानसिक तनाव से बचें : H_PP_30 : Allocated on 14-Sep-22 Contact Number  7506739089</v>
      </c>
      <c r="CH1283" s="1"/>
      <c r="CI1283" s="1"/>
    </row>
    <row r="1284" spans="1:87" x14ac:dyDescent="0.25">
      <c r="A1284" s="5">
        <f ca="1">IFERROR(__xludf.DUMMYFUNCTION("""COMPUTED_VALUE"""),44816.7986884837)</f>
        <v>44816.798688483701</v>
      </c>
      <c r="B1284" s="1" t="str">
        <f ca="1">IFERROR(__xludf.DUMMYFUNCTION("""COMPUTED_VALUE"""),"anupriya_deshmukh9@yahoo.co.in")</f>
        <v>anupriya_deshmukh9@yahoo.co.in</v>
      </c>
      <c r="C1284" s="1" t="str">
        <f ca="1">IFERROR(__xludf.DUMMYFUNCTION("""COMPUTED_VALUE"""),"Anupriya Deshmukh ")</f>
        <v xml:space="preserve">Anupriya Deshmukh </v>
      </c>
      <c r="D1284" s="1">
        <f ca="1">IFERROR(__xludf.DUMMYFUNCTION("""COMPUTED_VALUE"""),7506739089)</f>
        <v>7506739089</v>
      </c>
      <c r="E1284" s="1" t="str">
        <f ca="1">IFERROR(__xludf.DUMMYFUNCTION("""COMPUTED_VALUE"""),"Yes")</f>
        <v>Yes</v>
      </c>
      <c r="F1284" s="1" t="str">
        <f ca="1">IFERROR(__xludf.DUMMYFUNCTION("""COMPUTED_VALUE"""),"हिन्दी")</f>
        <v>हिन्दी</v>
      </c>
      <c r="G1284" s="1" t="str">
        <f ca="1">IFERROR(__xludf.DUMMYFUNCTION("""COMPUTED_VALUE"""),"समग्र स्वास्थ्य")</f>
        <v>समग्र स्वास्थ्य</v>
      </c>
      <c r="H1284" s="1"/>
      <c r="I1284" s="1"/>
      <c r="J1284" s="1"/>
      <c r="K1284" s="1"/>
      <c r="L1284" s="1"/>
      <c r="M1284" s="1"/>
      <c r="N1284" s="1"/>
      <c r="O1284" s="1"/>
      <c r="P1284" s="1"/>
      <c r="Q1284" s="1"/>
      <c r="R1284" s="1"/>
      <c r="S1284" s="1"/>
      <c r="T1284" s="1"/>
      <c r="U1284" s="1" t="str">
        <f ca="1">IFERROR(__xludf.DUMMYFUNCTION("""COMPUTED_VALUE"""),"मानसिक स्वास्थ्य")</f>
        <v>मानसिक स्वास्थ्य</v>
      </c>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t="str">
        <f ca="1">IFERROR(__xludf.DUMMYFUNCTION("""COMPUTED_VALUE"""),"मानसिक तनाव से बचें")</f>
        <v>मानसिक तनाव से बचें</v>
      </c>
      <c r="BM1284" s="1"/>
      <c r="BN1284" s="1"/>
      <c r="BO1284" s="1"/>
      <c r="BP1284" s="1"/>
      <c r="BQ1284" s="1"/>
      <c r="BR1284" s="1"/>
      <c r="BS1284" s="1"/>
      <c r="BT1284" s="1"/>
      <c r="BU1284" s="1"/>
      <c r="BV1284" s="1"/>
      <c r="BW1284" s="1">
        <f ca="1">IFERROR(__xludf.DUMMYFUNCTION("""COMPUTED_VALUE"""),15)</f>
        <v>15</v>
      </c>
      <c r="BX1284" s="1">
        <f ca="1">IFERROR(__xludf.DUMMYFUNCTION("""COMPUTED_VALUE"""),10)</f>
        <v>10</v>
      </c>
      <c r="BY1284" s="1">
        <f ca="1">IFERROR(__xludf.DUMMYFUNCTION("""COMPUTED_VALUE"""),4)</f>
        <v>4</v>
      </c>
      <c r="BZ1284" s="1">
        <f ca="1">IFERROR(__xludf.DUMMYFUNCTION("""COMPUTED_VALUE"""),6)</f>
        <v>6</v>
      </c>
      <c r="CA1284" s="1" t="str">
        <f ca="1">IFERROR(__xludf.DUMMYFUNCTION("""COMPUTED_VALUE"""),"Email")</f>
        <v>Email</v>
      </c>
      <c r="CB1284" s="5">
        <f ca="1">IFERROR(__xludf.DUMMYFUNCTION("""COMPUTED_VALUE"""),44826.7986884837)</f>
        <v>44826.798688483701</v>
      </c>
      <c r="CC1284" s="1" t="str">
        <f ca="1">IFERROR(__xludf.DUMMYFUNCTION("""COMPUTED_VALUE"""),"मानसिक तनाव से बचें : H_PP_30")</f>
        <v>मानसिक तनाव से बचें : H_PP_30</v>
      </c>
      <c r="CD1284" s="3" t="str">
        <f ca="1">IFERROR(__xludf.DUMMYFUNCTION("""COMPUTED_VALUE"""),"https://vicharkrantibooks.org/productdetail?book_name=HINP0498_MANASIK_TANAV_SE_BACHEN_xxyyyy&amp;product_id=1063")</f>
        <v>https://vicharkrantibooks.org/productdetail?book_name=HINP0498_MANASIK_TANAV_SE_BACHEN_xxyyyy&amp;product_id=1063</v>
      </c>
      <c r="CE1284" s="1" t="str">
        <f ca="1">IFERROR(__xludf.DUMMYFUNCTION("""COMPUTED_VALUE"""),"Audiobook : मानसिक तनाव से बचें : H_PP_30 : anupriya_deshmukh9@yahoo.co.in : Recorded")</f>
        <v>Audiobook : मानसिक तनाव से बचें : H_PP_30 : anupriya_deshmukh9@yahoo.co.in : Recorded</v>
      </c>
      <c r="CF1284" s="1" t="str">
        <f ca="1">IFERROR(__xludf.DUMMYFUNCTION("""COMPUTED_VALUE"""),"Audiobook : मानसिक तनाव से बचें : H_PP_30 : anupriya_deshmukh9@yahoo.co.in : Recorded")</f>
        <v>Audiobook : मानसिक तनाव से बचें : H_PP_30 : anupriya_deshmukh9@yahoo.co.in : Recorded</v>
      </c>
      <c r="CG1284" s="1" t="str">
        <f ca="1">IFERROR(__xludf.DUMMYFUNCTION("""COMPUTED_VALUE"""),"Adarniya Anupriya Deshmukh  ji मानसिक तनाव से बचें : H_PP_30 : Allocated on 12-Sep-22 Contact Number  7506739089")</f>
        <v>Adarniya Anupriya Deshmukh  ji मानसिक तनाव से बचें : H_PP_30 : Allocated on 12-Sep-22 Contact Number  7506739089</v>
      </c>
      <c r="CH1284" s="1"/>
      <c r="CI1284" s="1"/>
    </row>
    <row r="1285" spans="1:87" x14ac:dyDescent="0.25">
      <c r="A1285" s="8">
        <f ca="1">IFERROR(__xludf.DUMMYFUNCTION("""COMPUTED_VALUE"""),44814)</f>
        <v>44814</v>
      </c>
      <c r="B1285" s="1" t="str">
        <f ca="1">IFERROR(__xludf.DUMMYFUNCTION("""COMPUTED_VALUE"""),"artiawgp@gmail.com")</f>
        <v>artiawgp@gmail.com</v>
      </c>
      <c r="C1285" s="1" t="str">
        <f ca="1">IFERROR(__xludf.DUMMYFUNCTION("""COMPUTED_VALUE"""),"Arti Upadhyay ")</f>
        <v xml:space="preserve">Arti Upadhyay </v>
      </c>
      <c r="D1285" s="1">
        <f ca="1">IFERROR(__xludf.DUMMYFUNCTION("""COMPUTED_VALUE"""),9979734774)</f>
        <v>9979734774</v>
      </c>
      <c r="E1285" s="1" t="str">
        <f ca="1">IFERROR(__xludf.DUMMYFUNCTION("""COMPUTED_VALUE"""),"Yes")</f>
        <v>Yes</v>
      </c>
      <c r="F1285" s="1" t="str">
        <f ca="1">IFERROR(__xludf.DUMMYFUNCTION("""COMPUTED_VALUE"""),"हिन्दी")</f>
        <v>हिन्दी</v>
      </c>
      <c r="G1285" s="1" t="str">
        <f ca="1">IFERROR(__xludf.DUMMYFUNCTION("""COMPUTED_VALUE"""),"संस्कार, कर्मकाण्ड, पाठ, पूजा, गीत-संगीत")</f>
        <v>संस्कार, कर्मकाण्ड, पाठ, पूजा, गीत-संगीत</v>
      </c>
      <c r="H1285" s="1"/>
      <c r="I1285" s="1"/>
      <c r="J1285" s="1"/>
      <c r="K1285" s="1"/>
      <c r="L1285" s="1"/>
      <c r="M1285" s="1"/>
      <c r="N1285" s="1"/>
      <c r="O1285" s="1"/>
      <c r="P1285" s="1"/>
      <c r="Q1285" s="1"/>
      <c r="R1285" s="1"/>
      <c r="S1285" s="1"/>
      <c r="T1285" s="1"/>
      <c r="U1285" s="1"/>
      <c r="V1285" s="1"/>
      <c r="W1285" s="1" t="str">
        <f ca="1">IFERROR(__xludf.DUMMYFUNCTION("""COMPUTED_VALUE"""),"पर्व-त्यौहार, कर्मकाण्ड")</f>
        <v>पर्व-त्यौहार, कर्मकाण्ड</v>
      </c>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t="str">
        <f ca="1">IFERROR(__xludf.DUMMYFUNCTION("""COMPUTED_VALUE"""),"युग परिवर्तन में समर्थ दीपयज्ञ")</f>
        <v>युग परिवर्तन में समर्थ दीपयज्ञ</v>
      </c>
      <c r="BH1285" s="1"/>
      <c r="BI1285" s="1"/>
      <c r="BJ1285" s="1"/>
      <c r="BK1285" s="1"/>
      <c r="BL1285" s="1"/>
      <c r="BM1285" s="1"/>
      <c r="BN1285" s="1"/>
      <c r="BO1285" s="1"/>
      <c r="BP1285" s="1"/>
      <c r="BQ1285" s="1"/>
      <c r="BR1285" s="1"/>
      <c r="BS1285" s="1"/>
      <c r="BT1285" s="1"/>
      <c r="BU1285" s="1"/>
      <c r="BV1285" s="1"/>
      <c r="BW1285" s="1">
        <f ca="1">IFERROR(__xludf.DUMMYFUNCTION("""COMPUTED_VALUE"""),12)</f>
        <v>12</v>
      </c>
      <c r="BX1285" s="1">
        <f ca="1">IFERROR(__xludf.DUMMYFUNCTION("""COMPUTED_VALUE"""),3)</f>
        <v>3</v>
      </c>
      <c r="BY1285" s="1">
        <f ca="1">IFERROR(__xludf.DUMMYFUNCTION("""COMPUTED_VALUE"""),10)</f>
        <v>10</v>
      </c>
      <c r="BZ1285" s="1">
        <f ca="1">IFERROR(__xludf.DUMMYFUNCTION("""COMPUTED_VALUE"""),0)</f>
        <v>0</v>
      </c>
      <c r="CA1285" s="1" t="str">
        <f ca="1">IFERROR(__xludf.DUMMYFUNCTION("""COMPUTED_VALUE"""),"Email")</f>
        <v>Email</v>
      </c>
      <c r="CB1285" s="8">
        <f ca="1">IFERROR(__xludf.DUMMYFUNCTION("""COMPUTED_VALUE"""),44824)</f>
        <v>44824</v>
      </c>
      <c r="CC1285" s="1" t="str">
        <f ca="1">IFERROR(__xludf.DUMMYFUNCTION("""COMPUTED_VALUE"""),"गुरु सत्ता की अमृतवाणी")</f>
        <v>गुरु सत्ता की अमृतवाणी</v>
      </c>
      <c r="CD1285" s="1" t="str">
        <f ca="1">IFERROR(__xludf.DUMMYFUNCTION("""COMPUTED_VALUE"""),"#N/A")</f>
        <v>#N/A</v>
      </c>
      <c r="CE1285" s="1" t="str">
        <f ca="1">IFERROR(__xludf.DUMMYFUNCTION("""COMPUTED_VALUE"""),"Audiobook : गुरु सत्ता की अमृतवाणी : artiawgp@gmail.com : Recorded")</f>
        <v>Audiobook : गुरु सत्ता की अमृतवाणी : artiawgp@gmail.com : Recorded</v>
      </c>
      <c r="CF1285" s="1" t="str">
        <f ca="1">IFERROR(__xludf.DUMMYFUNCTION("""COMPUTED_VALUE"""),"#N/A")</f>
        <v>#N/A</v>
      </c>
      <c r="CG1285" s="1" t="str">
        <f ca="1">IFERROR(__xludf.DUMMYFUNCTION("""COMPUTED_VALUE"""),"Adarniya Arti Upadhyay  ji गुरु सत्ता की अमृतवाणी : Allocated on 10-Sep-22 Contact Number  9979734774")</f>
        <v>Adarniya Arti Upadhyay  ji गुरु सत्ता की अमृतवाणी : Allocated on 10-Sep-22 Contact Number  9979734774</v>
      </c>
      <c r="CH1285" s="1"/>
      <c r="CI1285" s="1"/>
    </row>
    <row r="1286" spans="1:87" x14ac:dyDescent="0.25">
      <c r="A1286" s="5">
        <f ca="1">IFERROR(__xludf.DUMMYFUNCTION("""COMPUTED_VALUE"""),44810.937711875)</f>
        <v>44810.937711874998</v>
      </c>
      <c r="B1286" s="1" t="str">
        <f ca="1">IFERROR(__xludf.DUMMYFUNCTION("""COMPUTED_VALUE"""),"anupriya_deshmukh9@yahoo.co.in")</f>
        <v>anupriya_deshmukh9@yahoo.co.in</v>
      </c>
      <c r="C1286" s="1" t="str">
        <f ca="1">IFERROR(__xludf.DUMMYFUNCTION("""COMPUTED_VALUE"""),"Anupriya Deshmukh ")</f>
        <v xml:space="preserve">Anupriya Deshmukh </v>
      </c>
      <c r="D1286" s="1">
        <f ca="1">IFERROR(__xludf.DUMMYFUNCTION("""COMPUTED_VALUE"""),7506739089)</f>
        <v>7506739089</v>
      </c>
      <c r="E1286" s="1" t="str">
        <f ca="1">IFERROR(__xludf.DUMMYFUNCTION("""COMPUTED_VALUE"""),"Yes")</f>
        <v>Yes</v>
      </c>
      <c r="F1286" s="1" t="str">
        <f ca="1">IFERROR(__xludf.DUMMYFUNCTION("""COMPUTED_VALUE"""),"हिन्दी")</f>
        <v>हिन्दी</v>
      </c>
      <c r="G1286" s="1" t="str">
        <f ca="1">IFERROR(__xludf.DUMMYFUNCTION("""COMPUTED_VALUE"""),"समग्र स्वास्थ्य")</f>
        <v>समग्र स्वास्थ्य</v>
      </c>
      <c r="H1286" s="1"/>
      <c r="I1286" s="1"/>
      <c r="J1286" s="1"/>
      <c r="K1286" s="1"/>
      <c r="L1286" s="1"/>
      <c r="M1286" s="1"/>
      <c r="N1286" s="1"/>
      <c r="O1286" s="1"/>
      <c r="P1286" s="1"/>
      <c r="Q1286" s="1"/>
      <c r="R1286" s="1"/>
      <c r="S1286" s="1"/>
      <c r="T1286" s="1"/>
      <c r="U1286" s="1" t="str">
        <f ca="1">IFERROR(__xludf.DUMMYFUNCTION("""COMPUTED_VALUE"""),"स्वास्थ्य संवर्धन")</f>
        <v>स्वास्थ्य संवर्धन</v>
      </c>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t="str">
        <f ca="1">IFERROR(__xludf.DUMMYFUNCTION("""COMPUTED_VALUE"""),"दीर्घ जीवन की प्राप्ति")</f>
        <v>दीर्घ जीवन की प्राप्ति</v>
      </c>
      <c r="BN1286" s="1"/>
      <c r="BO1286" s="1"/>
      <c r="BP1286" s="1"/>
      <c r="BQ1286" s="1"/>
      <c r="BR1286" s="1"/>
      <c r="BS1286" s="1"/>
      <c r="BT1286" s="1"/>
      <c r="BU1286" s="1"/>
      <c r="BV1286" s="1"/>
      <c r="BW1286" s="1">
        <f ca="1">IFERROR(__xludf.DUMMYFUNCTION("""COMPUTED_VALUE"""),15)</f>
        <v>15</v>
      </c>
      <c r="BX1286" s="1">
        <f ca="1">IFERROR(__xludf.DUMMYFUNCTION("""COMPUTED_VALUE"""),10)</f>
        <v>10</v>
      </c>
      <c r="BY1286" s="1">
        <f ca="1">IFERROR(__xludf.DUMMYFUNCTION("""COMPUTED_VALUE"""),4)</f>
        <v>4</v>
      </c>
      <c r="BZ1286" s="1">
        <f ca="1">IFERROR(__xludf.DUMMYFUNCTION("""COMPUTED_VALUE"""),6)</f>
        <v>6</v>
      </c>
      <c r="CA1286" s="1" t="str">
        <f ca="1">IFERROR(__xludf.DUMMYFUNCTION("""COMPUTED_VALUE"""),"Email")</f>
        <v>Email</v>
      </c>
      <c r="CB1286" s="5">
        <f ca="1">IFERROR(__xludf.DUMMYFUNCTION("""COMPUTED_VALUE"""),44820.937711875)</f>
        <v>44820.937711874998</v>
      </c>
      <c r="CC1286" s="1" t="str">
        <f ca="1">IFERROR(__xludf.DUMMYFUNCTION("""COMPUTED_VALUE"""),"दीर्घ जीवन की प्राप्ति : H_SV_52")</f>
        <v>दीर्घ जीवन की प्राप्ति : H_SV_52</v>
      </c>
      <c r="CD1286" s="3" t="str">
        <f ca="1">IFERROR(__xludf.DUMMYFUNCTION("""COMPUTED_VALUE"""),"https://vicharkrantibooks.org/productdetail?book_name=HINP0253_DIRGH_JIVAN_KI_PRAPTI_xxyyyy&amp;product_id=818")</f>
        <v>https://vicharkrantibooks.org/productdetail?book_name=HINP0253_DIRGH_JIVAN_KI_PRAPTI_xxyyyy&amp;product_id=818</v>
      </c>
      <c r="CE1286" s="1" t="str">
        <f ca="1">IFERROR(__xludf.DUMMYFUNCTION("""COMPUTED_VALUE"""),"Audiobook : दीर्घ जीवन की प्राप्ति : H_SV_52 : anupriya_deshmukh9@yahoo.co.in : Recorded")</f>
        <v>Audiobook : दीर्घ जीवन की प्राप्ति : H_SV_52 : anupriya_deshmukh9@yahoo.co.in : Recorded</v>
      </c>
      <c r="CF1286" s="1" t="str">
        <f ca="1">IFERROR(__xludf.DUMMYFUNCTION("""COMPUTED_VALUE"""),"Audiobook : दीर्घ जीवन की प्राप्ति : H_SV_52 : anupriya_deshmukh9@yahoo.co.in : Recorded")</f>
        <v>Audiobook : दीर्घ जीवन की प्राप्ति : H_SV_52 : anupriya_deshmukh9@yahoo.co.in : Recorded</v>
      </c>
      <c r="CG1286" s="1" t="str">
        <f ca="1">IFERROR(__xludf.DUMMYFUNCTION("""COMPUTED_VALUE"""),"Adarniya Anupriya Deshmukh  ji दीर्घ जीवन की प्राप्ति : H_SV_52 : Allocated on 06-Sep-22 Contact Number  7506739089")</f>
        <v>Adarniya Anupriya Deshmukh  ji दीर्घ जीवन की प्राप्ति : H_SV_52 : Allocated on 06-Sep-22 Contact Number  7506739089</v>
      </c>
      <c r="CH1286" s="1"/>
      <c r="CI1286" s="1"/>
    </row>
    <row r="1287" spans="1:87" x14ac:dyDescent="0.25">
      <c r="A1287" s="1"/>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f ca="1">IFERROR(__xludf.DUMMYFUNCTION("""COMPUTED_VALUE"""),0)</f>
        <v>0</v>
      </c>
      <c r="BX1287" s="1">
        <f ca="1">IFERROR(__xludf.DUMMYFUNCTION("""COMPUTED_VALUE"""),0)</f>
        <v>0</v>
      </c>
      <c r="BY1287" s="1"/>
      <c r="BZ1287" s="1">
        <f ca="1">IFERROR(__xludf.DUMMYFUNCTION("""COMPUTED_VALUE"""),0)</f>
        <v>0</v>
      </c>
      <c r="CA1287" s="1"/>
      <c r="CB1287" s="1"/>
      <c r="CC1287" s="1"/>
      <c r="CD1287" s="1"/>
      <c r="CE1287" s="1" t="str">
        <f ca="1">IFERROR(__xludf.DUMMYFUNCTION("""COMPUTED_VALUE"""),"Audiobook :  :  : Recorded")</f>
        <v>Audiobook :  :  : Recorded</v>
      </c>
      <c r="CF1287" s="1"/>
      <c r="CG1287" s="1" t="str">
        <f ca="1">IFERROR(__xludf.DUMMYFUNCTION("""COMPUTED_VALUE"""),"Adarniya  ji  : Allocated on 30-Dec-99 Contact Number  ")</f>
        <v xml:space="preserve">Adarniya  ji  : Allocated on 30-Dec-99 Contact Number  </v>
      </c>
      <c r="CH1287" s="1"/>
      <c r="CI1287" s="1"/>
    </row>
    <row r="1288" spans="1:87" x14ac:dyDescent="0.25">
      <c r="A1288" s="1"/>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c r="CF1288" s="1"/>
      <c r="CG1288" s="1"/>
      <c r="CH1288" s="1"/>
      <c r="CI1288" s="1"/>
    </row>
    <row r="1289" spans="1:87" x14ac:dyDescent="0.25">
      <c r="A1289" s="1"/>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c r="CF1289" s="1"/>
      <c r="CG1289" s="1"/>
      <c r="CH1289" s="1"/>
      <c r="CI1289" s="1"/>
    </row>
    <row r="1290" spans="1:87" x14ac:dyDescent="0.25">
      <c r="A1290" s="1"/>
      <c r="B1290" s="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c r="CF1290" s="1"/>
      <c r="CG1290" s="1"/>
      <c r="CH1290" s="1"/>
      <c r="CI1290" s="1"/>
    </row>
    <row r="1291" spans="1:87" x14ac:dyDescent="0.25">
      <c r="A1291" s="1"/>
      <c r="B1291" s="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c r="CF1291" s="1"/>
      <c r="CG1291" s="1"/>
      <c r="CH1291" s="1"/>
      <c r="CI1291" s="1"/>
    </row>
    <row r="1292" spans="1:87" x14ac:dyDescent="0.25">
      <c r="A1292" s="1"/>
      <c r="B1292" s="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c r="CF1292" s="1"/>
      <c r="CG1292" s="1"/>
      <c r="CH1292" s="1"/>
      <c r="CI1292" s="1"/>
    </row>
    <row r="1293" spans="1:87" x14ac:dyDescent="0.25">
      <c r="A1293" s="1"/>
      <c r="B1293" s="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c r="CF1293" s="1"/>
      <c r="CG1293" s="1"/>
      <c r="CH1293" s="1"/>
      <c r="CI1293" s="1"/>
    </row>
    <row r="1294" spans="1:87" x14ac:dyDescent="0.25">
      <c r="A1294" s="1"/>
      <c r="B1294" s="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c r="CF1294" s="1"/>
      <c r="CG1294" s="1"/>
      <c r="CH1294" s="1"/>
      <c r="CI1294" s="1"/>
    </row>
    <row r="1295" spans="1:87" x14ac:dyDescent="0.25">
      <c r="A1295" s="1"/>
      <c r="B1295" s="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c r="CF1295" s="1"/>
      <c r="CG1295" s="1"/>
      <c r="CH1295" s="1"/>
      <c r="CI1295" s="1"/>
    </row>
    <row r="1296" spans="1:87" x14ac:dyDescent="0.25">
      <c r="A1296" s="1"/>
      <c r="B1296" s="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c r="CF1296" s="1"/>
      <c r="CG1296" s="1"/>
      <c r="CH1296" s="1"/>
      <c r="CI1296" s="1"/>
    </row>
    <row r="1297" spans="1:87" x14ac:dyDescent="0.25">
      <c r="A1297" s="1"/>
      <c r="B1297" s="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c r="CF1297" s="1"/>
      <c r="CG1297" s="1"/>
      <c r="CH1297" s="1"/>
      <c r="CI1297" s="1"/>
    </row>
    <row r="1298" spans="1:87" x14ac:dyDescent="0.25">
      <c r="A1298" s="1"/>
      <c r="B1298" s="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c r="CF1298" s="1"/>
      <c r="CG1298" s="1"/>
      <c r="CH1298" s="1"/>
      <c r="CI1298" s="1"/>
    </row>
    <row r="1299" spans="1:87" x14ac:dyDescent="0.25">
      <c r="A1299" s="1"/>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c r="CF1299" s="1"/>
      <c r="CG1299" s="1"/>
      <c r="CH1299" s="1"/>
      <c r="CI1299" s="1"/>
    </row>
    <row r="1300" spans="1:87" x14ac:dyDescent="0.25">
      <c r="A1300" s="1"/>
      <c r="B1300" s="1"/>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c r="CF1300" s="1"/>
      <c r="CG1300" s="1"/>
      <c r="CH1300" s="1"/>
      <c r="CI1300" s="1"/>
    </row>
    <row r="1301" spans="1:87" x14ac:dyDescent="0.25">
      <c r="A1301" s="1"/>
      <c r="B1301" s="1"/>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c r="CF1301" s="1"/>
      <c r="CG1301" s="1"/>
      <c r="CH1301" s="1"/>
      <c r="CI1301" s="1"/>
    </row>
    <row r="1302" spans="1:87" x14ac:dyDescent="0.25">
      <c r="A1302" s="1"/>
      <c r="B1302" s="1"/>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c r="CF1302" s="1"/>
      <c r="CG1302" s="1"/>
      <c r="CH1302" s="1"/>
      <c r="CI1302" s="1"/>
    </row>
    <row r="1303" spans="1:87" x14ac:dyDescent="0.25">
      <c r="A1303" s="1"/>
      <c r="B1303" s="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c r="CF1303" s="1"/>
      <c r="CG1303" s="1"/>
      <c r="CH1303" s="1"/>
      <c r="CI1303" s="1"/>
    </row>
    <row r="1304" spans="1:87" x14ac:dyDescent="0.25">
      <c r="A1304" s="1"/>
      <c r="B1304" s="1"/>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c r="CF1304" s="1"/>
      <c r="CG1304" s="1"/>
      <c r="CH1304" s="1"/>
      <c r="CI1304" s="1"/>
    </row>
    <row r="1305" spans="1:87" x14ac:dyDescent="0.25">
      <c r="A1305" s="1"/>
      <c r="B1305" s="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c r="CF1305" s="1"/>
      <c r="CG1305" s="1"/>
      <c r="CH1305" s="1"/>
      <c r="CI1305" s="1"/>
    </row>
    <row r="1306" spans="1:87" x14ac:dyDescent="0.25">
      <c r="A1306" s="1"/>
      <c r="B1306" s="1"/>
      <c r="C1306" s="1"/>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c r="CF1306" s="1"/>
      <c r="CG1306" s="1"/>
      <c r="CH1306" s="1"/>
      <c r="CI1306" s="1"/>
    </row>
    <row r="1307" spans="1:87" x14ac:dyDescent="0.25">
      <c r="A1307" s="1"/>
      <c r="B1307" s="1"/>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c r="CF1307" s="1"/>
      <c r="CG1307" s="1"/>
      <c r="CH1307" s="1"/>
      <c r="CI1307" s="1"/>
    </row>
    <row r="1308" spans="1:87" x14ac:dyDescent="0.25">
      <c r="A1308" s="1"/>
      <c r="B1308" s="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c r="CF1308" s="1"/>
      <c r="CG1308" s="1"/>
      <c r="CH1308" s="1"/>
      <c r="CI1308" s="1"/>
    </row>
    <row r="1309" spans="1:87" x14ac:dyDescent="0.25">
      <c r="A1309" s="1"/>
      <c r="B1309" s="1"/>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c r="CF1309" s="1"/>
      <c r="CG1309" s="1"/>
      <c r="CH1309" s="1"/>
      <c r="CI1309" s="1"/>
    </row>
    <row r="1310" spans="1:87" x14ac:dyDescent="0.25">
      <c r="A1310" s="1"/>
      <c r="B1310" s="1"/>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c r="CF1310" s="1"/>
      <c r="CG1310" s="1"/>
      <c r="CH1310" s="1"/>
      <c r="CI1310" s="1"/>
    </row>
    <row r="1311" spans="1:87" x14ac:dyDescent="0.25">
      <c r="A1311" s="1"/>
      <c r="B1311" s="1"/>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c r="CF1311" s="1"/>
      <c r="CG1311" s="1"/>
      <c r="CH1311" s="1"/>
      <c r="CI1311" s="1"/>
    </row>
    <row r="1312" spans="1:87" x14ac:dyDescent="0.25">
      <c r="A1312" s="1"/>
      <c r="B1312" s="1"/>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c r="CF1312" s="1"/>
      <c r="CG1312" s="1"/>
      <c r="CH1312" s="1"/>
      <c r="CI1312" s="1"/>
    </row>
    <row r="1313" spans="1:87" x14ac:dyDescent="0.25">
      <c r="A1313" s="1"/>
      <c r="B1313" s="1"/>
      <c r="C1313" s="1"/>
      <c r="D1313" s="1"/>
      <c r="E1313" s="1"/>
      <c r="F1313" s="1"/>
      <c r="G1313" s="1"/>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c r="CF1313" s="1"/>
      <c r="CG1313" s="1"/>
      <c r="CH1313" s="1"/>
      <c r="CI1313" s="1"/>
    </row>
    <row r="1314" spans="1:87" x14ac:dyDescent="0.25">
      <c r="A1314" s="1"/>
      <c r="B1314" s="1"/>
      <c r="C1314" s="1"/>
      <c r="D1314" s="1"/>
      <c r="E1314" s="1"/>
      <c r="F1314" s="1"/>
      <c r="G1314" s="1"/>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c r="CF1314" s="1"/>
      <c r="CG1314" s="1"/>
      <c r="CH1314" s="1"/>
      <c r="CI1314" s="1"/>
    </row>
    <row r="1315" spans="1:87" x14ac:dyDescent="0.25">
      <c r="A1315" s="1"/>
      <c r="B1315" s="1"/>
      <c r="C1315" s="1"/>
      <c r="D1315" s="1"/>
      <c r="E1315" s="1"/>
      <c r="F1315" s="1"/>
      <c r="G1315" s="1"/>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c r="CF1315" s="1"/>
      <c r="CG1315" s="1"/>
      <c r="CH1315" s="1"/>
      <c r="CI1315" s="1"/>
    </row>
    <row r="1316" spans="1:87" x14ac:dyDescent="0.25">
      <c r="A1316" s="1"/>
      <c r="B1316" s="1"/>
      <c r="C1316" s="1"/>
      <c r="D1316" s="1"/>
      <c r="E1316" s="1"/>
      <c r="F1316" s="1"/>
      <c r="G1316" s="1"/>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c r="CF1316" s="1"/>
      <c r="CG1316" s="1"/>
      <c r="CH1316" s="1"/>
      <c r="CI1316" s="1"/>
    </row>
    <row r="1317" spans="1:87" x14ac:dyDescent="0.25">
      <c r="A1317" s="1"/>
      <c r="B1317" s="1"/>
      <c r="C1317" s="1"/>
      <c r="D1317" s="1"/>
      <c r="E1317" s="1"/>
      <c r="F1317" s="1"/>
      <c r="G1317" s="1"/>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c r="CF1317" s="1"/>
      <c r="CG1317" s="1"/>
      <c r="CH1317" s="1"/>
      <c r="CI1317" s="1"/>
    </row>
    <row r="1318" spans="1:87" x14ac:dyDescent="0.25">
      <c r="A1318" s="1"/>
      <c r="B1318" s="1"/>
      <c r="C1318" s="1"/>
      <c r="D1318" s="1"/>
      <c r="E1318" s="1"/>
      <c r="F1318" s="1"/>
      <c r="G1318" s="1"/>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c r="CF1318" s="1"/>
      <c r="CG1318" s="1"/>
      <c r="CH1318" s="1"/>
      <c r="CI1318" s="1"/>
    </row>
    <row r="1319" spans="1:87" x14ac:dyDescent="0.25">
      <c r="A1319" s="1"/>
      <c r="B1319" s="1"/>
      <c r="C1319" s="1"/>
      <c r="D1319" s="1"/>
      <c r="E1319" s="1"/>
      <c r="F1319" s="1"/>
      <c r="G1319" s="1"/>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c r="CF1319" s="1"/>
      <c r="CG1319" s="1"/>
      <c r="CH1319" s="1"/>
      <c r="CI1319" s="1"/>
    </row>
    <row r="1320" spans="1:87" x14ac:dyDescent="0.25">
      <c r="A1320" s="1"/>
      <c r="B1320" s="1"/>
      <c r="C1320" s="1"/>
      <c r="D1320" s="1"/>
      <c r="E1320" s="1"/>
      <c r="F1320" s="1"/>
      <c r="G1320" s="1"/>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c r="CF1320" s="1"/>
      <c r="CG1320" s="1"/>
      <c r="CH1320" s="1"/>
      <c r="CI1320" s="1"/>
    </row>
    <row r="1321" spans="1:87" x14ac:dyDescent="0.25">
      <c r="A1321" s="1"/>
      <c r="B1321" s="1"/>
      <c r="C1321" s="1"/>
      <c r="D1321" s="1"/>
      <c r="E1321" s="1"/>
      <c r="F1321" s="1"/>
      <c r="G1321" s="1"/>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c r="CF1321" s="1"/>
      <c r="CG1321" s="1"/>
      <c r="CH1321" s="1"/>
      <c r="CI1321" s="1"/>
    </row>
    <row r="1322" spans="1:87" x14ac:dyDescent="0.25">
      <c r="A1322" s="1"/>
      <c r="B1322" s="1"/>
      <c r="C1322" s="1"/>
      <c r="D1322" s="1"/>
      <c r="E1322" s="1"/>
      <c r="F1322" s="1"/>
      <c r="G1322" s="1"/>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c r="CF1322" s="1"/>
      <c r="CG1322" s="1"/>
      <c r="CH1322" s="1"/>
      <c r="CI1322" s="1"/>
    </row>
    <row r="1323" spans="1:87" x14ac:dyDescent="0.25">
      <c r="A1323" s="1"/>
      <c r="B1323" s="1"/>
      <c r="C1323" s="1"/>
      <c r="D1323" s="1"/>
      <c r="E1323" s="1"/>
      <c r="F1323" s="1"/>
      <c r="G1323" s="1"/>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c r="CF1323" s="1"/>
      <c r="CG1323" s="1"/>
      <c r="CH1323" s="1"/>
      <c r="CI1323" s="1"/>
    </row>
    <row r="1324" spans="1:87" x14ac:dyDescent="0.25">
      <c r="A1324" s="1"/>
      <c r="B1324" s="1"/>
      <c r="C1324" s="1"/>
      <c r="D1324" s="1"/>
      <c r="E1324" s="1"/>
      <c r="F1324" s="1"/>
      <c r="G1324" s="1"/>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c r="CF1324" s="1"/>
      <c r="CG1324" s="1"/>
      <c r="CH1324" s="1"/>
      <c r="CI1324" s="1"/>
    </row>
    <row r="1325" spans="1:87" x14ac:dyDescent="0.25">
      <c r="A1325" s="1"/>
      <c r="B1325" s="1"/>
      <c r="C1325" s="1"/>
      <c r="D1325" s="1"/>
      <c r="E1325" s="1"/>
      <c r="F1325" s="1"/>
      <c r="G1325" s="1"/>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c r="CF1325" s="1"/>
      <c r="CG1325" s="1"/>
      <c r="CH1325" s="1"/>
      <c r="CI1325" s="1"/>
    </row>
    <row r="1326" spans="1:87" x14ac:dyDescent="0.25">
      <c r="A1326" s="1"/>
      <c r="B1326" s="1"/>
      <c r="C1326" s="1"/>
      <c r="D1326" s="1"/>
      <c r="E1326" s="1"/>
      <c r="F1326" s="1"/>
      <c r="G1326" s="1"/>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c r="CF1326" s="1"/>
      <c r="CG1326" s="1"/>
      <c r="CH1326" s="1"/>
      <c r="CI1326" s="1"/>
    </row>
    <row r="1327" spans="1:87" x14ac:dyDescent="0.25">
      <c r="A1327" s="1"/>
      <c r="B1327" s="1"/>
      <c r="C1327" s="1"/>
      <c r="D1327" s="1"/>
      <c r="E1327" s="1"/>
      <c r="F1327" s="1"/>
      <c r="G1327" s="1"/>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c r="CF1327" s="1"/>
      <c r="CG1327" s="1"/>
      <c r="CH1327" s="1"/>
      <c r="CI1327" s="1"/>
    </row>
    <row r="1328" spans="1:87" x14ac:dyDescent="0.25">
      <c r="A1328" s="1"/>
      <c r="B1328" s="1"/>
      <c r="C1328" s="1"/>
      <c r="D1328" s="1"/>
      <c r="E1328" s="1"/>
      <c r="F1328" s="1"/>
      <c r="G1328" s="1"/>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c r="CF1328" s="1"/>
      <c r="CG1328" s="1"/>
      <c r="CH1328" s="1"/>
      <c r="CI1328" s="1"/>
    </row>
    <row r="1329" spans="1:87" x14ac:dyDescent="0.25">
      <c r="A1329" s="1"/>
      <c r="B1329" s="1"/>
      <c r="C1329" s="1"/>
      <c r="D1329" s="1"/>
      <c r="E1329" s="1"/>
      <c r="F1329" s="1"/>
      <c r="G1329" s="1"/>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c r="CF1329" s="1"/>
      <c r="CG1329" s="1"/>
      <c r="CH1329" s="1"/>
      <c r="CI1329" s="1"/>
    </row>
    <row r="1330" spans="1:87" x14ac:dyDescent="0.25">
      <c r="A1330" s="1"/>
      <c r="B1330" s="1"/>
      <c r="C1330" s="1"/>
      <c r="D1330" s="1"/>
      <c r="E1330" s="1"/>
      <c r="F1330" s="1"/>
      <c r="G1330" s="1"/>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c r="CF1330" s="1"/>
      <c r="CG1330" s="1"/>
      <c r="CH1330" s="1"/>
      <c r="CI1330" s="1"/>
    </row>
    <row r="1331" spans="1:87" x14ac:dyDescent="0.25">
      <c r="A1331" s="1"/>
      <c r="B1331" s="1"/>
      <c r="C1331" s="1"/>
      <c r="D1331" s="1"/>
      <c r="E1331" s="1"/>
      <c r="F1331" s="1"/>
      <c r="G1331" s="1"/>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c r="CF1331" s="1"/>
      <c r="CG1331" s="1"/>
      <c r="CH1331" s="1"/>
      <c r="CI1331" s="1"/>
    </row>
    <row r="1332" spans="1:87" x14ac:dyDescent="0.25">
      <c r="A1332" s="1"/>
      <c r="B1332" s="1"/>
      <c r="C1332" s="1"/>
      <c r="D1332" s="1"/>
      <c r="E1332" s="1"/>
      <c r="F1332" s="1"/>
      <c r="G1332" s="1"/>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c r="CF1332" s="1"/>
      <c r="CG1332" s="1"/>
      <c r="CH1332" s="1"/>
      <c r="CI1332" s="1"/>
    </row>
    <row r="1333" spans="1:87" x14ac:dyDescent="0.25">
      <c r="A1333" s="1"/>
      <c r="B1333" s="1"/>
      <c r="C1333" s="1"/>
      <c r="D1333" s="1"/>
      <c r="E1333" s="1"/>
      <c r="F1333" s="1"/>
      <c r="G1333" s="1"/>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c r="CF1333" s="1"/>
      <c r="CG1333" s="1"/>
      <c r="CH1333" s="1"/>
      <c r="CI1333" s="1"/>
    </row>
    <row r="1334" spans="1:87" x14ac:dyDescent="0.25">
      <c r="A1334" s="1"/>
      <c r="B1334" s="1"/>
      <c r="C1334" s="1"/>
      <c r="D1334" s="1"/>
      <c r="E1334" s="1"/>
      <c r="F1334" s="1"/>
      <c r="G1334" s="1"/>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c r="CF1334" s="1"/>
      <c r="CG1334" s="1"/>
      <c r="CH1334" s="1"/>
      <c r="CI1334" s="1"/>
    </row>
    <row r="1335" spans="1:87" x14ac:dyDescent="0.25">
      <c r="A1335" s="1"/>
      <c r="B1335" s="1"/>
      <c r="C1335" s="1"/>
      <c r="D1335" s="1"/>
      <c r="E1335" s="1"/>
      <c r="F1335" s="1"/>
      <c r="G1335" s="1"/>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c r="CF1335" s="1"/>
      <c r="CG1335" s="1"/>
      <c r="CH1335" s="1"/>
      <c r="CI1335" s="1"/>
    </row>
    <row r="1336" spans="1:87" x14ac:dyDescent="0.25">
      <c r="A1336" s="1"/>
      <c r="B1336" s="1"/>
      <c r="C1336" s="1"/>
      <c r="D1336" s="1"/>
      <c r="E1336" s="1"/>
      <c r="F1336" s="1"/>
      <c r="G1336" s="1"/>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c r="CF1336" s="1"/>
      <c r="CG1336" s="1"/>
      <c r="CH1336" s="1"/>
      <c r="CI1336" s="1"/>
    </row>
    <row r="1337" spans="1:87" x14ac:dyDescent="0.25">
      <c r="A1337" s="1"/>
      <c r="B1337" s="1"/>
      <c r="C1337" s="1"/>
      <c r="D1337" s="1"/>
      <c r="E1337" s="1"/>
      <c r="F1337" s="1"/>
      <c r="G1337" s="1"/>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c r="CF1337" s="1"/>
      <c r="CG1337" s="1"/>
      <c r="CH1337" s="1"/>
      <c r="CI1337" s="1"/>
    </row>
    <row r="1338" spans="1:87" x14ac:dyDescent="0.25">
      <c r="A1338" s="1"/>
      <c r="B1338" s="1"/>
      <c r="C1338" s="1"/>
      <c r="D1338" s="1"/>
      <c r="E1338" s="1"/>
      <c r="F1338" s="1"/>
      <c r="G1338" s="1"/>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c r="CF1338" s="1"/>
      <c r="CG1338" s="1"/>
      <c r="CH1338" s="1"/>
      <c r="CI1338" s="1"/>
    </row>
    <row r="1339" spans="1:87" x14ac:dyDescent="0.25">
      <c r="A1339" s="1"/>
      <c r="B1339" s="1"/>
      <c r="C1339" s="1"/>
      <c r="D1339" s="1"/>
      <c r="E1339" s="1"/>
      <c r="F1339" s="1"/>
      <c r="G1339" s="1"/>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c r="CF1339" s="1"/>
      <c r="CG1339" s="1"/>
      <c r="CH1339" s="1"/>
      <c r="CI1339" s="1"/>
    </row>
    <row r="1340" spans="1:87" x14ac:dyDescent="0.25">
      <c r="A1340" s="1"/>
      <c r="B1340" s="1"/>
      <c r="C1340" s="1"/>
      <c r="D1340" s="1"/>
      <c r="E1340" s="1"/>
      <c r="F1340" s="1"/>
      <c r="G1340" s="1"/>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c r="CF1340" s="1"/>
      <c r="CG1340" s="1"/>
      <c r="CH1340" s="1"/>
      <c r="CI1340" s="1"/>
    </row>
    <row r="1341" spans="1:87" x14ac:dyDescent="0.25">
      <c r="A1341" s="1"/>
      <c r="B1341" s="1"/>
      <c r="C1341" s="1"/>
      <c r="D1341" s="1"/>
      <c r="E1341" s="1"/>
      <c r="F1341" s="1"/>
      <c r="G1341" s="1"/>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c r="CF1341" s="1"/>
      <c r="CG1341" s="1"/>
      <c r="CH1341" s="1"/>
      <c r="CI1341" s="1"/>
    </row>
    <row r="1342" spans="1:87" x14ac:dyDescent="0.25">
      <c r="A1342" s="1"/>
      <c r="B1342" s="1"/>
      <c r="C1342" s="1"/>
      <c r="D1342" s="1"/>
      <c r="E1342" s="1"/>
      <c r="F1342" s="1"/>
      <c r="G1342" s="1"/>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c r="CF1342" s="1"/>
      <c r="CG1342" s="1"/>
      <c r="CH1342" s="1"/>
      <c r="CI1342" s="1"/>
    </row>
    <row r="1343" spans="1:87" x14ac:dyDescent="0.25">
      <c r="A1343" s="1"/>
      <c r="B1343" s="1"/>
      <c r="C1343" s="1"/>
      <c r="D1343" s="1"/>
      <c r="E1343" s="1"/>
      <c r="F1343" s="1"/>
      <c r="G1343" s="1"/>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c r="CF1343" s="1"/>
      <c r="CG1343" s="1"/>
      <c r="CH1343" s="1"/>
      <c r="CI1343" s="1"/>
    </row>
  </sheetData>
  <hyperlinks>
    <hyperlink ref="CD2" r:id="rId1" display="https://vicharkrantibooks.org/productdetail?book_name=HINP0600_NIRAKSHARATA_KA_KALANK_DHO_HI_DALEN_xx1982&amp;product_id=1165" xr:uid="{00000000-0004-0000-0100-000000000000}"/>
    <hyperlink ref="CD3" r:id="rId2" display="https://vicharkrantibooks.org/productdetail?book_name=ENGB0208_MOTHER%E2%80%99S_TEACHINGS_1st2013&amp;product_id=3526" xr:uid="{00000000-0004-0000-0100-000001000000}"/>
    <hyperlink ref="CD4" r:id="rId3" display="https://vicharkrantibooks.org/productdetail?book_name=HINP0709_RUGN_RAHEN_YA_SWASTH_YAH_APANE_MAN_PAR_NIRBHAR_HAI_xx1982&amp;product_id=1274" xr:uid="{00000000-0004-0000-0100-000002000000}"/>
    <hyperlink ref="CD5" r:id="rId4" display="https://vicharkrantibooks.org/productdetail?book_name=HINP1057_YUG_PARIVARTAN_MEIN_SAMARTH_AGRADUTON_KI_BHUMIKA_xxyyyy&amp;product_id=1622" xr:uid="{00000000-0004-0000-0100-000003000000}"/>
    <hyperlink ref="CD6" r:id="rId5" display="https://vicharkrantibooks.org/productdetail?book_name=HINP0951_VATAVARAN_KA_PRABHAV_xxyyyy&amp;product_id=1516" xr:uid="{00000000-0004-0000-0100-000004000000}"/>
    <hyperlink ref="CD7" r:id="rId6" display="https://vicharkrantibooks.org/productdetail?book_name=HINP1100_DHARMATANTR_KO_PAKHAND_SE_BACHAEN_PRAGATISHIL_BANAEN_xxyyyy&amp;product_id=1665" xr:uid="{00000000-0004-0000-0100-000005000000}"/>
    <hyperlink ref="CD8" r:id="rId7" display="https://vicharkrantibooks.org/productdetail?book_name=HINP0997_VOTARON_KI_SATARKATA_PAR_PRAJATANTR_KI_SAPHALATA_NIRBHAR_xxyyyy&amp;product_id=1562" xr:uid="{00000000-0004-0000-0100-000006000000}"/>
    <hyperlink ref="CD9" r:id="rId8" display="https://vicharkrantibooks.org/productdetail?book_name=HINP0997_VOTARON_KI_SATARKATA_PAR_PRAJATANTR_KI_SAPHALATA_NIRBHAR_xxyyyy&amp;product_id=1562" xr:uid="{00000000-0004-0000-0100-000007000000}"/>
    <hyperlink ref="CD10" r:id="rId9" display="https://vicharkrantibooks.org/productdetail?product_id=3967" xr:uid="{00000000-0004-0000-0100-000008000000}"/>
    <hyperlink ref="CD11" r:id="rId10" display="https://vicharkrantibooks.org/productdetail?book_name=HINP0832_SHAKAHAR_HI_MANUSHY_KA_PRAKRUTIK_BHOJAN_xxyyyy&amp;product_id=1397" xr:uid="{00000000-0004-0000-0100-000009000000}"/>
    <hyperlink ref="CD12" r:id="rId11" display="https://vicharkrantibooks.org/productdetail?product_id=3925" xr:uid="{00000000-0004-0000-0100-00000A000000}"/>
    <hyperlink ref="CD13" r:id="rId12" display="https://vicharkrantibooks.org/productdetail?book_name=HINF0036_ASANTULAN_KO_MITANE_VALI_AVTAR_PRAKRIYA_KA_AVIRBHAV_SANNIKAT_xxyyyy&amp;product_id=256" xr:uid="{00000000-0004-0000-0100-00000B000000}"/>
    <hyperlink ref="CD14" r:id="rId13" display="https://vicharkrantibooks.org/productdetail?book_name=HINF0002_ACHINTY_CHINTAN_SE_MANOBAL_NA_GAVAYEN_xxyyyy&amp;product_id=222" xr:uid="{00000000-0004-0000-0100-00000C000000}"/>
    <hyperlink ref="CD15" r:id="rId14" display="https://vicharkrantibooks.org/productdetail?book_name=HINP1059_YUG_RUSHI_KI_AMAR_VANI_BHAG_1_xxyyyy&amp;product_id=1624" xr:uid="{00000000-0004-0000-0100-00000D000000}"/>
    <hyperlink ref="CD16" r:id="rId15" display="https://vicharkrantibooks.org/productdetail?book_name=ENGP0712_IN_THE_ANGELIC_LIGHT_OF_RISHI_THOUGHTS_1_xxyyyy&amp;product_id=3460" xr:uid="{00000000-0004-0000-0100-00000E000000}"/>
    <hyperlink ref="CD17" r:id="rId16" display="https://vicharkrantibooks.org/productdetail?book_name=HINP0212_DEV_SANSKRUTI_KE_PRATIK_SHIKHA_AUR_SUTR_xxyyyy&amp;product_id=777" xr:uid="{00000000-0004-0000-0100-00000F000000}"/>
    <hyperlink ref="CD18" r:id="rId17" display="https://vicharkrantibooks.org/productdetail?book_name=HINP0276_GAYATRI_ANUSHTHAN_AUR_USAKA_VIDHI_VIDHAN_xx1978&amp;product_id=841" xr:uid="{00000000-0004-0000-0100-000010000000}"/>
    <hyperlink ref="CD19" r:id="rId18" display="https://vicharkrantibooks.org/productdetail?book_name=HINP0684_PRAUDH_MAHILA_SHIKSHA_YOJANA_2nd1976&amp;product_id=1249" xr:uid="{00000000-0004-0000-0100-000011000000}"/>
    <hyperlink ref="CD20" r:id="rId19" display="https://vicharkrantibooks.org/productdetail?book_name=HINP0464_MAHAKAL_KA_DIVY_CHINTAN_xxyyyy&amp;product_id=1029" xr:uid="{00000000-0004-0000-0100-000012000000}"/>
    <hyperlink ref="CD21" r:id="rId20" display="https://vicharkrantibooks.org/productdetail?book_name=GUJP0105_ATMIK_UNNTINA_CHAR_CHARAN_SADHANA_SWADHYAY_SANYAM_SEVA_XXYYYY&amp;product_id=3748" xr:uid="{00000000-0004-0000-0100-000013000000}"/>
    <hyperlink ref="CD22" r:id="rId21" display="https://vicharkrantibooks.org/productdetail?book_name=HINP0520_MANSAHAR_MANAVATA_KA_APAMAN_xx1978&amp;product_id=1085" xr:uid="{00000000-0004-0000-0100-000014000000}"/>
    <hyperlink ref="CD23" r:id="rId22" display="https://vicharkrantibooks.org/productdetail?product_id=353" xr:uid="{00000000-0004-0000-0100-000015000000}"/>
    <hyperlink ref="CD24" r:id="rId23" display="https://vicharkrantibooks.org/productdetail?book_name=HINP1055_YUG_PARIVARTAN_KI_PRAKRIYA_AUR_PADDHATI_xx1981&amp;product_id=1620" xr:uid="{00000000-0004-0000-0100-000016000000}"/>
    <hyperlink ref="CD25" r:id="rId24" display="https://vicharkrantibooks.org/productdetail?book_name=ENGB0211_INSPIRING_STORIES_1st2013&amp;product_id=3529" xr:uid="{00000000-0004-0000-0100-000017000000}"/>
    <hyperlink ref="CD26" r:id="rId25" display="https://vicharkrantibooks.org/productdetail?book_name=HINP0168_BHRASHT_RAJANETAON_KA_ANT_ATI_NIKAT_xxyyyy&amp;product_id=733" xr:uid="{00000000-0004-0000-0100-000018000000}"/>
    <hyperlink ref="CD27" r:id="rId26" display="https://vicharkrantibooks.org/productdetail?book_name=HINP1097_HANSATI-HANSATI_JINDAGI_JIYEN_xxyyyy&amp;product_id=1662" xr:uid="{00000000-0004-0000-0100-000019000000}"/>
    <hyperlink ref="CD28" r:id="rId27" display="https://vicharkrantibooks.org/productdetail?product_id=3781" xr:uid="{00000000-0004-0000-0100-00001A000000}"/>
    <hyperlink ref="CD29" r:id="rId28" display="https://vicharkrantibooks.org/productdetail?book_name=ENGP0716_IN_THE_ANGELIC_LIGHT_OF_RISHI_THOUGHTS_5_xxyyyy&amp;product_id=3464" xr:uid="{00000000-0004-0000-0100-00001B000000}"/>
    <hyperlink ref="CD31" r:id="rId29" display="https://vicharkrantibooks.org/productdetail?book_name=HINF0055_ATMIKI_KA_PUNARJIVAN_AJAKA_YUGADHARM_xxyyyy&amp;product_id=275" xr:uid="{00000000-0004-0000-0100-00001C000000}"/>
    <hyperlink ref="CD32" r:id="rId30" display="https://vicharkrantibooks.org/productdetail?book_name=ENGB0202_IDEAL_STORIES_1st2013&amp;product_id=3525" xr:uid="{00000000-0004-0000-0100-00001D000000}"/>
    <hyperlink ref="CD33" r:id="rId31" display="https://vicharkrantibooks.org/productdetail?book_name=HINP0711_RUGNTA_KA_MUL_KARAN_MANOVIKAR_xx1981&amp;product_id=1276" xr:uid="{00000000-0004-0000-0100-00001E000000}"/>
    <hyperlink ref="CD34" r:id="rId32" display="https://vicharkrantibooks.org/productdetail?product_id=444" xr:uid="{00000000-0004-0000-0100-00001F000000}"/>
    <hyperlink ref="CD35" r:id="rId33" display="https://vicharkrantibooks.org/productdetail?book_name=HINF0113_HARITIMA_SE_SNEH_BADHAYEN_PHOOL_UGAYE_xxyyyy&amp;product_id=333" xr:uid="{00000000-0004-0000-0100-000020000000}"/>
    <hyperlink ref="CD36" r:id="rId34" display="https://vicharkrantibooks.org/productdetail?book_name=ENGP0717_IN_THE_ANGELIC_LIGHT_OF_RISHI_THOUGHTS_6_xxyyyy&amp;product_id=3465" xr:uid="{00000000-0004-0000-0100-000021000000}"/>
    <hyperlink ref="CD37" r:id="rId35" display="https://vicharkrantibooks.org/productdetail?product_id=3959" xr:uid="{00000000-0004-0000-0100-000022000000}"/>
    <hyperlink ref="CD38" r:id="rId36" display="https://vicharkrantibooks.org/productdetail?book_name=ENGP0712_IN_THE_ANGELIC_LIGHT_OF_RISHI_THOUGHTS_1_xxyyyy&amp;product_id=3460" xr:uid="{00000000-0004-0000-0100-000023000000}"/>
    <hyperlink ref="CD39" r:id="rId37" display="https://vicharkrantibooks.org/productdetail?book_name=HINP0148_BHARATIY_DHARM_KA_PITA_YAGY_xxyyyy&amp;product_id=713" xr:uid="{00000000-0004-0000-0100-000024000000}"/>
    <hyperlink ref="CD40" r:id="rId38" display="https://vicharkrantibooks.org/productdetail?book_name=HINP0505_MANAVI_MASTISHK_VISHV_VASUDHA_KA_PRATYAKSH_KALPAVRUKSH_xx1981&amp;product_id=1070" xr:uid="{00000000-0004-0000-0100-000025000000}"/>
    <hyperlink ref="CD41" r:id="rId39" display="https://vicharkrantibooks.org/productdetail?book_name=HINP0961_VICHAR_KRANTI_YUG_KI_PRAMUKH_AVASHYAKATA_xx1981&amp;product_id=1526" xr:uid="{00000000-0004-0000-0100-000026000000}"/>
    <hyperlink ref="CD42" r:id="rId40" display="https://vicharkrantibooks.org/productdetail?book_name=HINP0803_SANYUKT_PARIWAR_EK_SURAKSHIT_GADH_xxyyyy&amp;product_id=1368" xr:uid="{00000000-0004-0000-0100-000027000000}"/>
    <hyperlink ref="CD43" r:id="rId41" display="https://vicharkrantibooks.org/productdetail?book_name=HINP0346_HARITIMA_SANVARDHAN_EK_PARAM_PUNIT_PUNY_xx1981&amp;product_id=911" xr:uid="{00000000-0004-0000-0100-000028000000}"/>
    <hyperlink ref="CD44" r:id="rId42" display="https://vicharkrantibooks.org/productdetail?book_name=HINP0617_PARAMARTH_MEIN_HI_SACHCHI_ISHWARADHANA_xx1982&amp;product_id=1182" xr:uid="{00000000-0004-0000-0100-000029000000}"/>
    <hyperlink ref="CD45" r:id="rId43" display="https://vicharkrantibooks.org/productdetail?book_name=HINP0667_PRANAKARSHAN_YOG_xxyyyy&amp;product_id=1232" xr:uid="{00000000-0004-0000-0100-00002A000000}"/>
    <hyperlink ref="CD46" r:id="rId44" display="https://vicharkrantibooks.org/productdetail?book_name=HINP1032_YUG_DHARM_xxyyyy&amp;product_id=1597" xr:uid="{00000000-0004-0000-0100-00002B000000}"/>
    <hyperlink ref="CD47" r:id="rId45" display="https://vicharkrantibooks.org/productdetail?product_id=3968" xr:uid="{00000000-0004-0000-0100-00002C000000}"/>
    <hyperlink ref="CD48" r:id="rId46" display="https://vicharkrantibooks.org/productdetail?book_name=HINP1052_YUG_PARIVARTAN_KA_VATAVARAN_BANANE_VIBHUTIVAN_AGE_AYE_xx1982&amp;product_id=1617" xr:uid="{00000000-0004-0000-0100-00002D000000}"/>
    <hyperlink ref="CD49" r:id="rId47" display="https://vicharkrantibooks.org/productdetail?book_name=HINP0931_UPAYOGITA_VAD_NAHI_SAHAKARITA_VAD_xx1982&amp;product_id=1496" xr:uid="{00000000-0004-0000-0100-00002E000000}"/>
    <hyperlink ref="CD50" r:id="rId48" display="https://vicharkrantibooks.org/productdetail?book_name=HINP0953_VAYU_PRADUSHAN_AUR_TULASI_ROPAN_xxyyyy&amp;product_id=1518" xr:uid="{00000000-0004-0000-0100-00002F000000}"/>
    <hyperlink ref="CD51" r:id="rId49" display="https://vicharkrantibooks.org/productdetail?book_name=HINP0876_SUR_DURLABH_YAH_MANAV_JIVAN_xxyyyy&amp;product_id=1441" xr:uid="{00000000-0004-0000-0100-000030000000}"/>
    <hyperlink ref="CD52" r:id="rId50" display="https://vicharkrantibooks.org/productdetail?book_name=HINP0916_UDAR_SAHAKARITA_APANAEN_xxyyyy&amp;product_id=1481" xr:uid="{00000000-0004-0000-0100-000031000000}"/>
    <hyperlink ref="CD53" r:id="rId51" display="https://vicharkrantibooks.org/productdetail?book_name=HINP0245_DHARMATANTR_KA_SACHCHA_SWARUP_xxyyyy&amp;product_id=810" xr:uid="{00000000-0004-0000-0100-000032000000}"/>
    <hyperlink ref="CD54" r:id="rId52" display="https://vicharkrantibooks.org/productdetail?book_name=HINF0050_ATMARAKSHA_MANOROGON_SE_BHI_KARANI_CHAHIYE_xxyyyy&amp;product_id=270" xr:uid="{00000000-0004-0000-0100-000033000000}"/>
    <hyperlink ref="CD55" r:id="rId53" display="https://vicharkrantibooks.org/productdetail?book_name=HINP0497_MANASIK_SWASTHY_KO_BHI_SUDHAREN_xxyyyy&amp;product_id=1062" xr:uid="{00000000-0004-0000-0100-000034000000}"/>
    <hyperlink ref="CD56" r:id="rId54" display="https://vicharkrantibooks.org/productdetail?book_name=HINP0454_LAKSHMI_KO_ROKEN_NAHIN_NARAYAN_KE_PAS_JANE_DEN_xxyyyy&amp;product_id=1019" xr:uid="{00000000-0004-0000-0100-000035000000}"/>
    <hyperlink ref="CD57" r:id="rId55" display="https://vicharkrantibooks.org/productdetail?book_name=HINP0276_GAYATRI_ANUSHTHAN_AUR_USAKA_VIDHI_VIDHAN_xx1978&amp;product_id=841" xr:uid="{00000000-0004-0000-0100-000036000000}"/>
    <hyperlink ref="CD58" r:id="rId56" display="https://vicharkrantibooks.org/productdetail?book_name=HINP0846_SHIKSHA_KO_SARTHAK_BANAYA_JAY_xx1981&amp;product_id=1411" xr:uid="{00000000-0004-0000-0100-000037000000}"/>
    <hyperlink ref="CD59" r:id="rId57" display="https://vicharkrantibooks.org/productdetail?book_name=ENGR0988_PRAGYA_YOGA_FOR_HAPPY_AND_HEALTHY_LIFE_RE2014&amp;product_id=3476" xr:uid="{00000000-0004-0000-0100-000038000000}"/>
    <hyperlink ref="CD60" r:id="rId58" display="https://vicharkrantibooks.org/productdetail?book_name=ENGR1000_GURUDEV_PROPHET_OF_NEW_ERA_xx2009&amp;product_id=3448" xr:uid="{00000000-0004-0000-0100-000039000000}"/>
    <hyperlink ref="CD61" r:id="rId59" display="https://vicharkrantibooks.org/productdetail?book_name=HINP0653_PRAGATI_SHANTI_AUR_PRASANNATA_xx1981&amp;product_id=1218" xr:uid="{00000000-0004-0000-0100-00003A000000}"/>
    <hyperlink ref="CD62" r:id="rId60" display="https://vicharkrantibooks.org/productdetail?book_name=HINP1082_UNCHA_UTHANA_HO_TO_UNCHA_HI_SOCHEN_xx1981&amp;product_id=1647" xr:uid="{00000000-0004-0000-0100-00003B000000}"/>
    <hyperlink ref="CD63" r:id="rId61" display="https://vicharkrantibooks.org/productdetail?product_id=4063" xr:uid="{00000000-0004-0000-0100-00003C000000}"/>
    <hyperlink ref="CD64" r:id="rId62" display="https://vicharkrantibooks.org/productdetail?book_name=HINR0624_JANMA_DIVSOTSAV_IS_TARAH_MANAEN_xx2011&amp;product_id=2309" xr:uid="{00000000-0004-0000-0100-00003D000000}"/>
    <hyperlink ref="CD65" r:id="rId63" display="https://vicharkrantibooks.org/productdetail?book_name=ENGRE059_MIRACLES_OF_CHARISMATIC_PRAYER_xxyyyy&amp;product_id=3451" xr:uid="{00000000-0004-0000-0100-00003E000000}"/>
    <hyperlink ref="CD66" r:id="rId64" display="https://vicharkrantibooks.org/productdetail?book_name=HINP0870_SUKH_BHOG_MEIN_NAHI_TYAG_MEIN_HAI_xx1982&amp;product_id=1435" xr:uid="{00000000-0004-0000-0100-00003F000000}"/>
    <hyperlink ref="CD67" r:id="rId65" display="https://vicharkrantibooks.org/productdetail?book_name=ENGB0214_STORIES_OF_SAINTS_1st2013&amp;product_id=3530" xr:uid="{00000000-0004-0000-0100-000040000000}"/>
    <hyperlink ref="CD68" r:id="rId66" display="https://vicharkrantibooks.org/productdetail?product_id=3477" xr:uid="{00000000-0004-0000-0100-000041000000}"/>
    <hyperlink ref="CD69" r:id="rId67" display="https://vicharkrantibooks.org/productdetail?product_id=3954" xr:uid="{00000000-0004-0000-0100-000042000000}"/>
    <hyperlink ref="CD70" r:id="rId68" display="https://vicharkrantibooks.org/productdetail?book_name=HINF0260_SHABD_EK_PRACHAND_URJA_SHAKTI_KA_BHANDAR_xxyyyy&amp;product_id=480" xr:uid="{00000000-0004-0000-0100-000043000000}"/>
    <hyperlink ref="CD71" r:id="rId69" display="https://vicharkrantibooks.org/productdetail?book_name=HINP1006_VRUKSHON_KA_DHARMIK_MAHATV_xxyyyy&amp;product_id=1571" xr:uid="{00000000-0004-0000-0100-000044000000}"/>
    <hyperlink ref="CD72" r:id="rId70" display="https://vicharkrantibooks.org/productdetail?book_name=HINP0801_SANYAM_SE_JIVAN_SUKHI_BANAEN_xxyyyy&amp;product_id=1366" xr:uid="{00000000-0004-0000-0100-000045000000}"/>
    <hyperlink ref="CD73" r:id="rId71" display="https://vicharkrantibooks.org/productdetail?book_name=ENGRE107_THE_LEGEND_OF_A_DIVINE_CAMPAIGN_1st2011&amp;product_id=3494" xr:uid="{00000000-0004-0000-0100-000046000000}"/>
    <hyperlink ref="CD74" r:id="rId72" display="https://vicharkrantibooks.org/productdetail?book_name=HINP0239_DHARM_PRATHAON_MEIN_NAHI_SADACHARAN_MEIN_xx1979&amp;product_id=804" xr:uid="{00000000-0004-0000-0100-000047000000}"/>
    <hyperlink ref="CD75" r:id="rId73" display="https://vicharkrantibooks.org/productdetail?book_name=HINR0031_ADHYATM_VIDHYA_KA_PRAVESH_DVAR_Re2010&amp;product_id=1716" xr:uid="{00000000-0004-0000-0100-000048000000}"/>
    <hyperlink ref="CD76" r:id="rId74" display="http://literature.awgp.org/book/The_Revival_of_Satyug_The_Golden_Age/v1" xr:uid="{00000000-0004-0000-0100-000049000000}"/>
    <hyperlink ref="CD77" r:id="rId75" display="https://vicharkrantibooks.org/productdetail?product_id=3405" xr:uid="{00000000-0004-0000-0100-00004A000000}"/>
    <hyperlink ref="CD78" r:id="rId76" display="https://vicharkrantibooks.org/productdetail?book_name=HINR0319_DEV_SANSKRUTI_KA_MERUDAND_VANPRASTH_xx2010&amp;product_id=2004" xr:uid="{00000000-0004-0000-0100-00004B000000}"/>
    <hyperlink ref="CD79" r:id="rId77" display="http://literature.awgp.org/book/reviving_the_vedic_cultue_of_yagya/v1" xr:uid="{00000000-0004-0000-0100-00004C000000}"/>
    <hyperlink ref="CD80" r:id="rId78" display="https://vicharkrantibooks.org/productdetail?book_name=HINR1083_RASHTR_SAMARTH_AUR_SASHAKT_KAISE_BANE_Re2011&amp;product_id=2768" xr:uid="{00000000-0004-0000-0100-00004D000000}"/>
    <hyperlink ref="CD82" r:id="rId79" display="https://vicharkrantibooks.org/productdetail?book_name=HINP0884_SVAD_KE_NAM_PAR_AKHADHY_BHAKSHAN_xx1981&amp;product_id=1449" xr:uid="{00000000-0004-0000-0100-00004E000000}"/>
    <hyperlink ref="CD83" r:id="rId80" display="https://vicharkrantibooks.org/productdetail?book_name=HINP0213_DEV_SANSKRUTI_KI_GARIMA_AUR_MAHATTA_xx1982&amp;product_id=778" xr:uid="{00000000-0004-0000-0100-00004F000000}"/>
    <hyperlink ref="CD84" r:id="rId81" display="https://vicharkrantibooks.org/productdetail?product_id=3776" xr:uid="{00000000-0004-0000-0100-000050000000}"/>
    <hyperlink ref="CD85" r:id="rId82" display="https://vicharkrantibooks.org/productdetail?book_name=HINP0803_SANYUKT_PARIWAR_EK_SURAKSHIT_GADH_xxyyyy&amp;product_id=1368" xr:uid="{00000000-0004-0000-0100-000051000000}"/>
    <hyperlink ref="CD86" r:id="rId83" display="https://vicharkrantibooks.org/productdetail?book_name=HINP0239_DHARM_PRATHAON_MEIN_NAHI_SADACHARAN_MEIN_xx1979&amp;product_id=804" xr:uid="{00000000-0004-0000-0100-000052000000}"/>
    <hyperlink ref="CD87" r:id="rId84" display="https://vicharkrantibooks.org/productdetail?book_name=HINP1052_YUG_PARIVARTAN_KA_VATAVARAN_BANANE_VIBHUTIVAN_AGE_AYE_xx1982&amp;product_id=1617" xr:uid="{00000000-0004-0000-0100-000053000000}"/>
    <hyperlink ref="CD88" r:id="rId85" display="https://vicharkrantibooks.org/productdetail?book_name=HINP0796_SANTANOTPADAN_KO_NIRUTSAHIT_KIYA_JAE_xxyyyy&amp;product_id=1361" xr:uid="{00000000-0004-0000-0100-000054000000}"/>
    <hyperlink ref="CD89" r:id="rId86" display="https://vicharkrantibooks.org/productdetail?product_id=3814" xr:uid="{00000000-0004-0000-0100-000055000000}"/>
    <hyperlink ref="CD90" r:id="rId87" display="https://vicharkrantibooks.org/productdetail?book_name=ENGB0201_GOOD_THOUGHTS_1st2013&amp;product_id=3522" xr:uid="{00000000-0004-0000-0100-000056000000}"/>
    <hyperlink ref="CD91" r:id="rId88" display="https://vicharkrantibooks.org/productdetail?book_name=HINP0232_DHARM_DARSHAN_KE_CHAR_MULABHUT_SIDDHANT_xx1981&amp;product_id=797" xr:uid="{00000000-0004-0000-0100-000057000000}"/>
    <hyperlink ref="CD92" r:id="rId89" display="https://vicharkrantibooks.org/productdetail?book_name=HINP1053_YUG_PARIVARTAN_KA_YAHI_UPAYUKT_SAMAY_xx1981&amp;product_id=1618" xr:uid="{00000000-0004-0000-0100-000058000000}"/>
    <hyperlink ref="CD93" r:id="rId90" display="https://vicharkrantibooks.org/productdetail?product_id=276" xr:uid="{00000000-0004-0000-0100-000059000000}"/>
    <hyperlink ref="CD94" r:id="rId91" display="https://vicharkrantibooks.org/productdetail?book_name=HINP0492_MANAS_KI_JYOTI_xxyyyy&amp;product_id=1057" xr:uid="{00000000-0004-0000-0100-00005A000000}"/>
    <hyperlink ref="CD95" r:id="rId92" display="https://vicharkrantibooks.org/productdetail?book_name=HINP0426_KARMAPHAL_KA_BHOG_ANIVARY_xxyyyy&amp;product_id=991" xr:uid="{00000000-0004-0000-0100-00005B000000}"/>
    <hyperlink ref="CD96" r:id="rId93" display="https://vicharkrantibooks.org/productdetail?product_id=3772" xr:uid="{00000000-0004-0000-0100-00005C000000}"/>
    <hyperlink ref="CD98" r:id="rId94" display="https://vicharkrantibooks.org/productdetail?book_name=HINP0999_VRUDDHAVASTHA_JIVAN_KA_NAVANIT_HAI_xxyyyy&amp;product_id=1564" xr:uid="{00000000-0004-0000-0100-00005D000000}"/>
    <hyperlink ref="CD99" r:id="rId95" display="https://vicharkrantibooks.org/productdetail?product_id=3792" xr:uid="{00000000-0004-0000-0100-00005E000000}"/>
    <hyperlink ref="CD100" r:id="rId96" display="https://vicharkrantibooks.org/productdetail?product_id=3821" xr:uid="{00000000-0004-0000-0100-00005F000000}"/>
    <hyperlink ref="CD101" r:id="rId97" display="https://vicharkrantibooks.org/productdetail?product_id=1059" xr:uid="{00000000-0004-0000-0100-000060000000}"/>
    <hyperlink ref="CD102" r:id="rId98" display="https://vicharkrantibooks.org/productdetail?product_id=3807" xr:uid="{00000000-0004-0000-0100-000061000000}"/>
    <hyperlink ref="CD103" r:id="rId99" display="https://vicharkrantibooks.org/productdetail?book_name=HINP1084_DHARMCHARCHA_HI_NAHIN_DHARM_PARAYANATA_BHI_AVASHYAK_xx1981&amp;product_id=1649" xr:uid="{00000000-0004-0000-0100-000062000000}"/>
    <hyperlink ref="CD104" r:id="rId100" display="https://vicharkrantibooks.org/productdetail?book_name=HINP1085_MANAVI_EKATA_MAIN_HI_KALYAN_xx1979&amp;product_id=1650" xr:uid="{00000000-0004-0000-0100-000063000000}"/>
    <hyperlink ref="CD105" r:id="rId101" display="https://vicharkrantibooks.org/productdetail?book_name=HINP0496_MANASIK_SHANTI_EVAM_SANTOSH_KA_MUL_SHROT_xx1982&amp;product_id=1061" xr:uid="{00000000-0004-0000-0100-000064000000}"/>
    <hyperlink ref="CD106" r:id="rId102" display="https://vicharkrantibooks.org/productdetail?book_name=HINP0616_PANCHAMUKHI_GAYATRI_KE_PANCH_DIVY_VARADAN_xx1982&amp;product_id=1181" xr:uid="{00000000-0004-0000-0100-000065000000}"/>
    <hyperlink ref="CD107" r:id="rId103" display="https://vicharkrantibooks.org/productdetail?book_name=HINP0501_MANAV_MEIN_DEVATV_KA_UDAY_SAMAY_KI_MANG_xx1981&amp;product_id=1066" xr:uid="{00000000-0004-0000-0100-000066000000}"/>
    <hyperlink ref="CD108" r:id="rId104" display="https://vicharkrantibooks.org/productdetail?product_id=3960" xr:uid="{00000000-0004-0000-0100-000067000000}"/>
    <hyperlink ref="CD109" r:id="rId105" display="https://vicharkrantibooks.org/productdetail?book_name=HINP0500_MANAV_MEIN_DEVATV_KA_AVATARAN_xxyyyy&amp;product_id=1065" xr:uid="{00000000-0004-0000-0100-000068000000}"/>
    <hyperlink ref="CD110" r:id="rId106" display="https://vicharkrantibooks.org/productdetail?product_id=3808" xr:uid="{00000000-0004-0000-0100-000069000000}"/>
    <hyperlink ref="CD111" r:id="rId107" display="https://vicharkrantibooks.org/productdetail?book_name=HINP0590_NARIYON_KI_GAYATRI_SADHANA_xxyyyy&amp;product_id=1155" xr:uid="{00000000-0004-0000-0100-00006A000000}"/>
    <hyperlink ref="CD112" r:id="rId108" display="https://vicharkrantibooks.org/productdetail?book_name=HINP0215_DEV_SANSKRUTI_KI_GARIMA_AUR_USAKE_VISTAR_KI_ASIM_SAMBHAVANAEN_xx1982&amp;product_id=780" xr:uid="{00000000-0004-0000-0100-00006B000000}"/>
    <hyperlink ref="CD113" r:id="rId109" display="https://vicharkrantibooks.org/productdetail?book_name=HINP0792_SANTAN_KI_SANKHYA_BADHANA_ATYANT_GHATAK_xxyyyy&amp;product_id=1357" xr:uid="{00000000-0004-0000-0100-00006C000000}"/>
    <hyperlink ref="CD114" r:id="rId110" display="https://vicharkrantibooks.org/productdetail?book_name=HINP1101_DHARM_KENDR_ASTIKATA_AUR_SATPRAVRUTTIYAN_JAGAEN_xxyyyy&amp;product_id=1666" xr:uid="{00000000-0004-0000-0100-00006D000000}"/>
    <hyperlink ref="CD115" r:id="rId111" display="https://vicharkrantibooks.org/productdetail?book_name=HINP0237_DHARM_KE_VASTAVIK_SWARUP_KO_SAMAJHA_JAE_xx1982&amp;product_id=802" xr:uid="{00000000-0004-0000-0100-00006E000000}"/>
    <hyperlink ref="CD116" r:id="rId112" display="https://vicharkrantibooks.org/productdetail?product_id=3906" xr:uid="{00000000-0004-0000-0100-00006F000000}"/>
    <hyperlink ref="CD117" r:id="rId113" display="https://vicharkrantibooks.org/productdetail?book_name=HINP0975_VIKRUTIYAN_HATANE_SE_NAHI_MITANE_SE_MITATI_HAI_xx1981&amp;product_id=1540" xr:uid="{00000000-0004-0000-0100-000070000000}"/>
    <hyperlink ref="CD118" r:id="rId114" display="https://vicharkrantibooks.org/productdetail?product_id=417" xr:uid="{00000000-0004-0000-0100-000071000000}"/>
    <hyperlink ref="CD119" r:id="rId115" display="https://vicharkrantibooks.org/productdetail?book_name=HINP0493_MANASIK_ROGON_KI_JANANI_SHARAB_xxyyyy&amp;product_id=1058" xr:uid="{00000000-0004-0000-0100-000072000000}"/>
    <hyperlink ref="CD120" r:id="rId116" display="https://vicharkrantibooks.org/productdetail?book_name=HINP1117_MAHAKAL_KI_BHAVISHYAVANI_xxyyyy&amp;product_id=1682" xr:uid="{00000000-0004-0000-0100-000073000000}"/>
    <hyperlink ref="CD121" r:id="rId117" display="https://vicharkrantibooks.org/productdetail?product_id=3776" xr:uid="{00000000-0004-0000-0100-000074000000}"/>
    <hyperlink ref="CD122" r:id="rId118" display="https://vicharkrantibooks.org/productdetail?book_name=HINP1007_VRUKSHON_SE_HI_DHARATI_SHASY_SHYAMALA_xxyyyy&amp;product_id=1572" xr:uid="{00000000-0004-0000-0100-000075000000}"/>
    <hyperlink ref="CD123" r:id="rId119" display="https://vicharkrantibooks.org/productdetail?book_name=HINF0014_ADHYATM_VIGYAN_SAMMAT_BANE_VIGYAN_ADHYATM_PARAK_xxyyyy&amp;product_id=234" xr:uid="{00000000-0004-0000-0100-000076000000}"/>
    <hyperlink ref="CD124" r:id="rId120" display="https://vicharkrantibooks.org/productdetail?product_id=3966" xr:uid="{00000000-0004-0000-0100-000077000000}"/>
    <hyperlink ref="CD125" r:id="rId121" display="https://vicharkrantibooks.org/productdetail?product_id=3811" xr:uid="{00000000-0004-0000-0100-000078000000}"/>
    <hyperlink ref="CD126" r:id="rId122" display="https://vicharkrantibooks.org/productdetail?book_name=HINP0217_DEVAPUJAN_KA_MARM_SAMAJHEN_xx2011&amp;product_id=782" xr:uid="{00000000-0004-0000-0100-000079000000}"/>
    <hyperlink ref="CD127" r:id="rId123" display="https://vicharkrantibooks.org/productdetail?product_id=3805" xr:uid="{00000000-0004-0000-0100-00007A000000}"/>
    <hyperlink ref="CD128" r:id="rId124" display="http://literature.awgp.org/book/Old_New_Herbal_Remedies/v1" xr:uid="{00000000-0004-0000-0100-00007B000000}"/>
    <hyperlink ref="CD129" r:id="rId125" display="https://vicharkrantibooks.org/productdetail?book_name=HINP0375_JAN_SANKHYA_VISPHOT_KI_VINASH_LILA_KE_PURV_HI_CHETEN_xx1982&amp;product_id=940" xr:uid="{00000000-0004-0000-0100-00007C000000}"/>
    <hyperlink ref="CD130" r:id="rId126" display="https://vicharkrantibooks.org/productdetail?book_name=HINP0236_DHARM_KA_VASTAVIK_SWARUP_xxyyyy&amp;product_id=801" xr:uid="{00000000-0004-0000-0100-00007D000000}"/>
    <hyperlink ref="CD131" r:id="rId127" display="https://vicharkrantibooks.org/productdetail?product_id=3930" xr:uid="{00000000-0004-0000-0100-00007E000000}"/>
    <hyperlink ref="CD132" r:id="rId128" display="https://vicharkrantibooks.org/productdetail?product_id=3806" xr:uid="{00000000-0004-0000-0100-00007F000000}"/>
    <hyperlink ref="CD133" r:id="rId129" display="https://vicharkrantibooks.org/productdetail?book_name=HINP0538_MRUDU_CHANDRAYAN_SADHANA_xxyyyy&amp;product_id=1103" xr:uid="{00000000-0004-0000-0100-000080000000}"/>
    <hyperlink ref="CD134" r:id="rId130" display="https://vicharkrantibooks.org/productdetail?book_name=HINP0532_MATA_HI_BACHCHON_KO_SUSANSAKARI_BANATI_HAI_xx1981&amp;product_id=1097" xr:uid="{00000000-0004-0000-0100-000081000000}"/>
    <hyperlink ref="CD135" r:id="rId131" display="https://vicharkrantibooks.org/productdetail?book_name=HINP0310_GRAMIN_SAMASYAON_KA_EKAMUSHT_SAMADHAN_GAUPALAN_xxyyyy&amp;product_id=875" xr:uid="{00000000-0004-0000-0100-000082000000}"/>
    <hyperlink ref="CD136" r:id="rId132" display="https://vicharkrantibooks.org/productdetail?book_name=HINP0526_MANUSHY_JIVAN_KI_GAURAV_GARIMA_xx1978&amp;product_id=1091" xr:uid="{00000000-0004-0000-0100-000083000000}"/>
    <hyperlink ref="CD137" r:id="rId133" display="https://vicharkrantibooks.org/productdetail?book_name=HINP0662_PRAMANIK_AUR_VISHVASANIY_BANEN_xxyyyy&amp;product_id=1227" xr:uid="{00000000-0004-0000-0100-000084000000}"/>
    <hyperlink ref="CD138" r:id="rId134" display="https://vicharkrantibooks.org/productdetail?product_id=3925" xr:uid="{00000000-0004-0000-0100-000085000000}"/>
    <hyperlink ref="CD139" r:id="rId135" display="https://vicharkrantibooks.org/productdetail?book_name=HINP0233_DHARM_KA_MARM_HAI_NITIMATTA_xx1982&amp;product_id=798" xr:uid="{00000000-0004-0000-0100-000086000000}"/>
    <hyperlink ref="CD140" r:id="rId136" display="https://vicharkrantibooks.org/productdetail?book_name=HINP0906_TIN_SHAKTIYAN_TIN_SIDDHIYAN_xx2011&amp;product_id=1471" xr:uid="{00000000-0004-0000-0100-000087000000}"/>
    <hyperlink ref="CD141" r:id="rId137" display="https://vicharkrantibooks.org/productdetail?book_name=HINP0294_GAYATRI_SMRUTI_xxyyyy&amp;product_id=859" xr:uid="{00000000-0004-0000-0100-000088000000}"/>
    <hyperlink ref="CD142" r:id="rId138" display="https://vicharkrantibooks.org/productdetail?book_name=HINP0311_GRAMIN_URJA_KA_SVAVALAMBI_STROT_GOBAR_EVAM_BAIL_xxyyyy&amp;product_id=876" xr:uid="{00000000-0004-0000-0100-000089000000}"/>
    <hyperlink ref="CD143" r:id="rId139" display="http://literature.awgp.org/book/support_is_needed_for_self_evolution/v1" xr:uid="{00000000-0004-0000-0100-00008A000000}"/>
    <hyperlink ref="CD144" r:id="rId140" display="https://vicharkrantibooks.org/productdetail?book_name=HINP1099_GAU_VANSH_KI_HATYA_KAISE_RUKEGI_xxyyyy&amp;product_id=1664" xr:uid="{00000000-0004-0000-0100-00008B000000}"/>
    <hyperlink ref="CD145" r:id="rId141" display="https://vicharkrantibooks.org/productdetail?book_name=HINP0292_GAYATRI_SADHANA_SAMBANDHI_SHANKA_SAMADHAN_xx1978&amp;product_id=857" xr:uid="{00000000-0004-0000-0100-00008C000000}"/>
    <hyperlink ref="CD146" r:id="rId142" display="https://vicharkrantibooks.org/productdetail?book_name=HINP0301_GAYATRI_VIDHYA_AUR_YAGY_VIGYAN_KA_YUGM_xx1979&amp;product_id=866" xr:uid="{00000000-0004-0000-0100-00008D000000}"/>
    <hyperlink ref="CD147" r:id="rId143" display="https://vicharkrantibooks.org/productdetail?product_id=3802" xr:uid="{00000000-0004-0000-0100-00008E000000}"/>
    <hyperlink ref="CD148" r:id="rId144" display="https://vicharkrantibooks.org/productdetail?book_name=HINP0528_MANUSHY_KE_MULYANKAN_KI_KASAUTI_USAKI_SAPHALATAON_YOGYATAON_EVAM_VIBHUTIYON_KO_NAHIN_USAKE_SAD%E2%80%8CVICHARON_AUR_SATKARMON_KO_MANENGE_xxyyyy&amp;product_id=1093" xr:uid="{00000000-0004-0000-0100-00008F000000}"/>
    <hyperlink ref="CD149" r:id="rId145" display="https://vicharkrantibooks.org/productdetail?book_name=HINR1429_UNASE_JO_PACHAS_KE_HO_CHALE_xx2011&amp;product_id=3114" xr:uid="{00000000-0004-0000-0100-000090000000}"/>
    <hyperlink ref="CD150" r:id="rId146" display="https://vicharkrantibooks.org/productdetail?book_name=ENGP0715_IN_THE_ANGELIC_LIGHT_OF_RISHI_THOUGHTS_4_xxyyyy&amp;product_id=3463" xr:uid="{00000000-0004-0000-0100-000091000000}"/>
    <hyperlink ref="CD151" r:id="rId147" display="https://vicharkrantibooks.org/productdetail?product_id=3819" xr:uid="{00000000-0004-0000-0100-000092000000}"/>
    <hyperlink ref="CD152" r:id="rId148" display="https://vicharkrantibooks.org/productdetail?book_name=ENGP0717_IN_THE_ANGELIC_LIGHT_OF_RISHI_THOUGHTS_6_xxyyyy&amp;product_id=3465" xr:uid="{00000000-0004-0000-0100-000093000000}"/>
    <hyperlink ref="CD153" r:id="rId149" display="https://vicharkrantibooks.org/productdetail?product_id=3924" xr:uid="{00000000-0004-0000-0100-000094000000}"/>
    <hyperlink ref="CD154" r:id="rId150" display="https://vicharkrantibooks.org/productdetail?book_name=HINP0920_UNCH_NICH_KI_MANYATA_MANAVATA_PAR_KALANK_xxyyyy&amp;product_id=1485" xr:uid="{00000000-0004-0000-0100-000095000000}"/>
    <hyperlink ref="CD155" r:id="rId151" display="https://vicharkrantibooks.org/productdetail?product_id=3931" xr:uid="{00000000-0004-0000-0100-000096000000}"/>
    <hyperlink ref="CD156" r:id="rId152" display="https://vicharkrantibooks.org/productdetail?book_name=HINP0619_PARAMPARAON_KI_TULANA_MEIN_VIVEK_KO_MAHATV_DENGE_xxyyyy&amp;product_id=1184" xr:uid="{00000000-0004-0000-0100-000097000000}"/>
    <hyperlink ref="CD157" r:id="rId153" display="https://vicharkrantibooks.org/productdetail?book_name=ENGB0215_FRUITS_OF_CONTENTMENT_1st2013&amp;product_id=3534" xr:uid="{00000000-0004-0000-0100-000098000000}"/>
    <hyperlink ref="CD158" r:id="rId154" display="https://vicharkrantibooks.org/productdetail?product_id=3940" xr:uid="{00000000-0004-0000-0100-000099000000}"/>
    <hyperlink ref="CD159" r:id="rId155" display="https://vicharkrantibooks.org/productdetail?book_name=GUJP0011_ADHYATM_EK_ROKADIYO_DHARM_XXYYYY&amp;product_id=3809" xr:uid="{00000000-0004-0000-0100-00009A000000}"/>
    <hyperlink ref="CD160" r:id="rId156" display="https://vicharkrantibooks.org/productdetail?book_name=HINF0098_EKAGRATA_KI_SHAKTI_AUR_USAKA_SUNIYOJAN_xxyyyy&amp;product_id=318" xr:uid="{00000000-0004-0000-0100-00009B000000}"/>
    <hyperlink ref="CD161" r:id="rId157" display="https://vicharkrantibooks.org/productdetail?book_name=HINP0234_DHARM_KA_TATVADARSHAN_xx1981&amp;product_id=799" xr:uid="{00000000-0004-0000-0100-00009C000000}"/>
    <hyperlink ref="CD162" r:id="rId158" display="https://vicharkrantibooks.org/productdetail?book_name=HINP0362_IS_HANI_KO_SABHI_SAMAJHEN_xxyyyy&amp;product_id=927" xr:uid="{00000000-0004-0000-0100-00009D000000}"/>
    <hyperlink ref="CD163" r:id="rId159" display="https://vicharkrantibooks.org/productdetail?book_name=MRTP0810_SAPHALATECHI_JANANI_SANKALP_SHAKTI_XXYYYY&amp;product_id=4346" xr:uid="{00000000-0004-0000-0100-00009E000000}"/>
    <hyperlink ref="CD164" r:id="rId160" display="https://vicharkrantibooks.org/productdetail?book_name=HINP0674_PRASTUT_SANKAT_MEIN_HAMARA_KARTAVY_AUR_UTTARADAYITV_xxyyyy&amp;product_id=1239" xr:uid="{00000000-0004-0000-0100-00009F000000}"/>
    <hyperlink ref="CD165" r:id="rId161" display="https://vicharkrantibooks.org/productdetail?book_name=HINP0510_MANHSTHITI_SE_PARISTHITIYON_KA_NIRMAN_xx1978&amp;product_id=1075" xr:uid="{00000000-0004-0000-0100-0000A0000000}"/>
    <hyperlink ref="CD166" r:id="rId162" display="https://vicharkrantibooks.org/productdetail?product_id=3951" xr:uid="{00000000-0004-0000-0100-0000A1000000}"/>
    <hyperlink ref="CD167" r:id="rId163" display="https://vicharkrantibooks.org/productdetail?product_id=3785" xr:uid="{00000000-0004-0000-0100-0000A2000000}"/>
    <hyperlink ref="CD168" r:id="rId164" display="https://vicharkrantibooks.org/productdetail?book_name=HINP0361_IS_ASAHY_STHITI_KA_ANT_HONA_HI_CHAHIE_xx1982&amp;product_id=926" xr:uid="{00000000-0004-0000-0100-0000A3000000}"/>
    <hyperlink ref="CD169" r:id="rId165" display="https://vicharkrantibooks.org/productdetail?product_id=3914" xr:uid="{00000000-0004-0000-0100-0000A4000000}"/>
    <hyperlink ref="CD170" r:id="rId166" display="https://vicharkrantibooks.org/productdetail?book_name=HINP0965_VICHARASHILON_KO_JHAKAJHORANE_KI_CHESHTA_xxyyyy&amp;product_id=1530" xr:uid="{00000000-0004-0000-0100-0000A5000000}"/>
    <hyperlink ref="CD171" r:id="rId167" display="https://vicharkrantibooks.org/productdetail?book_name=HINP1001_VRUKSH_HAMARE_ADHYATMIK_PRASHIKSHAK_xxyyyy&amp;product_id=1566" xr:uid="{00000000-0004-0000-0100-0000A6000000}"/>
    <hyperlink ref="CD172" r:id="rId168" display="https://vicharkrantibooks.org/productdetail?product_id=4242" xr:uid="{00000000-0004-0000-0100-0000A7000000}"/>
    <hyperlink ref="CD173" r:id="rId169" display="https://vicharkrantibooks.org/productdetail?book_name=HINP0165_BHIKSHA_VYAVASAY_SAMAJ_KA_KALANK_xxyyyy&amp;product_id=730" xr:uid="{00000000-0004-0000-0100-0000A8000000}"/>
    <hyperlink ref="CD174" r:id="rId170" display="https://vicharkrantibooks.org/productdetail?book_name=HINP0150_BHARATIY_SANSKRUTI_EK_JIVAN_DARSHAN%20(POCKET)_xxyyyy&amp;product_id=715" xr:uid="{00000000-0004-0000-0100-0000A9000000}"/>
    <hyperlink ref="CD175" r:id="rId171" display="https://vicharkrantibooks.org/productdetail?book_name=HINP0455_LARGER_FAMILY_SAHAKARITA_KA_EK_ANUPAM_PRAYOG_xx1982&amp;product_id=1020" xr:uid="{00000000-0004-0000-0100-0000AA000000}"/>
    <hyperlink ref="CD176" r:id="rId172" display="https://drive.google.com/file/d/1SIgP7GfPxKuvAKxJGbOGIMZLu6j4iT_3/view?usp=sharing" xr:uid="{00000000-0004-0000-0100-0000AB000000}"/>
    <hyperlink ref="CD177" r:id="rId173" display="https://vicharkrantibooks.org/productdetail?book_name=GUJP0012_ADHYATM_EK_PRAKARNU_YUDDH_XXYYYY&amp;product_id=3816" xr:uid="{00000000-0004-0000-0100-0000AC000000}"/>
    <hyperlink ref="CD178" r:id="rId174" display="https://vicharkrantibooks.org/productdetail?book_name=HINP0035_AKANKSHAEN_NIYANTRIT_AUR_SODDESHY_HO_xx1982&amp;product_id=600" xr:uid="{00000000-0004-0000-0100-0000AD000000}"/>
    <hyperlink ref="CD179" r:id="rId175" display="https://vicharkrantibooks.org/productdetail?book_name=HINP1093_SAMAJ_KA_RUN_CHUKAEN_xxyyyy&amp;product_id=1658" xr:uid="{00000000-0004-0000-0100-0000AE000000}"/>
    <hyperlink ref="CD180" r:id="rId176" display="https://vicharkrantibooks.org/productdetail?book_name=HINP0731_SADAGI_AUR_NIYAMITATA_DIRGHAJIVAN_KE_DO_ADHAR_xx1982&amp;product_id=1296" xr:uid="{00000000-0004-0000-0100-0000AF000000}"/>
    <hyperlink ref="CD181" r:id="rId177" display="https://vicharkrantibooks.org/productdetail?product_id=3927" xr:uid="{00000000-0004-0000-0100-0000B0000000}"/>
    <hyperlink ref="CD182" r:id="rId178" display="https://vicharkrantibooks.org/productdetail?book_name=HINP0465_MAHAKAL_KA_GHONSALA_SHANTIKUNJ_xxyyyy&amp;product_id=1030" xr:uid="{00000000-0004-0000-0100-0000B1000000}"/>
    <hyperlink ref="CD183" r:id="rId179" display="https://vicharkrantibooks.org/productdetail?product_id=3781" xr:uid="{00000000-0004-0000-0100-0000B2000000}"/>
    <hyperlink ref="CD184" r:id="rId180" display="https://vicharkrantibooks.org/productdetail?book_name=HINP0586_BAJAT_BANA_KAR_KHARCH_KAREN_xx1981&amp;product_id=1151" xr:uid="{00000000-0004-0000-0100-0000B3000000}"/>
    <hyperlink ref="CD185" r:id="rId181" display="https://vicharkrantibooks.org/productdetail?book_name=HINF0051_ATMIK_PRAGATI_KE_TIN_SOPAN_xxyyyy&amp;product_id=271" xr:uid="{00000000-0004-0000-0100-0000B4000000}"/>
    <hyperlink ref="CD186" r:id="rId182" display="https://drive.google.com/file/d/11t-nT0lO5qFfF_4h3WZHb8-GkdCOK-93/view?usp=sharing" xr:uid="{00000000-0004-0000-0100-0000B5000000}"/>
    <hyperlink ref="CD187" r:id="rId183" display="https://vicharkrantibooks.org/productdetail?product_id=3767" xr:uid="{00000000-0004-0000-0100-0000B6000000}"/>
    <hyperlink ref="CD188" r:id="rId184" display="https://vicharkrantibooks.org/productdetail?book_name=HINP0223_DEVATV_KA_UDAY_YUG_SADHANA_DVARA_xx1982&amp;product_id=788" xr:uid="{00000000-0004-0000-0100-0000B7000000}"/>
    <hyperlink ref="CD189" r:id="rId185" display="https://vicharkrantibooks.org/productdetail?product_id=3948" xr:uid="{00000000-0004-0000-0100-0000B8000000}"/>
    <hyperlink ref="CD191" r:id="rId186" display="https://vicharkrantibooks.org/productdetail?book_name=HINP0130_BALAKON_MEIN_SATPRAVRUTTIYON_KA_BIJAROPAN_xx1981&amp;product_id=695" xr:uid="{00000000-0004-0000-0100-0000B9000000}"/>
    <hyperlink ref="CD192" r:id="rId187" display="https://vicharkrantibooks.org/productdetail?product_id=3943" xr:uid="{00000000-0004-0000-0100-0000BA000000}"/>
    <hyperlink ref="CD193" r:id="rId188" display="https://vicharkrantibooks.org/productdetail?product_id=3731" xr:uid="{00000000-0004-0000-0100-0000BB000000}"/>
    <hyperlink ref="CD194" r:id="rId189" display="https://vicharkrantibooks.org/productdetail?book_name=HINP0513_MANOBAL_BADHAEN_xxyyyy&amp;product_id=1078" xr:uid="{00000000-0004-0000-0100-0000BC000000}"/>
    <hyperlink ref="CD195" r:id="rId190" display="https://vicharkrantibooks.org/productdetail?book_name=HINP0275_GAU_KI_UTPATTI_AUR_USAKA_MAHATV_xxyyyy&amp;product_id=840" xr:uid="{00000000-0004-0000-0100-0000BD000000}"/>
    <hyperlink ref="CD196" r:id="rId191" display="https://vicharkrantibooks.org/productdetail?book_name=HINP0088_ATATAYI_UDDANDATA_KA_DATAKAR_MUKABALA_KIYA_JAE_xxyyyy&amp;product_id=653" xr:uid="{00000000-0004-0000-0100-0000BE000000}"/>
    <hyperlink ref="CD197" r:id="rId192" display="https://vicharkrantibooks.org/productdetail?product_id=3783" xr:uid="{00000000-0004-0000-0100-0000BF000000}"/>
    <hyperlink ref="CD198" r:id="rId193" display="https://vicharkrantibooks.org/productdetail?book_name=HINP0599_NIKRUSHT_JIVAN_NA_JIYEN_xx1979&amp;product_id=1164" xr:uid="{00000000-0004-0000-0100-0000C0000000}"/>
    <hyperlink ref="CD200" r:id="rId194" display="https://vicharkrantibooks.org/productdetail?product_id=3784" xr:uid="{00000000-0004-0000-0100-0000C1000000}"/>
    <hyperlink ref="CD201" r:id="rId195" display="https://vicharkrantibooks.org/productdetail?book_name=HINP0987_VITAMIN_YUKT_AHAR_LEN_xxyyyy&amp;product_id=1552" xr:uid="{00000000-0004-0000-0100-0000C2000000}"/>
    <hyperlink ref="CD202" r:id="rId196" display="https://vicharkrantibooks.org/productdetail?book_name=HINP0363_IS_SABHY_DAKAITI_SE_BHI_JUJHIE_xxyyyy&amp;product_id=928" xr:uid="{00000000-0004-0000-0100-0000C3000000}"/>
    <hyperlink ref="CD203" r:id="rId197" display="https://vicharkrantibooks.org/productdetail?book_name=ENGB0200_LET_US_KNOW_YUGRISHI_1st2013&amp;product_id=3516" xr:uid="{00000000-0004-0000-0100-0000C4000000}"/>
    <hyperlink ref="CD204" r:id="rId198" display="https://vicharkrantibooks.org/productdetail?book_name=HINP0486_MAN_KI_NIRMALATA_AUR_SHARIRIK_SWASTHY_KA_ATUT_SAMBANDH_xx1982&amp;product_id=1051" xr:uid="{00000000-0004-0000-0100-0000C5000000}"/>
    <hyperlink ref="CD205" r:id="rId199" display="https://vicharkrantibooks.org/productdetail?book_name=HINP1117_MAHAKAL_KI_BHAVISHYAVANI_xxyyyy&amp;product_id=1682" xr:uid="{00000000-0004-0000-0100-0000C6000000}"/>
    <hyperlink ref="CD206" r:id="rId200" display="https://vicharkrantibooks.org/productdetail?book_name=HINP0358_IN_BHRAM_JANJALON_SE_MUKT_HO_xx1982&amp;product_id=923" xr:uid="{00000000-0004-0000-0100-0000C7000000}"/>
    <hyperlink ref="CD207" r:id="rId201" display="https://vicharkrantibooks.org/productdetail?book_name=HINP0031_AHANKAR_CHHODEN_VINAMR_BANEN_xxyyyy&amp;product_id=596" xr:uid="{00000000-0004-0000-0100-0000C8000000}"/>
    <hyperlink ref="CD208" r:id="rId202" display="https://vicharkrantibooks.org/productdetail?book_name=HINP0127_BADAPPAN_NAHI_MAHANATA_KAMAEN_xx1982&amp;product_id=692" xr:uid="{00000000-0004-0000-0100-0000C9000000}"/>
    <hyperlink ref="CD209" r:id="rId203" display="https://vicharkrantibooks.org/productdetail?book_name=HINP0783_SANKALP_ABHIYAN_(VYAVAHAR_PAKSH)_xx1978&amp;product_id=1348" xr:uid="{00000000-0004-0000-0100-0000CA000000}"/>
    <hyperlink ref="CD210" r:id="rId204" display="https://vicharkrantibooks.org/productdetail?book_name=HINP0289_GAYATRI_RAHASY_xxyyyy&amp;product_id=854" xr:uid="{00000000-0004-0000-0100-0000CB000000}"/>
    <hyperlink ref="CD211" r:id="rId205" display="https://vicharkrantibooks.org/productdetail?product_id=3923" xr:uid="{00000000-0004-0000-0100-0000CC000000}"/>
    <hyperlink ref="CD212" r:id="rId206" display="https://vicharkrantibooks.org/productdetail?book_name=HINP0162_BHAVI_PIDHI_KE_NIRMAN_MEIN_ABHIBHAVAKON_KA_UTTARADAYITV_xx1981&amp;product_id=727" xr:uid="{00000000-0004-0000-0100-0000CD000000}"/>
    <hyperlink ref="CD213" r:id="rId207" display="https://vicharkrantibooks.org/productdetail?product_id=427" xr:uid="{00000000-0004-0000-0100-0000CE000000}"/>
    <hyperlink ref="CD214" r:id="rId208" display="https://drive.google.com/file/d/1AkyrbQ3GhK_pbXmtovt2USr2vUxkuivW/view?usp=sharing" xr:uid="{00000000-0004-0000-0100-0000CF000000}"/>
    <hyperlink ref="CD215" r:id="rId209" display="https://vicharkrantibooks.org/productdetail?product_id=3932" xr:uid="{00000000-0004-0000-0100-0000D0000000}"/>
    <hyperlink ref="CD216" r:id="rId210" display="https://vicharkrantibooks.org/productdetail?book_name=HINP1023_YAGYOPACHAR_KI_SWASTHY_SANRAKSHAN_PRAKRIYA_xx1982&amp;product_id=1588" xr:uid="{00000000-0004-0000-0100-0000D1000000}"/>
    <hyperlink ref="CD217" r:id="rId211" display="https://drive.google.com/file/d/1MxJ_DBMCMMTlcE15A6R08LdjjWhn4keL/view?usp=sharing" xr:uid="{00000000-0004-0000-0100-0000D2000000}"/>
    <hyperlink ref="CD218" r:id="rId212" display="http://literature.awgp.org/book/sensitization_program_for_parents/v1" xr:uid="{00000000-0004-0000-0100-0000D3000000}"/>
    <hyperlink ref="CD219" r:id="rId213" display="https://vicharkrantibooks.org/productdetail?product_id=351" xr:uid="{00000000-0004-0000-0100-0000D4000000}"/>
    <hyperlink ref="CD220" r:id="rId214" display="https://vicharkrantibooks.org/productdetail?product_id=3779" xr:uid="{00000000-0004-0000-0100-0000D5000000}"/>
    <hyperlink ref="CD221" r:id="rId215" display="https://vicharkrantibooks.org/productdetail?book_name=HINF0016_ADHYATMIK_VIGYAN_KI_BHI_PRAGATI_HO_xxyyyy&amp;product_id=236" xr:uid="{00000000-0004-0000-0100-0000D6000000}"/>
    <hyperlink ref="CD222" r:id="rId216" display="https://vicharkrantibooks.org/productdetail?book_name=HINP0866_SRASHTA_KI_AVATARAN_PRAKRIYA_xx1981&amp;product_id=1431" xr:uid="{00000000-0004-0000-0100-0000D7000000}"/>
    <hyperlink ref="CD223" r:id="rId217" display="https://vicharkrantibooks.org/productdetail?book_name=HINP0255_DIVY_VIBHUTIYAN_SHRADDHALU_KO_HI_MILATI_HAI_xx1978&amp;product_id=820" xr:uid="{00000000-0004-0000-0100-0000D8000000}"/>
    <hyperlink ref="CD224" r:id="rId218" display="https://vicharkrantibooks.org/productdetail?book_name=HINP0339_HANSEN_TO_PAR_UPAHAS_NA_KAREN_xx1982&amp;product_id=904" xr:uid="{00000000-0004-0000-0100-0000D9000000}"/>
    <hyperlink ref="CD225" r:id="rId219" display="https://drive.google.com/file/d/1MxJ_DBMCMMTlcE15A6R08LdjjWhn4keL/view?usp=sharing" xr:uid="{00000000-0004-0000-0100-0000DA000000}"/>
    <hyperlink ref="CD226" r:id="rId220" display="https://drive.google.com/file/d/1NccXhcUsWMqR-yXJhzEih8BYrBfPiaUz/view?usp=sharing" xr:uid="{00000000-0004-0000-0100-0000DB000000}"/>
    <hyperlink ref="CD227" r:id="rId221" display="https://vicharkrantibooks.org/productdetail?product_id=3778" xr:uid="{00000000-0004-0000-0100-0000DC000000}"/>
    <hyperlink ref="CD228" r:id="rId222" display="https://drive.google.com/file/d/1WUeRb3ax7B3IUEP0kBfBXJ87-BT8H0Wv/view?usp=sharing" xr:uid="{00000000-0004-0000-0100-0000DD000000}"/>
    <hyperlink ref="CD229" r:id="rId223" display="https://vicharkrantibooks.org/productdetail?book_name=HINP0921_THREE_TRAITS_AND_FOUR_STEPS_TO_PROGRESS_xxyyyy&amp;product_id=3510" xr:uid="{00000000-0004-0000-0100-0000DE000000}"/>
    <hyperlink ref="CD230" r:id="rId224" display="https://vicharkrantibooks.org/productdetail?book_name=HINP0966_VICHARON_KI_APAR_SHAKTI_xxyyyy&amp;product_id=1531" xr:uid="{00000000-0004-0000-0100-0000DF000000}"/>
    <hyperlink ref="CD231" r:id="rId225" display="https://vicharkrantibooks.org/productdetail?book_name=HINP0125_BACHCHON_KO_NIYAMITATA_KA_SHIKSHAN_DIJIE_xx1981&amp;product_id=690" xr:uid="{00000000-0004-0000-0100-0000E0000000}"/>
    <hyperlink ref="CD232" r:id="rId226" display="https://vicharkrantibooks.org/productdetail?book_name=HINP1051_YUG_PARIVARTAN_KA_ADHAR_VICHAR_KRANTI_xxyyyy&amp;product_id=1616" xr:uid="{00000000-0004-0000-0100-0000E1000000}"/>
    <hyperlink ref="CD233" r:id="rId227" display="https://vicharkrantibooks.org/productdetail?book_name=HINP0773_SAMAY_KI_PUKAR_GYANAYAGY_xxyyyy&amp;product_id=1338" xr:uid="{00000000-0004-0000-0100-0000E2000000}"/>
    <hyperlink ref="CD234" r:id="rId228" display="https://drive.google.com/file/d/1GOABqL4sQL3rZa4vUgkBGoKqy3ObgOZS/view?usp=drive_link" xr:uid="{00000000-0004-0000-0100-0000E3000000}"/>
    <hyperlink ref="CD235" r:id="rId229" display="https://drive.google.com/file/d/1D5xMHoUye9OqRb83E1S0HYWpjjidSavs/view?usp=sharing" xr:uid="{00000000-0004-0000-0100-0000E4000000}"/>
    <hyperlink ref="CD236" r:id="rId230" display="https://vicharkrantibooks.org/productdetail?book_name=HINP0897_SWASTHY_SANVARDHAN_KI_DISHA_MEIN_DO_MAHATVAPURN_KADAM_xx1981&amp;product_id=1462" xr:uid="{00000000-0004-0000-0100-0000E5000000}"/>
    <hyperlink ref="CD237" r:id="rId231" display="https://drive.google.com/file/d/1GOABqL4sQL3rZa4vUgkBGoKqy3ObgOZS/view?usp=drive_link" xr:uid="{00000000-0004-0000-0100-0000E6000000}"/>
    <hyperlink ref="CD238" r:id="rId232" display="https://vicharkrantibooks.org/productdetail?book_name=HINP1005_VRUKSHAROPAN_KO_DEVARADHNA_JITANA_MAHATV_DEN_xx1982&amp;product_id=1570" xr:uid="{00000000-0004-0000-0100-0000E7000000}"/>
    <hyperlink ref="CD239" r:id="rId233" display="https://vicharkrantibooks.org/productdetail?book_name=HINP0820_SATOGUNI_AHAR_LIYA_JAE_xxyyyy&amp;product_id=1385" xr:uid="{00000000-0004-0000-0100-0000E8000000}"/>
    <hyperlink ref="CD240" r:id="rId234" display="https://vicharkrantibooks.org/productdetail?book_name=HINP0777_SAMPATTI_HI_NAHIN_VIBHUTIYAN_KAMAYEN_xx1979&amp;product_id=1342" xr:uid="{00000000-0004-0000-0100-0000E9000000}"/>
    <hyperlink ref="CD241" r:id="rId235" display="https://vicharkrantibooks.org/productdetail?product_id=3773" xr:uid="{00000000-0004-0000-0100-0000EA000000}"/>
    <hyperlink ref="CD242" r:id="rId236" display="https://vicharkrantibooks.org/productdetail?book_name=HINP0230_DHARM_AUR_SAMPRADAY_ALAG_ALAG_HAIN_xxyyyy&amp;product_id=795" xr:uid="{00000000-0004-0000-0100-0000EB000000}"/>
    <hyperlink ref="CD243" r:id="rId237" display="https://vicharkrantibooks.org/productdetail?book_name=HINP0893_SWASTH_EVAM_DIRGH_JIVAN_KI_KUNJI_AHAR_SANYAM_xx1982&amp;product_id=1458" xr:uid="{00000000-0004-0000-0100-0000EC000000}"/>
    <hyperlink ref="CD244" r:id="rId238" display="https://vicharkrantibooks.org/productdetail?book_name=ENGB0217_HONOURABLE_INCOME_1st2013&amp;product_id=3527" xr:uid="{00000000-0004-0000-0100-0000ED000000}"/>
    <hyperlink ref="CD245" r:id="rId239" display="https://vicharkrantibooks.org/productdetail?book_name=HINP0303_GAYATRI_YAGY_KA_TATVAGYAN_EVAM_PRERANAYEN_xx1982&amp;product_id=868" xr:uid="{00000000-0004-0000-0100-0000EE000000}"/>
    <hyperlink ref="CD246" r:id="rId240" display="https://vicharkrantibooks.org/productdetail?book_name=HINP0815_SARVASULABH_POSHAN_AHAR_SWASTHY_KA_ADHAR_xx1982&amp;product_id=1380" xr:uid="{00000000-0004-0000-0100-0000EF000000}"/>
    <hyperlink ref="CD247" r:id="rId241" display="https://drive.google.com/file/d/1NccXhcUsWMqR-yXJhzEih8BYrBfPiaUz/view?usp=sharing" xr:uid="{00000000-0004-0000-0100-0000F0000000}"/>
    <hyperlink ref="CD249" r:id="rId242" display="https://vicharkrantibooks.org/productdetail?product_id=311" xr:uid="{00000000-0004-0000-0100-0000F1000000}"/>
    <hyperlink ref="CD250" r:id="rId243" display="https://vicharkrantibooks.org/productdetail?book_name=HINP0204_DANASHILATA_MEIN_GARIBI_BADHAK_NAHI_xx1982&amp;product_id=769" xr:uid="{00000000-0004-0000-0100-0000F2000000}"/>
    <hyperlink ref="CD251" r:id="rId244" display="https://vicharkrantibooks.org/productdetail?product_id=3772" xr:uid="{00000000-0004-0000-0100-0000F3000000}"/>
    <hyperlink ref="CD252" r:id="rId245" display="https://vicharkrantibooks.org/productdetail?book_name=HINP0336_HAMEN_MANASIK_CHINTAEN_KYON_GHERATI_HAIN_xxyyyy&amp;product_id=901" xr:uid="{00000000-0004-0000-0100-0000F4000000}"/>
    <hyperlink ref="CD253" r:id="rId246" display="https://vicharkrantibooks.org/productdetail?book_name=ENGB0216_FIRM_ENDEAVOUR_1st2013&amp;product_id=3533" xr:uid="{00000000-0004-0000-0100-0000F5000000}"/>
    <hyperlink ref="CD254" r:id="rId247" display="https://vicharkrantibooks.org/productdetail?product_id=3795" xr:uid="{00000000-0004-0000-0100-0000F6000000}"/>
    <hyperlink ref="CD255" r:id="rId248" display="https://vicharkrantibooks.org/productdetail?book_name=HINP0845_SHIKHA_SUTR_EVAM_PRATIKON_KA_MAHATV_xxyyyy&amp;product_id=1410" xr:uid="{00000000-0004-0000-0100-0000F7000000}"/>
    <hyperlink ref="CD256" r:id="rId249" display="https://vicharkrantibooks.org/productdetail?book_name=HINP1004_VRUKSHAROPAN_AUR_SANVARDHAN_EK_ATI_AVASHYAK_KARY_xxyyyy&amp;product_id=1569" xr:uid="{00000000-0004-0000-0100-0000F8000000}"/>
    <hyperlink ref="CD257" r:id="rId250" display="https://vicharkrantibooks.org/productdetail?product_id=3918" xr:uid="{00000000-0004-0000-0100-0000F9000000}"/>
    <hyperlink ref="CD258" r:id="rId251" display="https://drive.google.com/file/d/1WUeRb3ax7B3IUEP0kBfBXJ87-BT8H0Wv/view?usp=sharing" xr:uid="{00000000-0004-0000-0100-0000FA000000}"/>
    <hyperlink ref="CD259" r:id="rId252" display="https://drive.google.com/file/d/1NccXhcUsWMqR-yXJhzEih8BYrBfPiaUz/view?usp=sharing" xr:uid="{00000000-0004-0000-0100-0000FB000000}"/>
    <hyperlink ref="CD260" r:id="rId253" display="https://vicharkrantibooks.org/productdetail?book_name=HINP0210_DEV_SANSKRUTI_EVAM_DIVY_KALAEN_xxyyyy&amp;product_id=775" xr:uid="{00000000-0004-0000-0100-0000FC000000}"/>
    <hyperlink ref="CD261" r:id="rId254" display="https://vicharkrantibooks.org/productdetail?book_name=HINF0052_ATMIK_PRAGATI_KI_DISHADHARA_xxyyyy&amp;product_id=272" xr:uid="{00000000-0004-0000-0100-0000FD000000}"/>
    <hyperlink ref="CD262" r:id="rId255" display="https://vicharkrantibooks.org/productdetail?book_name=HINP0120_BACHCHON_KA_NIRMAN_VANI_SE_NAHIN_ACHARAN_SE_KIYA_JAE_xxyyyy&amp;product_id=685" xr:uid="{00000000-0004-0000-0100-0000FE000000}"/>
    <hyperlink ref="CD263" r:id="rId256" display="https://vicharkrantibooks.org/productdetail?book_name=HINP0287_GAYATRI_MAHIMA_xxyyyy&amp;product_id=852" xr:uid="{00000000-0004-0000-0100-0000FF000000}"/>
    <hyperlink ref="CD264" r:id="rId257" display="https://vicharkrantibooks.org/productdetail?book_name=HINP0914_TYAG_SE_PRAPTI_KA_SUNISHCHIT_EVAM_AKATY_NIYAM_xx1982&amp;product_id=1479" xr:uid="{00000000-0004-0000-0100-000000010000}"/>
    <hyperlink ref="CD265" r:id="rId258" display="https://drive.google.com/file/d/1GOABqL4sQL3rZa4vUgkBGoKqy3ObgOZS/view?usp=drive_link" xr:uid="{00000000-0004-0000-0100-000001010000}"/>
    <hyperlink ref="CD266" r:id="rId259" display="https://drive.google.com/file/d/1D5xMHoUye9OqRb83E1S0HYWpjjidSavs/view?usp=sharing" xr:uid="{00000000-0004-0000-0100-000002010000}"/>
    <hyperlink ref="CD267" r:id="rId260" display="https://drive.google.com/file/d/1MxJ_DBMCMMTlcE15A6R08LdjjWhn4keL/view?usp=sharing" xr:uid="{00000000-0004-0000-0100-000003010000}"/>
    <hyperlink ref="CD268" r:id="rId261" display="https://vicharkrantibooks.org/productdetail?book_name=HINP0357_IN_AVANCHHANIY_MUDH_MANYATAON_KO_UKHAD_PHENKEN_xxyyyy&amp;product_id=922" xr:uid="{00000000-0004-0000-0100-000004010000}"/>
    <hyperlink ref="CD270" r:id="rId262" display="https://vicharkrantibooks.org/productdetail?book_name=HINP0688_PREM_BHAVANA_MANAV_JIVAN_KI_SARVOPARI_SHAKTI_xx1981&amp;product_id=1253" xr:uid="{00000000-0004-0000-0100-000005010000}"/>
    <hyperlink ref="CD271" r:id="rId263" display="https://vicharkrantibooks.org/productdetail?book_name=HINP0283_GAYATRI_MAHASHAKTI_DVARA_YUG_PARIVARTAN_KA_ASHVASAN_xx1982&amp;product_id=848" xr:uid="{00000000-0004-0000-0100-000006010000}"/>
    <hyperlink ref="CD272" r:id="rId264" display="https://vicharkrantibooks.org/productdetail?product_id=3771" xr:uid="{00000000-0004-0000-0100-000007010000}"/>
    <hyperlink ref="CD273" r:id="rId265" display="https://vicharkrantibooks.org/productdetail?book_name=HINP1080_PRASANNATA_EVAM_PRAPHULLATA_KI_KUNJI_xx1982&amp;product_id=1645" xr:uid="{00000000-0004-0000-0100-000008010000}"/>
    <hyperlink ref="CD274" r:id="rId266" display="https://vicharkrantibooks.org/productdetail?book_name=HINP0877_SUSANSKARITA_KA_DARSHAN_SUVYAVASTHIT_PARIWAR_SE_xx1982&amp;product_id=1442" xr:uid="{00000000-0004-0000-0100-000009010000}"/>
    <hyperlink ref="CD275" r:id="rId267" display="https://vicharkrantibooks.org/productdetail?book_name=HINP0155_BHAV_KE_BHUKHE_HAIN_BHAGAVAN_xx1981&amp;product_id=720" xr:uid="{00000000-0004-0000-0100-00000A010000}"/>
    <hyperlink ref="CD276" r:id="rId268" display="https://vicharkrantibooks.org/productdetail?product_id=3768" xr:uid="{00000000-0004-0000-0100-00000B010000}"/>
    <hyperlink ref="CD277" r:id="rId269" display="https://vicharkrantibooks.org/productdetail?product_id=3767" xr:uid="{00000000-0004-0000-0100-00000C010000}"/>
    <hyperlink ref="CD278" r:id="rId270" display="https://vicharkrantibooks.org/productdetail?product_id=3766" xr:uid="{00000000-0004-0000-0100-00000D010000}"/>
    <hyperlink ref="CD279" r:id="rId271" display="https://vicharkrantibooks.org/productdetail?product_id=3907" xr:uid="{00000000-0004-0000-0100-00000E010000}"/>
    <hyperlink ref="CD280" r:id="rId272" display="https://vicharkrantibooks.org/productdetail?book_name=HINP0274_GAU_ADHARIT_ARTH_VYAVASTHA_xxyyyy&amp;product_id=839" xr:uid="{00000000-0004-0000-0100-00000F010000}"/>
    <hyperlink ref="CD281" r:id="rId273" display="https://vicharkrantibooks.org/productdetail?book_name=HINP0026_ADHYATMIKATA_KA_PRAN_SADACHARAN_xx1982&amp;product_id=591" xr:uid="{00000000-0004-0000-0100-000010010000}"/>
    <hyperlink ref="CD282" r:id="rId274" display="https://vicharkrantibooks.org/productdetail?book_name=HINP0122_BACHCHON_KE_VIKAS_KE_LIE_ARAMBH_SE_HI_DHYAN_DIYA_JAY_xx1981&amp;product_id=687" xr:uid="{00000000-0004-0000-0100-000011010000}"/>
    <hyperlink ref="CD283" r:id="rId275" display="https://vicharkrantibooks.org/productdetail?product_id=3754" xr:uid="{00000000-0004-0000-0100-000012010000}"/>
    <hyperlink ref="CD284" r:id="rId276" display="https://vicharkrantibooks.org/productdetail?book_name=ENGP1015_RENOUNCE_THE_DEMONIAC_ADDICTION_xxyyyy&amp;product_id=3506" xr:uid="{00000000-0004-0000-0100-000013010000}"/>
    <hyperlink ref="CD285" r:id="rId277" display="https://vicharkrantibooks.org/productdetail?product_id=3786" xr:uid="{00000000-0004-0000-0100-000014010000}"/>
    <hyperlink ref="CD286" r:id="rId278" display="https://vicharkrantibooks.org/productdetail?book_name=HINP0761_SAMAJ_RUN_KO_CHUKANE_AGE_AYEN_xx1982&amp;product_id=1326" xr:uid="{00000000-0004-0000-0100-000015010000}"/>
    <hyperlink ref="CD287" r:id="rId279" display="https://vicharkrantibooks.org/productdetail?book_name=HINP0874_SUKSHM_JAGAT_KA_PARISHODHAN_GAYATRI_YAGYON_SE_xx1979&amp;product_id=1439" xr:uid="{00000000-0004-0000-0100-000016010000}"/>
    <hyperlink ref="CD288" r:id="rId280" display="https://vicharkrantibooks.org/productdetail?book_name=HINP0328_HADAY_ROGON_KA_KARAN_AUR_NIVARAN_xxyyyy&amp;product_id=893" xr:uid="{00000000-0004-0000-0100-000017010000}"/>
    <hyperlink ref="CD289" r:id="rId281" display="https://vicharkrantibooks.org/productdetail?book_name=HINP0229_DHARM_APHIM_KI_GOLI_NAHI_HAI_xx1982&amp;product_id=794" xr:uid="{00000000-0004-0000-0100-000018010000}"/>
    <hyperlink ref="CD290" r:id="rId282" display="https://vicharkrantibooks.org/productdetail?book_name=HINP0909_TIRTH_YATRAON_SE_JAN_JAGARAN_xx1981&amp;product_id=1474" xr:uid="{00000000-0004-0000-0100-000019010000}"/>
    <hyperlink ref="CD291" r:id="rId283" display="https://vicharkrantibooks.org/productdetail?book_name=HINP1012_VYAKTITV_NIRMAN_KI_PRAYOGASHALA_PARIWAR_SANSTHA_xx1982&amp;product_id=1577" xr:uid="{00000000-0004-0000-0100-00001A010000}"/>
    <hyperlink ref="CD292" r:id="rId284" display="https://vicharkrantibooks.org/productdetail?book_name=HINP0910_TIRTHAYATRA_DHARM_PARAMPARA_PUNARJIVAN_ABHIYAN_KA_PREMOPAHAR_xxyyyy&amp;product_id=1475" xr:uid="{00000000-0004-0000-0100-00001B010000}"/>
    <hyperlink ref="CD293" r:id="rId285" display="https://vicharkrantibooks.org/productdetail?product_id=3761" xr:uid="{00000000-0004-0000-0100-00001C010000}"/>
    <hyperlink ref="CD294" r:id="rId286" display="https://vicharkrantibooks.org/productdetail?book_name=HINP0008_ADHUNIKATA_KE_VIKRUT_MAPADANDON_KO_BADALA_JAE_xx1982&amp;product_id=573" xr:uid="{00000000-0004-0000-0100-00001D010000}"/>
    <hyperlink ref="CD295" r:id="rId287" display="https://vicharkrantibooks.org/productdetail?product_id=3759" xr:uid="{00000000-0004-0000-0100-00001E010000}"/>
    <hyperlink ref="CD296" r:id="rId288" display="https://vicharkrantibooks.org/productdetail?book_name=HINP0895_SWASTH_RAHANA_BAHUT_ASAN_HAI_xxyyyy&amp;product_id=1460" xr:uid="{00000000-0004-0000-0100-00001F010000}"/>
    <hyperlink ref="CD297" r:id="rId289" display="https://vicharkrantibooks.org/productdetail?book_name=ENGB0203_DROPS_OF_NECTAR_1st2013&amp;product_id=3523" xr:uid="{00000000-0004-0000-0100-000020010000}"/>
    <hyperlink ref="CD298" r:id="rId290" display="https://vicharkrantibooks.org/productdetail?book_name=GUJP0609_VANCHO_ANE_JIVANMA_UTARO_XXYYYY&amp;product_id=3939" xr:uid="{00000000-0004-0000-0100-000021010000}"/>
    <hyperlink ref="CD299" r:id="rId291" display="https://vicharkrantibooks.org/productdetail?book_name=ENGB0204_BHAGWAN_BUDDHA_1st2013&amp;product_id=3524" xr:uid="{00000000-0004-0000-0100-000022010000}"/>
    <hyperlink ref="CD300" r:id="rId292" display="https://vicharkrantibooks.org/productdetail?book_name=HINP0933_UTAR_CHADHAV_HI_JIVAN_HAI_xx1981&amp;product_id=1498" xr:uid="{00000000-0004-0000-0100-000023010000}"/>
    <hyperlink ref="CD301" r:id="rId293" display="https://vicharkrantibooks.org/productdetail?book_name=HINP0293_GAYATRI_SHANKA_SAMADHAN_xxyyyy&amp;product_id=858" xr:uid="{00000000-0004-0000-0100-000024010000}"/>
    <hyperlink ref="CD302" r:id="rId294" display="https://vicharkrantibooks.org/productdetail?product_id=3910" xr:uid="{00000000-0004-0000-0100-000025010000}"/>
    <hyperlink ref="CD303" r:id="rId295" display="https://vicharkrantibooks.org/productdetail?book_name=HINF0303_UTHAL_PUTHAL_KI_VELA_EVAM_UJJVAL_BHAVISHY_KI_SAMBHAVANAEN_xxyyyy&amp;product_id=523" xr:uid="{00000000-0004-0000-0100-000026010000}"/>
    <hyperlink ref="CD304" r:id="rId296" display="https://vicharkrantibooks.org/productdetail?book_name=HINF0030_ANU_MEIN_VIBHU_LAGHU_MEIN_MAHAN_xxyyyy&amp;product_id=250" xr:uid="{00000000-0004-0000-0100-000027010000}"/>
    <hyperlink ref="CD305" r:id="rId297" display="https://vicharkrantibooks.org/productdetail?product_id=4239" xr:uid="{00000000-0004-0000-0100-000028010000}"/>
    <hyperlink ref="CD306" r:id="rId298" display="https://vicharkrantibooks.org/productdetail?book_name=ENGB0206_BE_GOOD_1st2013&amp;product_id=3519" xr:uid="{00000000-0004-0000-0100-000029010000}"/>
    <hyperlink ref="CD307" r:id="rId299" display="https://vicharkrantibooks.org/productdetail?book_name=ENGPE039_THE_SCIENCE_OF_MANTRA_xxyyyy&amp;product_id=3432" xr:uid="{00000000-0004-0000-0100-00002A010000}"/>
    <hyperlink ref="CD308" r:id="rId300" display="https://vicharkrantibooks.org/productdetail?book_name=HINP0517_MANOVIKARON_KE_DUSHPARINAM_xx1978&amp;product_id=1082" xr:uid="{00000000-0004-0000-0100-00002B010000}"/>
    <hyperlink ref="CD309" r:id="rId301" display="https://vicharkrantibooks.org/productdetail?book_name=HINP0798_SANTULIT_AHAR_xxyyyy&amp;product_id=1363" xr:uid="{00000000-0004-0000-0100-00002C010000}"/>
    <hyperlink ref="CD310" r:id="rId302" display="https://vicharkrantibooks.org/productdetail?book_name=HINF0297_UJJAVAL_BHAVISHY_KE_LIE_VARTAMAN_KA_SADUPAYOG_KAREN_xxyyyy&amp;product_id=517" xr:uid="{00000000-0004-0000-0100-00002D010000}"/>
    <hyperlink ref="CD311" r:id="rId303" display="https://vicharkrantibooks.org/productdetail?product_id=378" xr:uid="{00000000-0004-0000-0100-00002E010000}"/>
    <hyperlink ref="CD312" r:id="rId304" display="https://vicharkrantibooks.org/productdetail?product_id=3637" xr:uid="{00000000-0004-0000-0100-00002F010000}"/>
    <hyperlink ref="CD313" r:id="rId305" display="https://vicharkrantibooks.org/productdetail?product_id=3750" xr:uid="{00000000-0004-0000-0100-000030010000}"/>
    <hyperlink ref="CD314" r:id="rId306" display="https://vicharkrantibooks.org/productdetail?book_name=MRTP0981_SANKATANNA_GHABARU_NAKA_KHAMBIRAPANE_SAMANA_KARA_XXYYYY&amp;product_id=4350" xr:uid="{00000000-0004-0000-0100-000031010000}"/>
    <hyperlink ref="CD315" r:id="rId307" display="https://vicharkrantibooks.org/productdetail?product_id=3804" xr:uid="{00000000-0004-0000-0100-000032010000}"/>
    <hyperlink ref="CD316" r:id="rId308" display="https://vicharkrantibooks.org/productdetail?product_id=3921" xr:uid="{00000000-0004-0000-0100-000033010000}"/>
    <hyperlink ref="CD317" r:id="rId309" display="https://vicharkrantibooks.org/productdetail?product_id=3820" xr:uid="{00000000-0004-0000-0100-000034010000}"/>
    <hyperlink ref="CD318" r:id="rId310" display="https://vicharkrantibooks.org/productdetail?book_name=HINF0298_UJJAVAL_BHAVISHY_KI_RACHANA_MEIN_SANLAGN_MAHAKAL_xxyyyy&amp;product_id=518" xr:uid="{00000000-0004-0000-0100-000035010000}"/>
    <hyperlink ref="CD319" r:id="rId311" display="https://vicharkrantibooks.org/productdetail?product_id=370" xr:uid="{00000000-0004-0000-0100-000036010000}"/>
    <hyperlink ref="CD320" r:id="rId312" display="https://vicharkrantibooks.org/productdetail?product_id=3906" xr:uid="{00000000-0004-0000-0100-000037010000}"/>
    <hyperlink ref="CD321" r:id="rId313" display="https://vicharkrantibooks.org/productdetail?book_name=HINF0042_ASURATA_KA_MAN-MARDANSANGH_SHAKTI_KE_BAL_PAR_xxyyyy&amp;product_id=262" xr:uid="{00000000-0004-0000-0100-000038010000}"/>
    <hyperlink ref="CD322" r:id="rId314" display="https://vicharkrantibooks.org/productdetail?book_name=HINP0030_AGNIHOTR_KI_GARIMA_AUR_MAHATTA_xx1982&amp;product_id=595" xr:uid="{00000000-0004-0000-0100-000039010000}"/>
    <hyperlink ref="CD323" r:id="rId315" display="https://vicharkrantibooks.org/productdetail?book_name=HINP0055_APANA_APA_KITANA_MAHAN_KITANA_SAMARTH_xx1982&amp;product_id=620" xr:uid="{00000000-0004-0000-0100-00003A010000}"/>
    <hyperlink ref="CD324" r:id="rId316" display="https://vicharkrantibooks.org/productdetail?book_name=HINP0792_SANTAN_KI_SANKHYA_BADHANA_ATYANT_GHATAK_xxyyyy&amp;product_id=1357" xr:uid="{00000000-0004-0000-0100-00003B010000}"/>
    <hyperlink ref="CD325" r:id="rId317" display="https://vicharkrantibooks.org/productdetail?book_name=HINP0518_MANSAHAR_xxyyyy&amp;product_id=1083" xr:uid="{00000000-0004-0000-0100-00003C010000}"/>
    <hyperlink ref="CD326" r:id="rId318" display="https://vicharkrantibooks.org/productdetail?book_name=GUJP0423_KARMAKANDNI_PRERANAOMA_CHHUPAYELU_ADHYATM_XXYYYY&amp;product_id=3764" xr:uid="{00000000-0004-0000-0100-00003D010000}"/>
    <hyperlink ref="CD327" r:id="rId319" display="https://vicharkrantibooks.org/productdetail?product_id=511" xr:uid="{00000000-0004-0000-0100-00003E010000}"/>
    <hyperlink ref="CD328" r:id="rId320" display="https://vicharkrantibooks.org/productdetail?book_name=MRTP0069_APALA_NYUNAGAND_DUR_KARA_KHMBIR_BANA%20_XXYYYY&amp;product_id=4352" xr:uid="{00000000-0004-0000-0100-00003F010000}"/>
    <hyperlink ref="CD329" r:id="rId321" display="https://vicharkrantibooks.org/productdetail?book_name=GUJP0957_VICHAR_BADALAY_TO_YUG_BADALAY_XXYYYY&amp;product_id=3912" xr:uid="{00000000-0004-0000-0100-000040010000}"/>
    <hyperlink ref="CD330" r:id="rId322" display="https://vicharkrantibooks.org/productdetail?book_name=GUJP0488_MANANE_BHAGAVANANI_SATHE_JODO_XXYYYY&amp;product_id=3810" xr:uid="{00000000-0004-0000-0100-000041010000}"/>
    <hyperlink ref="CD331" r:id="rId323" display="https://vicharkrantibooks.org/productdetail?product_id=326" xr:uid="{00000000-0004-0000-0100-000042010000}"/>
    <hyperlink ref="CD332" r:id="rId324" display="https://vicharkrantibooks.org/productdetail?book_name=GUJP0146_BHAKTI_EK_DARSHAN_EK_VIGNAN_XXYYYY&amp;product_id=3757" xr:uid="{00000000-0004-0000-0100-000043010000}"/>
    <hyperlink ref="CD333" r:id="rId325" display="https://vicharkrantibooks.org/productdetail?book_name=GUJP0695_PYAR_ANE_SAHAKARBHARYA_PARIWAR_VASE_XXYYYY&amp;product_id=3794" xr:uid="{00000000-0004-0000-0100-000044010000}"/>
    <hyperlink ref="CD334" r:id="rId326" display="https://vicharkrantibooks.org/productdetail?book_name=GUJP0835_SHAKTIBHANDAR_SATHE_POTANE_JODO_XXYYYY&amp;product_id=3746" xr:uid="{00000000-0004-0000-0100-000045010000}"/>
    <hyperlink ref="CD335" r:id="rId327" display="https://vicharkrantibooks.org/productdetail?book_name=HINF0009_ADHYATM_KA_LAKSHY_ADHAR_AUR_PRAYOG_xxyyyy&amp;product_id=229" xr:uid="{00000000-0004-0000-0100-000046010000}"/>
    <hyperlink ref="CD336" r:id="rId328" display="https://vicharkrantibooks.org/productdetail?book_name=HINF0121_IMANADARI_SARVATOMUKHI_PRAGATI_KI_SUNISHCHIT_NITI_xxyyyy&amp;product_id=341" xr:uid="{00000000-0004-0000-0100-000047010000}"/>
    <hyperlink ref="CD337" r:id="rId329" display="https://vicharkrantibooks.org/productdetail?book_name=ENGP0810_DETERMINATION_PAVES_THE_WAY_TO_SUCCESS_xxyyyy&amp;product_id=3508" xr:uid="{00000000-0004-0000-0100-000048010000}"/>
    <hyperlink ref="CD338" r:id="rId330" display="https://vicharkrantibooks.org/productdetail?book_name=GUJP0242_DHRAMATANTR_DVARA_LOK_SHIKSHAN_XXYYYY&amp;product_id=3755" xr:uid="{00000000-0004-0000-0100-000049010000}"/>
    <hyperlink ref="CD339" r:id="rId331" display="https://vicharkrantibooks.org/productdetail?book_name=GUJP0611_MELAVAVU_HOY_TO_APATA_SHIKHO_XXYYYY&amp;product_id=3752" xr:uid="{00000000-0004-0000-0100-00004A010000}"/>
    <hyperlink ref="CD340" r:id="rId332" display="https://vicharkrantibooks.org/productdetail?book_name=GUJP0297_GAYATRI_UPASANANI_SAPHALATANI_TRAN_SHARATO_XXYYYY&amp;product_id=3753" xr:uid="{00000000-0004-0000-0100-00004B010000}"/>
    <hyperlink ref="CD341" r:id="rId333" display="https://vicharkrantibooks.org/productdetail?book_name=HINP0908_TIRTH_YATRA_IS_TARAH_KI_JAY_xx1978&amp;product_id=1473" xr:uid="{00000000-0004-0000-0100-00004C010000}"/>
    <hyperlink ref="CD342" r:id="rId334" display="https://vicharkrantibooks.org/productdetail?book_name=GUJP0740_SADHANAMA_VATAVARAN_ANE_SHRADDHANU_MAHATVA_XXYYYY&amp;product_id=3743" xr:uid="{00000000-0004-0000-0100-00004D010000}"/>
    <hyperlink ref="CD343" r:id="rId335" display="https://vicharkrantibooks.org/productdetail?book_name=HINP0136_BHAGAVAN_BUDDH_KA_UTTARARDDH_PRAGYAVATAR_(POCKET)_xxyyyy&amp;product_id=701" xr:uid="{00000000-0004-0000-0100-00004E010000}"/>
    <hyperlink ref="CD344" r:id="rId336" display="https://vicharkrantibooks.org/productdetail?book_name=GUJP0142_BHAGAVAN_SHANKAR_KON_CHHE_XXYYYY&amp;product_id=3742" xr:uid="{00000000-0004-0000-0100-00004F010000}"/>
    <hyperlink ref="CD345" r:id="rId337" display="https://vicharkrantibooks.org/productdetail?book_name=HINP0007_ADHUNIK_DAUD_ME_FAISHION_KA_PARITYAG_KIJIE_xxyyyy&amp;product_id=572" xr:uid="{00000000-0004-0000-0100-000050010000}"/>
    <hyperlink ref="CD346" r:id="rId338" display="https://vicharkrantibooks.org/productdetail?book_name=HINP0907_TIRTH_CHETANA_xxyyyy&amp;product_id=1472" xr:uid="{00000000-0004-0000-0100-000051010000}"/>
    <hyperlink ref="CD347" r:id="rId339" display="https://vicharkrantibooks.org/productdetail?book_name=HINP0119_BACHCHE_SUSANSKARI_KAISE_BANEN_xx1982&amp;product_id=684" xr:uid="{00000000-0004-0000-0100-000052010000}"/>
    <hyperlink ref="CD348" r:id="rId340" display="https://vicharkrantibooks.org/productdetail?book_name=ENGP0716_IN_THE_ANGELIC_LIGHT_OF_RISHI_THOUGHTS_5_xxyyyy&amp;product_id=3464" xr:uid="{00000000-0004-0000-0100-000053010000}"/>
    <hyperlink ref="CD349" r:id="rId341" display="https://vicharkrantibooks.org/productdetail?book_name=GUJP0885_VYAKTITVAVAN_BANO_POTANE_UNCHE_UTHAVO_XXYYYY&amp;product_id=3737" xr:uid="{00000000-0004-0000-0100-000054010000}"/>
    <hyperlink ref="CD350" r:id="rId342" display="https://vicharkrantibooks.org/productdetail?book_name=GUJP1034_YUG_DEVATANI_APIL_ASAMBHALI_NA_KARASHO_XXYYYY&amp;product_id=3739" xr:uid="{00000000-0004-0000-0100-000055010000}"/>
    <hyperlink ref="CD351" r:id="rId343" display="https://vicharkrantibooks.org/productdetail?book_name=HINP0647_PITA_PUTR_KE_SAMBANDH_SAUHARDPURN_HON_xx1981&amp;product_id=1212" xr:uid="{00000000-0004-0000-0100-000056010000}"/>
    <hyperlink ref="CD352" r:id="rId344" display="https://vicharkrantibooks.org/productdetail?book_name=ENGP0605_STEER_THE_LIFE_FOR_DEFINITE_REWARDS_xxyyyy&amp;product_id=3513" xr:uid="{00000000-0004-0000-0100-000057010000}"/>
    <hyperlink ref="CD353" r:id="rId345" display="https://vicharkrantibooks.org/productdetail?book_name=HINP0638_PARIWARIK_PRAGATI_MEIN_HAR_SADASY_KA_YOGADAN_xx1982&amp;product_id=1203" xr:uid="{00000000-0004-0000-0100-000058010000}"/>
    <hyperlink ref="CD354" r:id="rId346" display="https://vicharkrantibooks.org/productdetail?book_name=HINF0053_ATMIK_PRAGATI_KI_KUNJI_ACHETAN_KI_PARISHKRUTI_xxyyyy&amp;product_id=273" xr:uid="{00000000-0004-0000-0100-000059010000}"/>
    <hyperlink ref="CD355" r:id="rId347" display="https://vicharkrantibooks.org/productdetail?book_name=HINF0339_IS_SAMAY_KA_SABASE_BADA_PUNY_BRAHMABHOJ_GYAN_YAGY_xxyyyy&amp;product_id=559" xr:uid="{00000000-0004-0000-0100-00005A010000}"/>
    <hyperlink ref="CD356" r:id="rId348" display="https://vicharkrantibooks.org/productdetail?book_name=GUJP0161_BHAVI_MAHABHARAT_AA_RITE_LADASHE_XXYYYY&amp;product_id=3788" xr:uid="{00000000-0004-0000-0100-00005B010000}"/>
    <hyperlink ref="CD357" r:id="rId349" display="https://vicharkrantibooks.org/productdetail?book_name=MRTR1432_UPASANA_ANI_SADHANA_YANCHA_SAMANVAY%20_XXYYYY&amp;product_id=4325" xr:uid="{00000000-0004-0000-0100-00005C010000}"/>
    <hyperlink ref="CD358" r:id="rId350" display="https://vicharkrantibooks.org/productdetail?book_name=HINP1047_YUG_NIRMAN_YOJANA_EK_PARICHAY_xxyyyy&amp;product_id=1612" xr:uid="{00000000-0004-0000-0100-00005D010000}"/>
    <hyperlink ref="CD359" r:id="rId351" display="https://vicharkrantibooks.org/productdetail?book_name=HINP1067_YUGRUSHI_EVAM_UNAKI_YOJANA_xxyyyy&amp;product_id=1632" xr:uid="{00000000-0004-0000-0100-00005E010000}"/>
    <hyperlink ref="CD360" r:id="rId352" display="https://vicharkrantibooks.org/productdetail?book_name=HINP0516_MANOVIKARON_KA_SHARIR_PAR_PRABHAV_xxyyyy&amp;product_id=1081" xr:uid="{00000000-0004-0000-0100-00005F010000}"/>
    <hyperlink ref="CD361" r:id="rId353" display="https://vicharkrantibooks.org/productdetail?book_name=HINP0420_KAMAVASANA_MEIN_SHARIR_KI_URJA_NASHT_NA_KAREN_xxyyyy&amp;product_id=985" xr:uid="{00000000-0004-0000-0100-000060010000}"/>
    <hyperlink ref="CD362" r:id="rId354" display="https://vicharkrantibooks.org/productdetail?book_name=HINP0192_CHHIDRANVESHI_NAHI_GUNAGRAHAK_BANEN_xx1982&amp;product_id=757" xr:uid="{00000000-0004-0000-0100-000061010000}"/>
    <hyperlink ref="CD363" r:id="rId355" display="https://vicharkrantibooks.org/productdetail?book_name=GUJP0960_VICHARKRANTI_JA_EKMATRA_UPCHAR_XXYYYY&amp;product_id=3769" xr:uid="{00000000-0004-0000-0100-000062010000}"/>
    <hyperlink ref="CD364" r:id="rId356" display="https://vicharkrantibooks.org/productdetail?book_name=GUJP0525_MANUSHY_MARG_BHULELO_DEVATA_XXYYYY&amp;product_id=3787" xr:uid="{00000000-0004-0000-0100-000063010000}"/>
    <hyperlink ref="CD365" r:id="rId357" display="https://vicharkrantibooks.org/productdetail?book_name=GUJP0334_APANI_ANTARCHETANA_JA_SACHI_GAYATRI_XXYYYY&amp;product_id=3796" xr:uid="{00000000-0004-0000-0100-000064010000}"/>
    <hyperlink ref="CD366" r:id="rId358" display="https://vicharkrantibooks.org/productdetail?book_name=GUJP0495_MANASIK_SAMATULA_JALAVI_RAKHO_XXYYYY&amp;product_id=3929" xr:uid="{00000000-0004-0000-0100-000065010000}"/>
    <hyperlink ref="CD367" r:id="rId359" display="https://vicharkrantibooks.org/productdetail?book_name=GUJP0424_KARMAKANDMA_CHHUPAYELU_VYAKTITV_NIRMANANU_SHIKSHAN_XXYYYY&amp;product_id=3763" xr:uid="{00000000-0004-0000-0100-000066010000}"/>
    <hyperlink ref="CD368" r:id="rId360" display="https://vicharkrantibooks.org/productdetail?product_id=3800" xr:uid="{00000000-0004-0000-0100-000067010000}"/>
    <hyperlink ref="CD369" r:id="rId361" display="https://vicharkrantibooks.org/productdetail?product_id=303" xr:uid="{00000000-0004-0000-0100-000068010000}"/>
    <hyperlink ref="CD370" r:id="rId362" display="https://vicharkrantibooks.org/productdetail?book_name=HINP1030_YUG_AVATAR_PRAGYAVATAR_xx1982&amp;product_id=1595" xr:uid="{00000000-0004-0000-0100-000069010000}"/>
    <hyperlink ref="CD371" r:id="rId363" display="https://vicharkrantibooks.org/productdetail?product_id=3751" xr:uid="{00000000-0004-0000-0100-00006A010000}"/>
    <hyperlink ref="CD372" r:id="rId364" display="https://vicharkrantibooks.org/productdetail?book_name=HINP0804_SANYUKT_PARIWAR_KA_ADHAR_SNEH_AUR_SAHAKAR_xx1981&amp;product_id=1369" xr:uid="{00000000-0004-0000-0100-00006B010000}"/>
    <hyperlink ref="CD373" r:id="rId365" display="https://vicharkrantibooks.org/productdetail?book_name=HINF0310_VANASPATIYAN_UGAYEN_AMRUTOPAM_LABH_UTHAYEN_xxyyyy&amp;product_id=530" xr:uid="{00000000-0004-0000-0100-00006C010000}"/>
    <hyperlink ref="CD374" r:id="rId366" display="https://vicharkrantibooks.org/productdetail?product_id=355" xr:uid="{00000000-0004-0000-0100-00006D010000}"/>
    <hyperlink ref="CD375" r:id="rId367" display="https://vicharkrantibooks.org/productdetail?book_name=GUJP0644_PATRATA_VIKASIT_KARO_BHAGAVANANE_MELAVO_XXYYYY&amp;product_id=3736" xr:uid="{00000000-0004-0000-0100-00006E010000}"/>
    <hyperlink ref="CD376" r:id="rId368" display="https://vicharkrantibooks.org/productdetail?book_name=GUJP0251_DHYANANU_DARSHANIK_PASU_XXYYYY&amp;product_id=3749" xr:uid="{00000000-0004-0000-0100-00006F010000}"/>
    <hyperlink ref="CD377" r:id="rId369" display="https://vicharkrantibooks.org/productdetail?book_name=GUJP0177_VAVAVA_LANAVANO_APHAR_SIDDHANT_XXYYYY&amp;product_id=3741" xr:uid="{00000000-0004-0000-0100-000070010000}"/>
    <hyperlink ref="CD378" r:id="rId370" display="https://vicharkrantibooks.org/productdetail?book_name=GUJP0401_JIVANT_VIBHUTIO_PASE_BHAVABHARI_APEKSHAO_XXYYYY&amp;product_id=3734" xr:uid="{00000000-0004-0000-0100-000071010000}"/>
    <hyperlink ref="CD379" r:id="rId371" display="https://vicharkrantibooks.org/productdetail?book_name=ENGP0069_FIGHT_YOUR_WEAKNESSES_BE_STRONG_xxyyyy&amp;product_id=3512" xr:uid="{00000000-0004-0000-0100-000072010000}"/>
    <hyperlink ref="CD380" r:id="rId372" display="https://vicharkrantibooks.org/productdetail?book_name=HINP0235_DHARM_KA_UDDESHY_VYAKTI_KA_PARISHKAR_xx1982&amp;product_id=800" xr:uid="{00000000-0004-0000-0100-000073010000}"/>
    <hyperlink ref="CD381" r:id="rId373" display="https://vicharkrantibooks.org/productdetail?book_name=GUJP0789_SANSKRUTINO_VAIBHAV_PHARI_PACHHO_AVASHE_XXYYYY&amp;product_id=3735" xr:uid="{00000000-0004-0000-0100-000074010000}"/>
    <hyperlink ref="CD382" r:id="rId374" display="https://vicharkrantibooks.org/productdetail?book_name=GUJP0393_JIVAN_SADHANA_KARO_DEVATA_BAO_XXYYYY&amp;product_id=3780" xr:uid="{00000000-0004-0000-0100-000075010000}"/>
    <hyperlink ref="CD383" r:id="rId375" display="https://vicharkrantibooks.org/productdetail?book_name=GUJP0305_GHAR_EK_TAPOVAN_KUTUMB_EK_PRAYOGSHALA_XXYYYY&amp;product_id=3789" xr:uid="{00000000-0004-0000-0100-000076010000}"/>
    <hyperlink ref="CD384" r:id="rId376" display="https://vicharkrantibooks.org/productdetail?book_name=HINP0463_MAHAKAL_KA_CHAKR_AUR_SANDHI_BELA_xxyyyy&amp;product_id=1028" xr:uid="{00000000-0004-0000-0100-000077010000}"/>
    <hyperlink ref="CD385" r:id="rId377" display="https://vicharkrantibooks.org/productdetail?book_name=GUJP0244_DHARMATANTRANO_PARISHKAR_ATYANT_JARURI_XXYYYY&amp;product_id=3733" xr:uid="{00000000-0004-0000-0100-000078010000}"/>
    <hyperlink ref="CD386" r:id="rId378" display="https://vicharkrantibooks.org/productdetail?book_name=GUJP0243_DHARMATANTRANO_DURUPAYOG_ATKAVO_XXYYYY&amp;product_id=3732" xr:uid="{00000000-0004-0000-0100-000079010000}"/>
    <hyperlink ref="CD387" r:id="rId379" display="https://vicharkrantibooks.org/productdetail?book_name=GUJP1059_YUGRUSHINI_AMARVANI_BHAG_1_XXYYYY&amp;product_id=3980" xr:uid="{00000000-0004-0000-0100-00007A010000}"/>
    <hyperlink ref="CD388" r:id="rId380" display="https://vicharkrantibooks.org/productdetail?book_name=GUJP1039_YUG_NIRMAN_PARIVARANA_SABHYO_AA_RITE_VICHARE_XXYYYY&amp;product_id=3909" xr:uid="{00000000-0004-0000-0100-00007B010000}"/>
    <hyperlink ref="CD389" r:id="rId381" display="https://vicharkrantibooks.org/productdetail?book_name=HINF0261_SHABDVIDHYA_CHAMATKARON_SE_BHARI_EK_ADBHUT_SHAKTI_xxyyyy&amp;product_id=481" xr:uid="{00000000-0004-0000-0100-00007C010000}"/>
    <hyperlink ref="CD390" r:id="rId382" display="https://vicharkrantibooks.org/productdetail?book_name=GUJP0771_SAMAYANA_PADAKARANE_APANE_SVIKARIYE_XXYYYY&amp;product_id=3919" xr:uid="{00000000-0004-0000-0100-00007D010000}"/>
    <hyperlink ref="CD391" r:id="rId383" display="https://vicharkrantibooks.org/productdetail?book_name=GUJP1056_YUG_PARIVARTANMA_GNANYAGNANI_BHUMIKA_XXYYYY&amp;product_id=3730" xr:uid="{00000000-0004-0000-0100-00007E010000}"/>
    <hyperlink ref="CD392" r:id="rId384" display="https://vicharkrantibooks.org/productdetail?book_name=HINP0639_PARIWARON_MEIN_BHAV_SAMVEDANAEN_JIVANT_RAHEN_xx1981&amp;product_id=1204" xr:uid="{00000000-0004-0000-0100-00007F010000}"/>
    <hyperlink ref="CD393" r:id="rId385" display="https://vicharkrantibooks.org/productdetail?book_name=HINF0048_ATMAGYAN_KA_TATVADARSHAN_xxyyyy&amp;product_id=268" xr:uid="{00000000-0004-0000-0100-000080010000}"/>
    <hyperlink ref="CD394" r:id="rId386" display="https://vicharkrantibooks.org/productdetail?book_name=MRTP0521_MANTR_NAVHE_UCHCHARAN_1st2013&amp;product_id=4358" xr:uid="{00000000-0004-0000-0100-000081010000}"/>
    <hyperlink ref="CD395" r:id="rId387" display="https://vicharkrantibooks.org/productdetail?book_name=HINP0670_PRASANNATA_APANE_BHITAR_SE_UGAIYE_xx1978&amp;product_id=1235" xr:uid="{00000000-0004-0000-0100-000082010000}"/>
    <hyperlink ref="CD396" r:id="rId388" display="https://vicharkrantibooks.org/productdetail?book_name=HINF0002_ACHINTY_CHINTAN_SE_MANOBAL_NA_GAVAYEN_xxyyyy&amp;product_id=222" xr:uid="{00000000-0004-0000-0100-000083010000}"/>
    <hyperlink ref="CD397" r:id="rId389" display="https://vicharkrantibooks.org/productdetail?book_name=GUJP0070_APATTIKALNU_ADHYATM_XXYYYY&amp;product_id=3726" xr:uid="{00000000-0004-0000-0100-000084010000}"/>
    <hyperlink ref="CD398" r:id="rId390" display="https://vicharkrantibooks.org/productdetail?book_name=GUJP0527_MANUSHYANA_MULYANKANANO_ADHAR_ADHYATMIKATA_XXYYYY&amp;product_id=3758" xr:uid="{00000000-0004-0000-0100-000085010000}"/>
    <hyperlink ref="CD399" r:id="rId391" display="https://vicharkrantibooks.org/productdetail?book_name=GUJP0849_SHIKSHAN_VYAVASTHA_KEVI_HOY_XXYYYY&amp;product_id=3745" xr:uid="{00000000-0004-0000-0100-000086010000}"/>
    <hyperlink ref="CD400" r:id="rId392" display="https://vicharkrantibooks.org/productdetail?book_name=GUJP0345_HARIYALI_PHELAVO_XXYYYY&amp;product_id=3964" xr:uid="{00000000-0004-0000-0100-000087010000}"/>
    <hyperlink ref="CD401" r:id="rId393" display="https://vicharkrantibooks.org/productdetail?book_name=HINP0487_MAN_KI_SHANTI_xxyyyy&amp;product_id=1052" xr:uid="{00000000-0004-0000-0100-000088010000}"/>
    <hyperlink ref="CD402" r:id="rId394" display="http://literature.awgp.org/book/Lose_Not_Your_Heart/v5" xr:uid="{00000000-0004-0000-0100-000089010000}"/>
    <hyperlink ref="CD403" r:id="rId395" display="https://vicharkrantibooks.org/productdetail?book_name=MRTP0676_PRATIBHA_SANVARDHANACHE_VIGYAN_SAMMAT_PRAYOG_XXYYYY&amp;product_id=4355" xr:uid="{00000000-0004-0000-0100-00008A010000}"/>
    <hyperlink ref="CD404" r:id="rId396" display="https://vicharkrantibooks.org/productdetail?book_name=ENGP0069_FIGHT_YOUR_WEAKNESSES_BE_STRONG_xxyyyy&amp;product_id=3512" xr:uid="{00000000-0004-0000-0100-00008B010000}"/>
    <hyperlink ref="CD405" r:id="rId397" display="https://vicharkrantibooks.org/productdetail?book_name=HINP0648_PRABHU_SAMARPIT_JIVAN_xxyyyy&amp;product_id=1213" xr:uid="{00000000-0004-0000-0100-00008C010000}"/>
    <hyperlink ref="CD406" r:id="rId398" display="https://vicharkrantibooks.org/productdetail?book_name=GUJP0298_GAYATRI_UPASANA_KEM_ANE_SHA_MATE_XXYYYY&amp;product_id=3956" xr:uid="{00000000-0004-0000-0100-00008D010000}"/>
    <hyperlink ref="CD407" r:id="rId399" display="https://vicharkrantibooks.org/productdetail?book_name=GUJP0521_MANTRANA_NAME_MATRA_UCHCHARAN_XXYYYY&amp;product_id=3765" xr:uid="{00000000-0004-0000-0100-00008E010000}"/>
    <hyperlink ref="CD408" r:id="rId400" display="https://vicharkrantibooks.org/productdetail?book_name=GUJP0775_SAMBHVAMI_YUGE_YUGE_XXYYYY&amp;product_id=3818" xr:uid="{00000000-0004-0000-0100-00008F010000}"/>
    <hyperlink ref="CD409" r:id="rId401" display="https://vicharkrantibooks.org/productdetail?book_name=HINP0675_PRATIBHA_PARISHKAR_BANAM_YUG_PARIVARTAN_xxyyyy&amp;product_id=1240" xr:uid="{00000000-0004-0000-0100-000090010000}"/>
    <hyperlink ref="CD410" r:id="rId402" display="https://vicharkrantibooks.org/productdetail?book_name=HINF0120_IKKISAVI_SADI_MANAVIY_BUDDHI_KO_CHUNAUTI_xxyyyy&amp;product_id=340" xr:uid="{00000000-0004-0000-0100-000091010000}"/>
    <hyperlink ref="CD411" r:id="rId403" display="https://vicharkrantibooks.org/productdetail?book_name=HINF0118_IKKISAVI_SADI_BANAM_UJJAVAL_BHAVISHY_1st1988&amp;product_id=338" xr:uid="{00000000-0004-0000-0100-000092010000}"/>
    <hyperlink ref="CD412" r:id="rId404" display="https://vicharkrantibooks.org/productdetail?book_name=HINP1050_YUG_PARIVARTAN_ISLAMIK_DRUSHTIKON_xx2013&amp;product_id=1615" xr:uid="{00000000-0004-0000-0100-000093010000}"/>
    <hyperlink ref="CD413" r:id="rId405" display="https://vicharkrantibooks.org/productdetail?book_name=ENGP0609_OBSERVE_AND_ENFORCE_IN_LIFE_xxyyyy&amp;product_id=3509" xr:uid="{00000000-0004-0000-0100-000094010000}"/>
    <hyperlink ref="CD414" r:id="rId406" display="https://vicharkrantibooks.org/productdetail?book_name=GUJP1068_YUGRUSHINI_JANMASHATABDI_XXYYYY&amp;product_id=3978" xr:uid="{00000000-0004-0000-0100-000095010000}"/>
    <hyperlink ref="CD415" r:id="rId407" display="https://vicharkrantibooks.org/productdetail?book_name=HINP0324_GYANADAN_IS_YUG_KA_SABASE_BADA_PAROPAKAR_xxyyyy&amp;product_id=889" xr:uid="{00000000-0004-0000-0100-000096010000}"/>
    <hyperlink ref="CD416" r:id="rId408" display="https://vicharkrantibooks.org/productdetail?book_name=ENGP0584_NO_OTHER_WAY_EXCEPT_WOMEN_EVOLUTION_xxyyyy&amp;product_id=3501" xr:uid="{00000000-0004-0000-0100-000097010000}"/>
    <hyperlink ref="CD417" r:id="rId409" display="https://vicharkrantibooks.org/productdetail?book_name=HINP0791_SANSKRUTI_KI_SITA_KO_VAPAS_LAEN_xx2011&amp;product_id=1356" xr:uid="{00000000-0004-0000-0100-000098010000}"/>
    <hyperlink ref="CD418" r:id="rId410" display="https://vicharkrantibooks.org/productdetail?book_name=HINP0270_EKAGRATA_KA_ARTH_STHIRATA_NAHIN_TANMAYATA_xx1979&amp;product_id=835" xr:uid="{00000000-0004-0000-0100-000099010000}"/>
    <hyperlink ref="CD419" r:id="rId411" display="https://vicharkrantibooks.org/productdetail?book_name=HINP0431_KATHINAIYAN_VYAKTITV_KO_PRAKHAR_BANATI_HAI_xx1978&amp;product_id=996" xr:uid="{00000000-0004-0000-0100-00009A010000}"/>
    <hyperlink ref="CD420" r:id="rId412" display="https://vicharkrantibooks.org/productdetail?book_name=MRTP0810_SAPHALATECHI_JANANI_SANKALP_SHAKTI_XXYYYY&amp;product_id=4346" xr:uid="{00000000-0004-0000-0100-00009B010000}"/>
    <hyperlink ref="CD422" r:id="rId413" display="https://vicharkrantibooks.org/productdetail?book_name=HINP0421_KAPADE_KAISE_PAHANE_xxyyyy&amp;product_id=986" xr:uid="{00000000-0004-0000-0100-00009C010000}"/>
    <hyperlink ref="CD423" r:id="rId414" display="https://vicharkrantibooks.org/productdetail?book_name=HINP0413_KAM_KRIDA_NA_BANANE_PAYE_xx1982&amp;product_id=978" xr:uid="{00000000-0004-0000-0100-00009D010000}"/>
    <hyperlink ref="CD424" r:id="rId415" display="https://vicharkrantibooks.org/productdetail?book_name=ENGP0968_ASSIGN_YOUR_GOALS_IN_STUDENT_LIFE_xxyyyy&amp;product_id=3507" xr:uid="{00000000-0004-0000-0100-00009E010000}"/>
    <hyperlink ref="CD425" r:id="rId416" display="https://vicharkrantibooks.org/productdetail?book_name=HINP0020_ADHYATM_URJA_KE_PRAKATIKARAN_KI_SADHANA_xx1981&amp;product_id=585" xr:uid="{00000000-0004-0000-0100-00009F010000}"/>
    <hyperlink ref="CD427" r:id="rId417" display="https://vicharkrantibooks.org/productdetail?book_name=HINP0716_RUSHI_CHINTAN_KE_SANIDHYA_MEIN_05_(POCKET)_xxyyyy&amp;product_id=1281" xr:uid="{00000000-0004-0000-0100-0000A0010000}"/>
    <hyperlink ref="CD428" r:id="rId418" display="https://vicharkrantibooks.org/productdetail?book_name=GUJP0117_AVATARANI_ANDHI_DISHA_BADALI_NAKHE_CHHE_XXYYYY&amp;product_id=3819" xr:uid="{00000000-0004-0000-0100-0000A1010000}"/>
    <hyperlink ref="CD429" r:id="rId419" display="https://vicharkrantibooks.org/productdetail?book_name=HINF0260_SHABD_EK_PRACHAND_URJA_SHAKTI_KA_BHANDAR_xxyyyy&amp;product_id=480" xr:uid="{00000000-0004-0000-0100-0000A2010000}"/>
    <hyperlink ref="CD430" r:id="rId420" display="https://vicharkrantibooks.org/productdetail?book_name=HINP0919_ULLAS_KI_AKANKSHA_KUMARGAGAMI_NA_BANE_xx1981&amp;product_id=1484" xr:uid="{00000000-0004-0000-0100-0000A3010000}"/>
    <hyperlink ref="CD431" r:id="rId421" display="https://vicharkrantibooks.org/productdetail?book_name=HINP0956_VIBHUTIYAN_APANA_DAYITV_NIBHAEN_xxyyyy&amp;product_id=1521" xr:uid="{00000000-0004-0000-0100-0000A4010000}"/>
    <hyperlink ref="CD432" r:id="rId422" display="https://vicharkrantibooks.org/productdetail?book_name=HINP0789_SANSKRUTI_KA_VHAIBHAV_PUNAH_LAUTEGA_xx2011&amp;product_id=1354" xr:uid="{00000000-0004-0000-0100-0000A5010000}"/>
    <hyperlink ref="CD433" r:id="rId423" display="https://vicharkrantibooks.org/productdetail?book_name=HINP0322_GYAN_SARVASHRESHTH_VIBHUTI_xxyyyy&amp;product_id=887" xr:uid="{00000000-0004-0000-0100-0000A6010000}"/>
    <hyperlink ref="CD434" r:id="rId424" display="https://vicharkrantibooks.org/productdetail?book_name=HINP1015_VYASANON_KE_PISHACH_SE_BACHEN_xxyyyy&amp;product_id=1580" xr:uid="{00000000-0004-0000-0100-0000A7010000}"/>
    <hyperlink ref="CD435" r:id="rId425" display="https://vicharkrantibooks.org/productdetail?book_name=HINP0395_JIVAN_SADHANA_KI_URJA_RASHAMIYAN_xxyyyy&amp;product_id=960" xr:uid="{00000000-0004-0000-0100-0000A8010000}"/>
    <hyperlink ref="CD436" r:id="rId426" display="https://vicharkrantibooks.org/productdetail?book_name=HINP0320_GYAN_KA_PRAKASH_GHAR_GHAR_PAHUNCHAYA_JAE_xxyyyy&amp;product_id=885" xr:uid="{00000000-0004-0000-0100-0000A9010000}"/>
    <hyperlink ref="CD437" r:id="rId427" display="https://vicharkrantibooks.org/productdetail?book_name=HINP0465_MAHAKAL_KA_GHONSALA_SHANTIKUNJ_xxyyyy&amp;product_id=1030" xr:uid="{00000000-0004-0000-0100-0000AA010000}"/>
    <hyperlink ref="CD438" r:id="rId428" display="https://vicharkrantibooks.org/productdetail?book_name=HINP0595_NAVAYUG_KE_DO_ADHAR_ADHYATM_AUR_VIGYAN_xx1978&amp;product_id=1160" xr:uid="{00000000-0004-0000-0100-0000AB010000}"/>
    <hyperlink ref="CD439" r:id="rId429" display="https://vicharkrantibooks.org/productdetail?book_name=HINP0276_GAYATRI_ANUSHTHAN_AUR_USAKA_VIDHI_VIDHAN_xx1978&amp;product_id=841" xr:uid="{00000000-0004-0000-0100-0000AC010000}"/>
    <hyperlink ref="CD440" r:id="rId430" display="https://vicharkrantibooks.org/productdetail?book_name=HINP0514_MANOBHAVON_KA_SWASTHY_PAR_PRABHAV_xxyyyy&amp;product_id=1079" xr:uid="{00000000-0004-0000-0100-0000AD010000}"/>
    <hyperlink ref="CD441" r:id="rId431" location="nav-details" display="https://vicharkrantibooks.org/productdetail?book_name=HINP0066_APANE_KO_PAHACHANE_xxyyyy&amp;product_id=631 - nav-details" xr:uid="{00000000-0004-0000-0100-0000AE010000}"/>
    <hyperlink ref="CD442" r:id="rId432" display="https://vicharkrantibooks.org/productdetail?book_name=HINF0046_ATM_SHAKTI_KA_PARISHKAR_HI_NAVAYUG_KA_MUL_ADHAR_xxyyyy&amp;product_id=266" xr:uid="{00000000-0004-0000-0100-0000AF010000}"/>
    <hyperlink ref="CD443" r:id="rId433" display="https://vicharkrantibooks.org/productdetail?book_name=ENGP0069_FIGHT_YOUR_WEAKNESSES_BE_STRONG_xxyyyy&amp;product_id=3512" xr:uid="{00000000-0004-0000-0100-0000B0010000}"/>
    <hyperlink ref="CD444" r:id="rId434" display="https://vicharkrantibooks.org/productdetail?book_name=HINP0393_JIVAN_SADHANA_KAREN_DEVATA_BANEN_xx2011&amp;product_id=958" xr:uid="{00000000-0004-0000-0100-0000B1010000}"/>
    <hyperlink ref="CD445" r:id="rId435" display="https://vicharkrantibooks.org/productdetail?book_name=HINP0209_DESHABHAKT_RASHTR_KE_NAVANIRMAN_MEIN_JUTEN_xxyyyy&amp;product_id=774" xr:uid="{00000000-0004-0000-0100-0000B2010000}"/>
    <hyperlink ref="CD447" r:id="rId436" display="https://vicharkrantibooks.org/productdetail?book_name=HINP0973_VIGYAN_KA_SAHAYOGI_ADHISTHATA_HAI_ADHYATM_xx1982&amp;product_id=1538" xr:uid="{00000000-0004-0000-0100-0000B3010000}"/>
    <hyperlink ref="CD448" r:id="rId437" display="https://vicharkrantibooks.org/productdetail?book_name=HINP0466_MAHAKAL_KA_SANDESH_JAAGRUT_ATMAON_KE_NAM_xxyyyy&amp;product_id=1031" xr:uid="{00000000-0004-0000-0100-0000B4010000}"/>
    <hyperlink ref="CD449" r:id="rId438" display="https://vicharkrantibooks.org/productdetail?book_name=HINP0136_BHAGAVAN_BUDDH_KA_UTTARARDDH_PRAGYAVATAR_(POCKET)_xxyyyy&amp;product_id=701" xr:uid="{00000000-0004-0000-0100-0000B5010000}"/>
    <hyperlink ref="CD450" r:id="rId439" display="https://vicharkrantibooks.org/productdetail?book_name=HINP0611_PANA_HAI_TO_DENA_SIKHO_xx2011&amp;product_id=1176" xr:uid="{00000000-0004-0000-0100-0000B6010000}"/>
    <hyperlink ref="CD451" r:id="rId440" display="https://vicharkrantibooks.org/productdetail?book_name=ENGP1015_RENOUNCE_THE_DEMONIAC_ADDICTION_xxyyyy&amp;product_id=3506" xr:uid="{00000000-0004-0000-0100-0000B7010000}"/>
    <hyperlink ref="CD452" r:id="rId441" display="https://vicharkrantibooks.org/productdetail?book_name=HINF0049_ATMANIRMAN_JIVAN_KA_PRATHAM_SOPAN_xxyyyy&amp;product_id=269" xr:uid="{00000000-0004-0000-0100-0000B8010000}"/>
    <hyperlink ref="CD453" r:id="rId442" display="https://vicharkrantibooks.org/productdetail?book_name=HINF0047_ATM_VISMRUTI_KI_YAH_STHITI_KAB_TAK_RAHEGI_xxyyyy&amp;product_id=267" xr:uid="{00000000-0004-0000-0100-0000B9010000}"/>
    <hyperlink ref="CD454" r:id="rId443" display="https://vicharkrantibooks.org/productdetail?book_name=HINP0562_NARI_KA_GAURAVASHALI_ATIT_UJJAVAL_BHAVISHY_xxyyyy&amp;product_id=1127" xr:uid="{00000000-0004-0000-0100-0000BA010000}"/>
    <hyperlink ref="CD455" r:id="rId444" display="https://vicharkrantibooks.org/productdetail?book_name=HINP0637_PARIWARIK_ACHAR_SANHITA_KI_AVASHYAKATA_xxyyyy&amp;product_id=1202" xr:uid="{00000000-0004-0000-0100-0000BB010000}"/>
    <hyperlink ref="CD456" r:id="rId445" display="https://vicharkrantibooks.org/productdetail?book_name=HINP1079_YOG_PRASUPT_KI_JAGRUTI_KA_UCHCHASTARIY_VIGYAN_xxyyyy&amp;product_id=1644" xr:uid="{00000000-0004-0000-0100-0000BC010000}"/>
    <hyperlink ref="CD457" r:id="rId446" display="https://vicharkrantibooks.org/productdetail?book_name=HINP1117_MAHAKAL_KI_BHAVISHYAVANI_xxyyyy&amp;product_id=1682" xr:uid="{00000000-0004-0000-0100-0000BD010000}"/>
    <hyperlink ref="CD458" r:id="rId447" display="https://vicharkrantibooks.org/productdetail?book_name=HINP0817_SARVATR_PUJY_MATRUSHAKTI_xxyyyy&amp;product_id=1382" xr:uid="{00000000-0004-0000-0100-0000BE010000}"/>
    <hyperlink ref="CD459" r:id="rId448" display="https://vicharkrantibooks.org/productdetail?book_name=HINP1014_VYASAN_VINASH_KA_SOPAN_xxyyyy&amp;product_id=1579" xr:uid="{00000000-0004-0000-0100-0000BF010000}"/>
    <hyperlink ref="CD460" r:id="rId449" display="https://vicharkrantibooks.org/productdetail?book_name=ENGP0605_STEER_THE_LIFE_FOR_DEFINITE_REWARDS_xxyyyy&amp;product_id=3513" xr:uid="{00000000-0004-0000-0100-0000C0010000}"/>
    <hyperlink ref="CD461" r:id="rId450" display="https://vicharkrantibooks.org/productdetail?book_name=ENGP0733_INCREASE_YOUR_MERITS_AND_OBSERVE_CIVILITY_xxyyyy&amp;product_id=3511" xr:uid="{00000000-0004-0000-0100-0000C1010000}"/>
    <hyperlink ref="CD462" r:id="rId451" display="https://vicharkrantibooks.org/productdetail?book_name=HINP0486_MAN_KI_NIRMALATA_AUR_SHARIRIK_SWASTHY_KA_ATUT_SAMBANDH_xx1982&amp;product_id=1051" xr:uid="{00000000-0004-0000-0100-0000C2010000}"/>
    <hyperlink ref="CD463" r:id="rId452" display="https://vicharkrantibooks.org/productdetail?book_name=HINP0850_SHIKSHAK_APANA_DAYITV_SAMAJHEN_xxyyyy&amp;product_id=1415" xr:uid="{00000000-0004-0000-0100-0000C3010000}"/>
    <hyperlink ref="CD464" r:id="rId453" display="https://vicharkrantibooks.org/productdetail?book_name=HINP0696_RAJANITI_MEIN_HAMARI_BHUMIKA_xx2011&amp;product_id=1261" xr:uid="{00000000-0004-0000-0100-0000C4010000}"/>
    <hyperlink ref="CD465" r:id="rId454" display="https://vicharkrantibooks.org/productdetail?book_name=ENGP0605_STEER_THE_LIFE_FOR_DEFINITE_REWARDS_xxyyyy&amp;product_id=3513" xr:uid="{00000000-0004-0000-0100-0000C5010000}"/>
    <hyperlink ref="CD466" r:id="rId455" display="https://vicharkrantibooks.org/productdetail?book_name=HINP0354_IKKISAVI_SADI_KI_DAINIK_SADHANA_xxyyyy&amp;product_id=919" xr:uid="{00000000-0004-0000-0100-0000C6010000}"/>
    <hyperlink ref="CD467" r:id="rId456" display="https://vicharkrantibooks.org/productdetail?book_name=HINP0722_RUSHI_CHINTAN_KE_SANIDHYA_MEIN_11_(POCKET)_xxyyyy&amp;product_id=1287" xr:uid="{00000000-0004-0000-0100-0000C7010000}"/>
    <hyperlink ref="CD468" r:id="rId457" display="https://vicharkrantibooks.org/productdetail?book_name=HINP0632_PARIWAR_MEIN_DHARMIK_VATAVARAN_BANAEN_xx1982&amp;product_id=1197" xr:uid="{00000000-0004-0000-0100-0000C8010000}"/>
    <hyperlink ref="CD469" r:id="rId458" display="https://vicharkrantibooks.org/productdetail?book_name=HINP0555_NARI_HAR_KSHETR_MEIN_AGE_BADHEN_xxyyyy&amp;product_id=1120" xr:uid="{00000000-0004-0000-0100-0000C9010000}"/>
    <hyperlink ref="CD470" r:id="rId459" display="https://vicharkrantibooks.org/productdetail?book_name=HINP0885_SVAYAM_KO_UNCHA_UTHAEN_VYAKTITVAVAN_BANEN_xx2011&amp;product_id=1450" xr:uid="{00000000-0004-0000-0100-0000CA010000}"/>
    <hyperlink ref="CD471" r:id="rId460" display="https://vicharkrantibooks.org/productdetail?book_name=HINP1070_YUN_HOIE_SAPHAL_xxyyyy&amp;product_id=1635" xr:uid="{00000000-0004-0000-0100-0000CB010000}"/>
    <hyperlink ref="CD472" r:id="rId461" display="https://vicharkrantibooks.org/productdetail?book_name=HINP1072_YUVA_SHAKTI_NAVASRUJAN_MEIN_LAGE_xxyyyy&amp;product_id=1637" xr:uid="{00000000-0004-0000-0100-0000CC010000}"/>
    <hyperlink ref="CD473" r:id="rId462" display="https://vicharkrantibooks.org/productdetail?book_name=HINP0004_ADARSH_KO_VYAVAHAR_MEIN_UTAREN_YAHI_SACHCHI_LOK_SEVA_HAI_xx1981&amp;product_id=569" xr:uid="{00000000-0004-0000-0100-0000CD010000}"/>
    <hyperlink ref="CD474" r:id="rId463" display="https://vicharkrantibooks.org/productdetail?book_name=HINP0352_HUM_IMAN_SIKHATE_HAIN_xx2011&amp;product_id=917" xr:uid="{00000000-0004-0000-0100-0000CE010000}"/>
    <hyperlink ref="CD475" r:id="rId464" display="https://vicharkrantibooks.org/productdetail?book_name=HINP0671_PRASANNATA_HAR_PARISTHITI_MEIN_SAMBHAV_xx1982&amp;product_id=1236" xr:uid="{00000000-0004-0000-0100-0000CF010000}"/>
    <hyperlink ref="CD476" r:id="rId465" display="https://vicharkrantibooks.org/productdetail?book_name=HINF0044_ATM_BODH_SE_DEVATTV_KI_PRAPTI_xxyyyy&amp;product_id=264" xr:uid="{00000000-0004-0000-0100-0000D0010000}"/>
    <hyperlink ref="CD477" r:id="rId466" display="https://vicharkrantibooks.org/productdetail?book_name=HINP0740_SADHANA_MEIN_VATAVARAN_AUR_SHRADDHA_KI_MAHATTA_xx2011&amp;product_id=1305" xr:uid="{00000000-0004-0000-0100-0000D1010000}"/>
    <hyperlink ref="CD478" r:id="rId467" display="https://vicharkrantibooks.org/productdetail?book_name=HINP1115_TAPASHCHARYA_JIVAN_KO_KHARA_SONA_BANATI_HAIN_xx1979&amp;product_id=1680" xr:uid="{00000000-0004-0000-0100-0000D2010000}"/>
    <hyperlink ref="CD479" r:id="rId468" display="https://vicharkrantibooks.org/productdetail?book_name=HINP0043_ANITI_EVAM_ANACHAR_MANAVI_PAURUS_KO_EK_CHUNAUTI_xx1981&amp;product_id=608" xr:uid="{00000000-0004-0000-0100-0000D3010000}"/>
    <hyperlink ref="CD480" r:id="rId469" display="https://vicharkrantibooks.org/productdetail?book_name=HINP0721_RUSHI_CHINTAN_KE_SANIDHYA_MEIN_10_(POCKET)_xxyyyy&amp;product_id=1286" xr:uid="{00000000-0004-0000-0100-0000D4010000}"/>
    <hyperlink ref="CD481" r:id="rId470" display="https://vicharkrantibooks.org/productdetail?book_name=HINP0986_VISHVAVARA_DEV_SANSKRUTI_xx2011&amp;product_id=1551" xr:uid="{00000000-0004-0000-0100-0000D5010000}"/>
    <hyperlink ref="CD482" r:id="rId471" display="https://vicharkrantibooks.org/productdetail?book_name=HINF0275_SUKSHM_SHARIR_KI_PRATIBHA_PRAKHARATA_KA_NIKHAR_xxyyyy&amp;product_id=495" xr:uid="{00000000-0004-0000-0100-0000D6010000}"/>
    <hyperlink ref="CD483" r:id="rId472" display="https://vicharkrantibooks.org/productdetail?book_name=HINP0163_BHAVISHY_VAKTAON_KA_KATHAN_NAVAYUG_KA_AGAMAN_xx1981&amp;product_id=728" xr:uid="{00000000-0004-0000-0100-0000D7010000}"/>
    <hyperlink ref="CD484" r:id="rId473" display="https://vicharkrantibooks.org/productdetail?book_name=HINP1077_SAMAJ_AUR_VYAVHAR_DARSHAN_xxyyyy&amp;product_id=1642" xr:uid="{00000000-0004-0000-0100-0000D8010000}"/>
    <hyperlink ref="CD485" r:id="rId474" display="https://vicharkrantibooks.org/productdetail?book_name=HINP1008_VYAKTITV_NIRMAN_KA_PRARAMBHIK_CHARAN_KISHORAVASTHA_xx1981&amp;product_id=1573" xr:uid="{00000000-0004-0000-0100-0000D9010000}"/>
    <hyperlink ref="CD486" r:id="rId475" display="https://vicharkrantibooks.org/productdetail?book_name=HINP0490_MANAHSTHITI_KA_BHOJAN_PAR_PRABHAV_xxyyyy&amp;product_id=1055" xr:uid="{00000000-0004-0000-0100-0000DA010000}"/>
    <hyperlink ref="CD487" r:id="rId476" display="https://vicharkrantibooks.org/productdetail?book_name=HINP0382_JATIL_KHADY_SAMASYA_KA_KUCHH_SARAL_SAMADHAN_xx1982&amp;product_id=947" xr:uid="{00000000-0004-0000-0100-0000DB010000}"/>
    <hyperlink ref="CD488" r:id="rId477" display="https://vicharkrantibooks.org/productdetail?book_name=ENGP0676_SCIENTIFIC_APPROACH_TO_TALENT_GROWTH_xxyyyy&amp;product_id=3515" xr:uid="{00000000-0004-0000-0100-0000DC010000}"/>
    <hyperlink ref="CD489" r:id="rId478" display="https://vicharkrantibooks.org/productdetail?book_name=HINP0675_PRATIBHA_PARISHKAR_BANAM_YUG_PARIVARTAN_xxyyyy&amp;product_id=1240" xr:uid="{00000000-0004-0000-0100-0000DD010000}"/>
    <hyperlink ref="CD490" r:id="rId479" display="https://vicharkrantibooks.org/productdetail?book_name=HINF0025_AJIVIKA_KE_STROT_DEHAT_MEIN_KHOJEN_xxyyyy&amp;product_id=245" xr:uid="{00000000-0004-0000-0100-0000DE010000}"/>
    <hyperlink ref="CD491" r:id="rId480" display="https://vicharkrantibooks.org/productdetail?book_name=ENGP0810_DETERMINATION_PAVES_THE_WAY_TO_SUCCESS_xxyyyy&amp;product_id=3508" xr:uid="{00000000-0004-0000-0100-0000DF010000}"/>
    <hyperlink ref="CD492" r:id="rId481" display="https://vicharkrantibooks.org/productdetail?book_name=HINP0031_AHANKAR_CHHODEN_VINAMR_BANEN_xxyyyy&amp;product_id=596" xr:uid="{00000000-0004-0000-0100-0000E0010000}"/>
    <hyperlink ref="CD493" r:id="rId482" display="https://vicharkrantibooks.org/productdetail?book_name=HINF0002_ACHINTY_CHINTAN_SE_MANOBAL_NA_GAVAYEN_xxyyyy&amp;product_id=222" xr:uid="{00000000-0004-0000-0100-0000E1010000}"/>
    <hyperlink ref="CD494" r:id="rId483" display="https://vicharkrantibooks.org/productdetail?book_name=HINP0136_BHAGAVAN_BUDDH_KA_UTTARARDDH_PRAGYAVATAR_(POCKET)_xxyyyy&amp;product_id=701" xr:uid="{00000000-0004-0000-0100-0000E2010000}"/>
    <hyperlink ref="CD495" r:id="rId484" display="https://vicharkrantibooks.org/productdetail?book_name=HINF0027_ANTARAGRAHIY_PARISTHITIYON_KE_PARYAVEKSHAN_KI_VEDHASHALA_xxyyyy&amp;product_id=247" xr:uid="{00000000-0004-0000-0100-0000E3010000}"/>
    <hyperlink ref="CD496" r:id="rId485" display="https://vicharkrantibooks.org/productdetail?book_name=HINF0309_VAK%E2%80%8C_SHAKTI_EVAM_MANTR_SIDDHI_xxyyyy&amp;product_id=529" xr:uid="{00000000-0004-0000-0100-0000E4010000}"/>
    <hyperlink ref="CD497" r:id="rId486" display="https://vicharkrantibooks.org/productdetail?book_name=HINP0512_MANISHI_EVAM_RUSHI_KE_RUP_MEIN_HAMARI_PAROKSH_BHUMIKA_xxyyyy&amp;product_id=1077" xr:uid="{00000000-0004-0000-0100-0000E5010000}"/>
    <hyperlink ref="CD498" r:id="rId487" display="https://vicharkrantibooks.org/productdetail?book_name=HINP0542_MURDHANYO_JAGO_xxyyyy&amp;product_id=1107" xr:uid="{00000000-0004-0000-0100-0000E6010000}"/>
    <hyperlink ref="CD499" r:id="rId488" display="https://vicharkrantibooks.org/productdetail?book_name=HINP0749_SAHASTITV_KA_NAISARGIK_NIYAM_xx1982&amp;product_id=1314" xr:uid="{00000000-0004-0000-0100-0000E7010000}"/>
    <hyperlink ref="CD500" r:id="rId489" display="https://vicharkrantibooks.org/productdetail?book_name=HINP0720_RUSHI_CHINTAN_KE_SANIDHYA_MEIN_09_(POCKET)_xxyyyy&amp;product_id=1285" xr:uid="{00000000-0004-0000-0100-0000E8010000}"/>
    <hyperlink ref="CD501" r:id="rId490" display="https://vicharkrantibooks.org/productdetail?book_name=HINP1079_YOG_PRASUPT_KI_JAGRUTI_KA_UCHCHASTARIY_VIGYAN_xxyyyy&amp;product_id=1644" xr:uid="{00000000-0004-0000-0100-0000E9010000}"/>
    <hyperlink ref="CD502" r:id="rId491" display="https://vicharkrantibooks.org/productdetail?book_name=HINP1075_JANATA_KE_SUPRIM_COURT_MAIN_SAMASYAON_KE_SAMADHAN_KI_GUHAR_Re2015&amp;product_id=1640" xr:uid="{00000000-0004-0000-0100-0000EA010000}"/>
    <hyperlink ref="CD503" r:id="rId492" display="https://vicharkrantibooks.org/productdetail?book_name=HINP0589_NARI_VIVEKASHIL_BANE_KURITIYAN_MITAEN_xxyyyy&amp;product_id=1154" xr:uid="{00000000-0004-0000-0100-0000EB010000}"/>
    <hyperlink ref="CD504" r:id="rId493" display="https://vicharkrantibooks.org/productdetail?book_name=HINP0904_TAPASHCHARYA_KA_TATVADARSHAN_xx1981&amp;product_id=1469" xr:uid="{00000000-0004-0000-0100-0000EC010000}"/>
    <hyperlink ref="CD505" r:id="rId494" display="https://vicharkrantibooks.org/productdetail?book_name=HINP0737_SADHANA_KI_SAPHALATA_xxyyyy&amp;product_id=1302" xr:uid="{00000000-0004-0000-0100-0000ED010000}"/>
    <hyperlink ref="CD506" r:id="rId495" display="https://vicharkrantibooks.org/productdetail?book_name=HINP0982_VISHESHAGYON_KI_RAY_MEIN_DHUMRAPAN_SE_HANIYAN_xxyyyy&amp;product_id=1547" xr:uid="{00000000-0004-0000-0100-0000EE010000}"/>
    <hyperlink ref="CD507" r:id="rId496" display="https://vicharkrantibooks.org/productdetail?book_name=HINF0007_ADHYATM_AUR_VIGYAN_KE_SAMANVAY_KI_SHODH_PRAKRIYA_xxyyyy&amp;product_id=227" xr:uid="{00000000-0004-0000-0100-0000EF010000}"/>
    <hyperlink ref="CD508" r:id="rId497" display="https://vicharkrantibooks.org/productdetail?book_name=HINP0730_SACHCHA_ADHYATM_AKHIR_HAI_KYA_xx2011&amp;product_id=1295" xr:uid="{00000000-0004-0000-0100-0000F0010000}"/>
    <hyperlink ref="CD509" r:id="rId498" display="https://vicharkrantibooks.org/productdetail?book_name=HINP0707_ROGON_KA_KARAN_AUR_NIVARAN_xxyyyy&amp;product_id=1272" xr:uid="{00000000-0004-0000-0100-0000F1010000}"/>
    <hyperlink ref="CD510" r:id="rId499" display="https://vicharkrantibooks.org/productdetail?book_name=HINP1020_YAGYAGNI_HAMARI_PUROHIT_xx2011&amp;product_id=1585" xr:uid="{00000000-0004-0000-0100-0000F2010000}"/>
    <hyperlink ref="CD511" r:id="rId500" display="https://vicharkrantibooks.org/productdetail?book_name=HINF0036_ASANTULAN_KO_MITANE_VALI_AVTAR_PRAKRIYA_KA_AVIRBHAV_SANNIKAT_xxyyyy&amp;product_id=256" xr:uid="{00000000-0004-0000-0100-0000F3010000}"/>
    <hyperlink ref="CD512" r:id="rId501" display="https://vicharkrantibooks.org/productdetail?book_name=ENGP0968_ASSIGN_YOUR_GOALS_IN_STUDENT_LIFE_xxyyyy&amp;product_id=3507" xr:uid="{00000000-0004-0000-0100-0000F4010000}"/>
    <hyperlink ref="CD513" r:id="rId502" display="https://vicharkrantibooks.org/productdetail?book_name=HINP0340_HAR_GHAR_BANE_DEV_MANDIR_AUR_GYAN_MANDIR_xx2011&amp;product_id=905" xr:uid="{00000000-0004-0000-0100-0000F5010000}"/>
    <hyperlink ref="CD514" r:id="rId503" display="https://vicharkrantibooks.org/productdetail?book_name=HINF0030_ANU_MEIN_VIBHU_LAGHU_MEIN_MAHAN_xxyyyy&amp;product_id=250" xr:uid="{00000000-0004-0000-0100-0000F6010000}"/>
    <hyperlink ref="CD515" r:id="rId504" display="https://vicharkrantibooks.org/productdetail?book_name=HINP0010_ADHYATM_ARTHAT%E2%80%8C_UTKRUSHT_CHINTAN_ADARSH_KARTUTV_xx1982&amp;product_id=575" xr:uid="{00000000-0004-0000-0100-0000F7010000}"/>
    <hyperlink ref="CD516" r:id="rId505" display="https://vicharkrantibooks.org/productdetail?book_name=HINP0307_GOMUTR_GOMAY_ADHARIT_KUTIR_UDHYOG_xxyyyy&amp;product_id=872" xr:uid="{00000000-0004-0000-0100-0000F8010000}"/>
    <hyperlink ref="CD517" r:id="rId506" display="https://vicharkrantibooks.org/productdetail?book_name=HINP0698_RAM_KA_NAM_HI_NAHIN_KAM_BHI_xx2011&amp;product_id=1263" xr:uid="{00000000-0004-0000-0100-0000F9010000}"/>
    <hyperlink ref="CD518" r:id="rId507" display="https://vicharkrantibooks.org/productdetail?book_name=HINP0480_MAHILA_JAGARAN_KI_KAMAN_PRABUDDH_NARI_SANBHALEN_xxyyyy&amp;product_id=1045" xr:uid="{00000000-0004-0000-0100-0000FA010000}"/>
    <hyperlink ref="CD519" r:id="rId508" display="https://vicharkrantibooks.org/productdetail?book_name=HINF0174_MANTRON_ME_NIHIT_SHAKTI_EVAM_USAKI_JAGRUTI_xxyyyy&amp;product_id=394" xr:uid="{00000000-0004-0000-0100-0000FB010000}"/>
    <hyperlink ref="CD520" r:id="rId509" display="https://vicharkrantibooks.org/productdetail?book_name=HINP0306_GOBAR_MEIN_LAKSHMI_KA_NIVAS_xxyyyy&amp;product_id=871" xr:uid="{00000000-0004-0000-0100-0000FC010000}"/>
    <hyperlink ref="CD521" r:id="rId510" display="https://vicharkrantibooks.org/productdetail?book_name=HINP0827_SEVA_MANUSHY_KA_AVASHYAK_DHARM_KRUTY_xxyyyy&amp;product_id=1392" xr:uid="{00000000-0004-0000-0100-0000FD010000}"/>
    <hyperlink ref="CD522" r:id="rId511" display="https://vicharkrantibooks.org/productdetail?book_name=HINP0835_SHAKTI_KE_BHANDAR_SE_SVAYAM_KO_JODEN_xx2011&amp;product_id=1400" xr:uid="{00000000-0004-0000-0100-0000FE010000}"/>
    <hyperlink ref="CD523" r:id="rId512" display="https://vicharkrantibooks.org/productdetail?book_name=HINP0457_LOK_SEVA_KI_PRAVRUTTIYON_KE_KENDR_HON_MANDIR_xx2011&amp;product_id=1022" xr:uid="{00000000-0004-0000-0100-0000FF010000}"/>
    <hyperlink ref="CD524" r:id="rId513" display="https://vicharkrantibooks.org/productdetail?book_name=HINP0719_RUSHI_CHINTAN_KE_SANIDHYA_MEIN_08_(POCKET)_xxyyyy&amp;product_id=1284" xr:uid="{00000000-0004-0000-0100-000000020000}"/>
    <hyperlink ref="CD525" r:id="rId514" display="https://vicharkrantibooks.org/productdetail?book_name=HINP0395_JIVAN_SADHANA_KI_URJA_RASHAMIYAN_xxyyyy&amp;product_id=960" xr:uid="{00000000-0004-0000-0100-000001020000}"/>
    <hyperlink ref="CD526" r:id="rId515" display="https://vicharkrantibooks.org/productdetail?book_name=HINF0072_BHAV_CHETANA_KO_PRABHAVIT_KAREN_AISI_VIDHA_KI_KHOJ_HO_xxyyyy&amp;product_id=292" xr:uid="{00000000-0004-0000-0100-000002020000}"/>
    <hyperlink ref="CD527" r:id="rId516" display="https://vicharkrantibooks.org/productdetail?book_name=HINP0522_MANTR_VIGYAN_xxyyyy&amp;product_id=1087" xr:uid="{00000000-0004-0000-0100-000003020000}"/>
    <hyperlink ref="CD528" r:id="rId517" display="https://vicharkrantibooks.org/productdetail?book_name=HINP0056_APANA_MULYANKAN_BHI_KARATE_RAHEN_xxyyyy&amp;product_id=621" xr:uid="{00000000-0004-0000-0100-000004020000}"/>
    <hyperlink ref="CD529" r:id="rId518" display="https://vicharkrantibooks.org/productdetail?book_name=HINP0474_MAHAKRANTI_KA_SHANKHANAD_xxyyyy&amp;product_id=1039" xr:uid="{00000000-0004-0000-0100-000005020000}"/>
    <hyperlink ref="CD530" r:id="rId519" display="https://vicharkrantibooks.org/productdetail?book_name=HINP0411_KAISE_HOGA_SAMANVAY_VIGYAN_AUR_ADHYATM_KA_xx2011&amp;product_id=976" xr:uid="{00000000-0004-0000-0100-000006020000}"/>
    <hyperlink ref="CD531" r:id="rId520" display="https://vicharkrantibooks.org/productdetail?book_name=HINP0718_RUSHI_CHINTAN_KE_SANIDHYA_MEIN_07_(POCKET)_xxyyyy&amp;product_id=1283" xr:uid="{00000000-0004-0000-0100-000007020000}"/>
    <hyperlink ref="CD532" r:id="rId521" display="https://vicharkrantibooks.org/productdetail?book_name=HINP0917_UD%E2%80%8CDESHYON_KO_UNCHA_RAKHIE_xxyyyy&amp;product_id=1482" xr:uid="{00000000-0004-0000-0100-000008020000}"/>
    <hyperlink ref="CD533" r:id="rId522" display="https://vicharkrantibooks.org/productdetail?book_name=HINP0733_SADGUN_BADHAEN_SHISHTACHAR_APANAE_xxyyyy&amp;product_id=1298" xr:uid="{00000000-0004-0000-0100-000009020000}"/>
    <hyperlink ref="CD534" r:id="rId523" display="https://vicharkrantibooks.org/productdetail?product_id=296" xr:uid="{00000000-0004-0000-0100-00000A020000}"/>
    <hyperlink ref="CD535" r:id="rId524" display="https://vicharkrantibooks.org/productdetail?book_name=HINP0806_SAPHAL_JIVAN_KI_DISHADHARA_(POCKET)_xxyyyy&amp;product_id=1371" xr:uid="{00000000-0004-0000-0100-00000B020000}"/>
    <hyperlink ref="CD536" r:id="rId525" display="https://vicharkrantibooks.org/productdetail?book_name=HINP0882_SUVYAVASTHIT_JIVAN_KA_MANOVIGYAN_xxyyyy&amp;product_id=1447" xr:uid="{00000000-0004-0000-0100-00000C020000}"/>
    <hyperlink ref="CD537" r:id="rId526" display="https://vicharkrantibooks.org/productdetail?product_id=443" xr:uid="{00000000-0004-0000-0100-00000D020000}"/>
    <hyperlink ref="CD538" r:id="rId527" display="https://vicharkrantibooks.org/productdetail?book_name=ENGP0609_OBSERVE_AND_ENFORCE_IN_LIFE_xxyyyy&amp;product_id=3509" xr:uid="{00000000-0004-0000-0100-00000E020000}"/>
    <hyperlink ref="CD539" r:id="rId528" display="https://vicharkrantibooks.org/productdetail?book_name=HINP0608_OJAS_TEJAS_AUR_VARCHAS_KE_JAGARAN_KI_SADHANA_xx1981&amp;product_id=1173" xr:uid="{00000000-0004-0000-0100-00000F020000}"/>
    <hyperlink ref="CD540" r:id="rId529" display="https://vicharkrantibooks.org/productdetail?book_name=HINP0172_BINA_AUSHADHIYON_KE_ROG_NIVRUTTI_xxyyyy&amp;product_id=737" xr:uid="{00000000-0004-0000-0100-000010020000}"/>
    <hyperlink ref="CD541" r:id="rId530" display="https://vicharkrantibooks.org/productdetail?book_name=HINP0527_MANUSHY_KE_MULYANKAN_KA_ADHAR_ADHYATMIKATA_xx2011&amp;product_id=1092" xr:uid="{00000000-0004-0000-0100-000011020000}"/>
    <hyperlink ref="CD542" r:id="rId531" display="https://vicharkrantibooks.org/productdetail?product_id=510" xr:uid="{00000000-0004-0000-0100-000012020000}"/>
    <hyperlink ref="CD543" r:id="rId532" display="https://vicharkrantibooks.org/productdetail?book_name=HINP1117_MAHAKAL_KI_BHAVISHYAVANI_xxyyyy&amp;product_id=1682" xr:uid="{00000000-0004-0000-0100-000013020000}"/>
    <hyperlink ref="CD544" r:id="rId533" display="https://vicharkrantibooks.org/productdetail?book_name=ENGP0733_INCREASE_YOUR_MERITS_AND_OBSERVE_CIVILITY_xxyyyy&amp;product_id=3511" xr:uid="{00000000-0004-0000-0100-000014020000}"/>
    <hyperlink ref="CD545" r:id="rId534" display="https://vicharkrantibooks.org/productdetail?book_name=HINP0646_PHALAHAR_SWASTHY_RAKSHAK_xxyyyy&amp;product_id=1211" xr:uid="{00000000-0004-0000-0100-000015020000}"/>
    <hyperlink ref="CD546" r:id="rId535" display="https://vicharkrantibooks.org/productdetail?book_name=HINP0075_ASHLILATA_HAMEN_PATIT_BANA_RAHI_HAI_xxyyyy&amp;product_id=640" xr:uid="{00000000-0004-0000-0100-000016020000}"/>
    <hyperlink ref="CD547" r:id="rId536" display="https://vicharkrantibooks.org/productdetail?book_name=HINP0547_NAMO_VEDAMATA_NAMO_VISHVAMATA_xxyyyy&amp;product_id=1112" xr:uid="{00000000-0004-0000-0100-000017020000}"/>
    <hyperlink ref="CD548" r:id="rId537" display="https://vicharkrantibooks.org/productdetail?book_name=HINP1075_JANATA_KE_SUPRIM_COURT_MAIN_SAMASYAON_KE_SAMADHAN_KI_GUHAR_Re2015&amp;product_id=1640" xr:uid="{00000000-0004-0000-0100-000018020000}"/>
    <hyperlink ref="CD549" r:id="rId538" display="https://vicharkrantibooks.org/productdetail?book_name=HINP0574_NARI_PRAGATI_KI_ANIVARY_AVASHYAKATA_KYON_xxyyyy&amp;product_id=1139" xr:uid="{00000000-0004-0000-0100-000019020000}"/>
    <hyperlink ref="CD550" r:id="rId539" display="https://vicharkrantibooks.org/productdetail?book_name=HINP0960_VICHAR_KRANTI_HI_EKMATR_UPACHAR_xx2011&amp;product_id=1525" xr:uid="{00000000-0004-0000-0100-00001A020000}"/>
    <hyperlink ref="CD551" r:id="rId540" display="https://vicharkrantibooks.org/productdetail?book_name=HINF0043_ATINDRIY_SAMARTHY_EVAM_PARABRAHM_KI_VIDHI_VYAVASTHA_xxyyyy&amp;product_id=263" xr:uid="{00000000-0004-0000-0100-00001B020000}"/>
    <hyperlink ref="CD552" r:id="rId541" display="https://vicharkrantibooks.org/productdetail?book_name=HINP0164_BHAY_MARAK_HAI_SAHAS_PARAKRAM_SANJIVANI_xxyyyy&amp;product_id=729" xr:uid="{00000000-0004-0000-0100-00001C020000}"/>
    <hyperlink ref="CD553" r:id="rId542" display="https://vicharkrantibooks.org/productdetail?book_name=HINF0019_AGYA_CHAKR_JAGAYEN_DIVY_DRUSHTI_PAYE_xxyyyy&amp;product_id=239" xr:uid="{00000000-0004-0000-0100-00001D020000}"/>
    <hyperlink ref="CD554" r:id="rId543" display="https://vicharkrantibooks.org/productdetail?book_name=HINP1010_VYAKTITV_KI_PURNATA_xxyyyy&amp;product_id=1575" xr:uid="{00000000-0004-0000-0100-00001E020000}"/>
    <hyperlink ref="CD556" r:id="rId544" display="https://vicharkrantibooks.org/productdetail?book_name=HINP0663_PRAN_SHAKTI_AKUT_URJA_KA_STROT_xxyyyy&amp;product_id=1228" xr:uid="{00000000-0004-0000-0100-00001F020000}"/>
    <hyperlink ref="CD557" r:id="rId545" display="https://vicharkrantibooks.org/productdetail?book_name=HINF0045_ATM_CHETANA_KI_JAGRUTI_KA_GYAN_VIGYAN_xxyyyy&amp;product_id=265" xr:uid="{00000000-0004-0000-0100-000020020000}"/>
    <hyperlink ref="CD558" r:id="rId546" display="https://vicharkrantibooks.org/productdetail?book_name=ENGP0605_STEER_THE_LIFE_FOR_DEFINITE_REWARDS_xxyyyy&amp;product_id=3513" xr:uid="{00000000-0004-0000-0100-000021020000}"/>
    <hyperlink ref="CD559" r:id="rId547" display="https://vicharkrantibooks.org/productdetail?book_name=HINF0286_SWARG_AUR_NARAK_HMARI_APANI_KARANI_KE_HI_PHAL_xxyyyy&amp;product_id=506" xr:uid="{00000000-0004-0000-0100-000022020000}"/>
    <hyperlink ref="CD560" r:id="rId548" display="https://vicharkrantibooks.org/productdetail?book_name=HINP0327_GYANAYOG_KARMAYOG_BHAKTIYOG_KI_SADHANA_xxyyyy&amp;product_id=892" xr:uid="{00000000-0004-0000-0100-000023020000}"/>
    <hyperlink ref="CD561" r:id="rId549" display="https://vicharkrantibooks.org/productdetail?book_name=HINP0477_MAHASHAKTI_GAYATRI_Re2012&amp;product_id=1042" xr:uid="{00000000-0004-0000-0100-000024020000}"/>
    <hyperlink ref="CD562" r:id="rId550" display="https://vicharkrantibooks.org/productdetail?book_name=HINP1076_VIVAH_KYA_UNMAD_HAI_xxyyyy&amp;product_id=1641" xr:uid="{00000000-0004-0000-0100-000025020000}"/>
    <hyperlink ref="CD563" r:id="rId551" display="https://vicharkrantibooks.org/productdetail?product_id=368" xr:uid="{00000000-0004-0000-0100-000026020000}"/>
    <hyperlink ref="CD564" r:id="rId552" display="https://vicharkrantibooks.org/productdetail?book_name=HINP1109_GYANAYOG_KARMAYOG_BHAKTIYOG_xx1979&amp;product_id=1674" xr:uid="{00000000-0004-0000-0100-000027020000}"/>
    <hyperlink ref="CD565" r:id="rId553" display="https://vicharkrantibooks.org/productdetail?book_name=HINP0499_MANAV_CHETANA_MEIN_PRAN_CHETANA_KA_KAMAL_xxyyyy&amp;product_id=1064" xr:uid="{00000000-0004-0000-0100-000028020000}"/>
    <hyperlink ref="CD566" r:id="rId554" display="https://vicharkrantibooks.org/productdetail?book_name=HINP0971_VIGYAN_DHARM_KA_VIRODHI_NAHI_HO_SAKATA_xx1981&amp;product_id=1536" xr:uid="{00000000-0004-0000-0100-000029020000}"/>
    <hyperlink ref="CD567" r:id="rId555" display="https://vicharkrantibooks.org/productdetail?book_name=HINP0810_SAPHALATA_KI_JANANI_SANKALP_SHAKTI_xxyyyy&amp;product_id=1375" xr:uid="{00000000-0004-0000-0100-00002A020000}"/>
    <hyperlink ref="CD568" r:id="rId556" display="https://vicharkrantibooks.org/productdetail?book_name=HINP0341_HAR_SUBAH_NAYA_JANM_HAR_RAT_NAYI_MAUT_xx2011&amp;product_id=906" xr:uid="{00000000-0004-0000-0100-00002B020000}"/>
    <hyperlink ref="CD569" r:id="rId557" display="https://vicharkrantibooks.org/productdetail?book_name=HINP0042_ANITI_ASURATA_KE_ANYAY_KO_ROKEN_xxyyyy&amp;product_id=607" xr:uid="{00000000-0004-0000-0100-00002C020000}"/>
    <hyperlink ref="CD570" r:id="rId558" display="https://vicharkrantibooks.org/productdetail?book_name=HINP0291_GAYATRI_SADHANA_KI_UPALABDHIYAN_xx2011&amp;product_id=856" xr:uid="{00000000-0004-0000-0100-00002D020000}"/>
    <hyperlink ref="CD571" r:id="rId559" display="https://vicharkrantibooks.org/productdetail?book_name=HINP0258_DUGDHAHAR_SARVOPAM_xxyyyy&amp;product_id=823" xr:uid="{00000000-0004-0000-0100-00002E020000}"/>
    <hyperlink ref="CD572" r:id="rId560" display="https://vicharkrantibooks.org/productdetail?book_name=HINP0673_PRASANNATA_KI_PARASAMANI_NA_GANVAE_xxyyyy&amp;product_id=1238" xr:uid="{00000000-0004-0000-0100-00002F020000}"/>
    <hyperlink ref="CD573" r:id="rId561" display="https://vicharkrantibooks.org/productdetail?book_name=HINP0659_PRAKRUTI_KE_PRAVAH_MEIN_BADHAK_NA_BANEN_xxyyyy&amp;product_id=1224" xr:uid="{00000000-0004-0000-0100-000030020000}"/>
    <hyperlink ref="CD574" r:id="rId562" display="https://vicharkrantibooks.org/productdetail?book_name=HINP0921_THREE_TRAITS_AND_FOUR_STEPS_TO_PROGRESS_xxyyyy&amp;product_id=3510" xr:uid="{00000000-0004-0000-0100-000031020000}"/>
    <hyperlink ref="CD575" r:id="rId563" display="https://vicharkrantibooks.org/productdetail?book_name=HINP0055_APANA_APA_KITANA_MAHAN_KITANA_SAMARTH_xx1982&amp;product_id=620" xr:uid="{00000000-0004-0000-0100-000032020000}"/>
    <hyperlink ref="CD576" r:id="rId564" display="https://vicharkrantibooks.org/productdetail?book_name=HINP0599_NIKRUSHT_JIVAN_NA_JIYEN_xx1979&amp;product_id=1164" xr:uid="{00000000-0004-0000-0100-000033020000}"/>
    <hyperlink ref="CD577" r:id="rId565" display="https://vicharkrantibooks.org/productdetail?book_name=HINP0160_BHAVI_MAHABHARAT_(POCKET)_xxyyyy&amp;product_id=725" xr:uid="{00000000-0004-0000-0100-000034020000}"/>
    <hyperlink ref="CD578" r:id="rId566" display="https://vicharkrantibooks.org/productdetail?book_name=HINP0525_MANUSHY_EK_BHATAKA_HUA_DEVATA_xx2011&amp;product_id=1090" xr:uid="{00000000-0004-0000-0100-000035020000}"/>
    <hyperlink ref="CD579" r:id="rId567" display="https://vicharkrantibooks.org/productdetail?book_name=HINF0016_ADHYATMIK_VIGYAN_KI_BHI_PRAGATI_HO_xxyyyy&amp;product_id=236" xr:uid="{00000000-0004-0000-0100-000036020000}"/>
    <hyperlink ref="CD580" r:id="rId568" display="https://vicharkrantibooks.org/productdetail?book_name=HINP0653_PRAGATI_SHANTI_AUR_PRASANNATA_xx1981&amp;product_id=1218" xr:uid="{00000000-0004-0000-0100-000037020000}"/>
    <hyperlink ref="CD581" r:id="rId569" display="https://vicharkrantibooks.org/productdetail?book_name=HINP0205_DAVAEN_KHATE_JAEN_ROG_BADHATE_JAEN_YAH_KAHAN_TAK_%E2%80%8B%E2%80%8BUCHIT_HAI_xx1982&amp;product_id=770" xr:uid="{00000000-0004-0000-0100-000038020000}"/>
    <hyperlink ref="CD582" r:id="rId570" display="https://vicharkrantibooks.org/productdetail?book_name=HINP0814_SARVANASHI_MADYAPAN_xxyyyy&amp;product_id=1379" xr:uid="{00000000-0004-0000-0100-000039020000}"/>
    <hyperlink ref="CD583" r:id="rId571" display="https://vicharkrantibooks.org/productdetail?book_name=HINP0466_MAHAKAL_KA_SANDESH_JAAGRUT_ATMAON_KE_NAM_xxyyyy&amp;product_id=1031" xr:uid="{00000000-0004-0000-0100-00003A020000}"/>
    <hyperlink ref="CD584" r:id="rId572" display="https://vicharkrantibooks.org/productdetail?book_name=HINP1019_YAGY_KA_GYAN_AUR_VIGYAN_xx2011&amp;product_id=1584" xr:uid="{00000000-0004-0000-0100-00003B020000}"/>
    <hyperlink ref="CD585" r:id="rId573" display="https://vicharkrantibooks.org/productdetail?book_name=HINF0008_ADHYATM_HI_ANAGADH_VIGYAN_KO_SUGADH_BANA_SAKATA_HAI_xxyyyy&amp;product_id=228" xr:uid="{00000000-0004-0000-0100-00003C020000}"/>
    <hyperlink ref="CD586" r:id="rId574" display="https://vicharkrantibooks.org/productdetail?book_name=HINP0323_GYAN_YOG_KI_SADHANA_xxyyyy&amp;product_id=888" xr:uid="{00000000-0004-0000-0100-00003D020000}"/>
    <hyperlink ref="CD587" r:id="rId575" display="https://vicharkrantibooks.org/productdetail?book_name=HINP0970_VIGYAN_AUR_ADHYATM_PARASPAR_PURAK_BANE_xx1982&amp;product_id=1535" xr:uid="{00000000-0004-0000-0100-00003E020000}"/>
    <hyperlink ref="CD588" r:id="rId576" display="https://vicharkrantibooks.org/productdetail?book_name=HINP0697_RAM_KA_CHARITR_HAMARA_PRERANA_STROT_xx2011&amp;product_id=1262" xr:uid="{00000000-0004-0000-0100-00003F020000}"/>
    <hyperlink ref="CD589" r:id="rId577" display="https://vicharkrantibooks.org/productdetail?book_name=HINP0177_BOYA_KATA_KA_AKATY_SIDDHANT_xx2011&amp;product_id=742" xr:uid="{00000000-0004-0000-0100-000040020000}"/>
    <hyperlink ref="CD590" r:id="rId578" display="https://vicharkrantibooks.org/productdetail?book_name=HINP1034_YUG_KE_DEVATA_KI_APIL_ANASUNI_NA_KEREN_xx2011&amp;product_id=1599" xr:uid="{00000000-0004-0000-0100-000041020000}"/>
    <hyperlink ref="CD591" r:id="rId579" display="https://vicharkrantibooks.org/productdetail?book_name=HINP0681_PRATIK_UPASANA_EVAM_DEVADHIDEV_ATMADEV_KI_SADHANA_xxyyyy&amp;product_id=1246" xr:uid="{00000000-0004-0000-0100-000042020000}"/>
    <hyperlink ref="CD592" r:id="rId580" display="https://vicharkrantibooks.org/productdetail?book_name=HINP0003_AB_TO_SAMBHALE_xxyyyy&amp;product_id=568" xr:uid="{00000000-0004-0000-0100-000043020000}"/>
    <hyperlink ref="CD593" r:id="rId581" display="https://vicharkrantibooks.org/productdetail?book_name=HINP0433_KAYAKALP_xxyyyy&amp;product_id=998" xr:uid="{00000000-0004-0000-0100-000044020000}"/>
    <hyperlink ref="CD594" r:id="rId582" display="https://vicharkrantibooks.org/productdetail?book_name=HINP0426_KARMAPHAL_KA_BHOG_ANIVARY_xxyyyy&amp;product_id=991" xr:uid="{00000000-0004-0000-0100-000045020000}"/>
    <hyperlink ref="CD595" r:id="rId583" display="https://vicharkrantibooks.org/productdetail?book_name=HINP0608_OJAS_TEJAS_AUR_VARCHAS_KE_JAGARAN_KI_SADHANA_xx1981&amp;product_id=1173" xr:uid="{00000000-0004-0000-0100-000046020000}"/>
    <hyperlink ref="CD596" r:id="rId584" display="https://vicharkrantibooks.org/productdetail?book_name=HINP0393_JIVAN_SADHANA_KAREN_DEVATA_BANEN_xx2011&amp;product_id=958" xr:uid="{00000000-0004-0000-0100-000047020000}"/>
    <hyperlink ref="CD597" r:id="rId585" display="https://vicharkrantibooks.org/productdetail?book_name=HINP0395_JIVAN_SADHANA_KI_URJA_RASHAMIYAN_xxyyyy&amp;product_id=960" xr:uid="{00000000-0004-0000-0100-000048020000}"/>
    <hyperlink ref="CD598" r:id="rId586" display="https://vicharkrantibooks.org/productdetail?book_name=HINP0523_MANUJ_DEVATA_BANE_xx2011&amp;product_id=1088" xr:uid="{00000000-0004-0000-0100-000049020000}"/>
    <hyperlink ref="CD599" r:id="rId587" display="https://vicharkrantibooks.org/productdetail?book_name=HINP0678_PRATIBHAON_KA_NIYOJAN_NAVANIRMAN_MEIN_xxyyyy&amp;product_id=1243" xr:uid="{00000000-0004-0000-0100-00004A020000}"/>
    <hyperlink ref="CD600" r:id="rId588" display="https://vicharkrantibooks.org/productdetail?book_name=HINP0305_GHAR_EK_TAPOVAN_PARIWAR_EK_PRAYOGASHALA_xx2011&amp;product_id=870" xr:uid="{00000000-0004-0000-0100-00004B020000}"/>
    <hyperlink ref="CD601" r:id="rId589" display="https://vicharkrantibooks.org/productdetail?book_name=HINP0456_LOG_NASHA_KYON_KARATE_HAIN_xxyyyy&amp;product_id=1021" xr:uid="{00000000-0004-0000-0100-00004C020000}"/>
    <hyperlink ref="CD602" r:id="rId590" display="https://vicharkrantibooks.org/productdetail?book_name=HINP0018_ADHYATM_KO_JIVANT_BANAEN_xx2011&amp;product_id=583" xr:uid="{00000000-0004-0000-0100-00004D020000}"/>
    <hyperlink ref="CD603" r:id="rId591" display="https://vicharkrantibooks.org/productdetail?book_name=HINP0059_APANE_ANG_AVAYAVON_SE_Re2015&amp;product_id=624" xr:uid="{00000000-0004-0000-0100-00004E020000}"/>
    <hyperlink ref="CD604" r:id="rId592" display="https://vicharkrantibooks.org/productdetail?book_name=HINP0170_BHUT_PALIT_AUR_DEVI_DEVATAON_KA_BHRAM_JANJAL_xxyyyy&amp;product_id=735" xr:uid="{00000000-0004-0000-0100-00004F020000}"/>
    <hyperlink ref="CD605" r:id="rId593" display="https://vicharkrantibooks.org/productdetail?book_name=HINP0934_UTKARSH_KE_LIE_SVAYAM_AGE_BADHEN_xxyyyy&amp;product_id=1499" xr:uid="{00000000-0004-0000-0100-000050020000}"/>
    <hyperlink ref="CD606" r:id="rId594" display="https://vicharkrantibooks.org/productdetail?book_name=HINP0676_PRATIBHA_SANVARDHAN_KE_VIGYAN_SAMMMAT_PRAYOG_xxyyyy&amp;product_id=1241" xr:uid="{00000000-0004-0000-0100-000051020000}"/>
    <hyperlink ref="CD607" r:id="rId595" display="https://vicharkrantibooks.org/productdetail?book_name=HINP0221_DEVATAON_KE_VARADAN_SATPRAVRUTTIYAN_xx2011&amp;product_id=786" xr:uid="{00000000-0004-0000-0100-000052020000}"/>
    <hyperlink ref="CD608" r:id="rId596" display="https://vicharkrantibooks.org/productdetail?book_name=HINP0559_NARI_JAGARAN_KA_SWARUP_EVAM_RUPAREKHA_xxyyyy&amp;product_id=1124" xr:uid="{00000000-0004-0000-0100-000053020000}"/>
    <hyperlink ref="CD609" r:id="rId597" display="https://vicharkrantibooks.org/productdetail?book_name=HINP0562_NARI_KA_GAURAVASHALI_ATIT_UJJAVAL_BHAVISHY_xxyyyy&amp;product_id=1127" xr:uid="{00000000-0004-0000-0100-000054020000}"/>
    <hyperlink ref="CD610" r:id="rId598" display="https://vicharkrantibooks.org/productdetail?book_name=HINP0701_RASHTR_KA_BHAVANATMAK_NAV_NIRMAN_AISE_SAMBHAV_HOGA_xx1982&amp;product_id=1266" xr:uid="{00000000-0004-0000-0100-000055020000}"/>
    <hyperlink ref="CD611" r:id="rId599" display="https://vicharkrantibooks.org/productdetail?book_name=HINP0194_CHINTA_RUPI_CHITA_MEIN_JALAKAR_APANI_KSHAMATAYEN_NASHT_NA_KAREN_xx1982&amp;product_id=759" xr:uid="{00000000-0004-0000-0100-000056020000}"/>
    <hyperlink ref="CD612" r:id="rId600" display="https://vicharkrantibooks.org/productdetail?book_name=HINF0034_APANI_BHAVASAMPADA_JAGAEN_SHREY_PAEN_xxyyyy&amp;product_id=254" xr:uid="{00000000-0004-0000-0100-000057020000}"/>
    <hyperlink ref="CD613" r:id="rId601" display="https://vicharkrantibooks.org/productdetail?book_name=HINP0641_PATAN_NIVARAN_xxyyyy&amp;product_id=1206" xr:uid="{00000000-0004-0000-0100-000058020000}"/>
    <hyperlink ref="CD614" r:id="rId602" display="https://vicharkrantibooks.org/productdetail?book_name=HINP0001_AAO_GADHEN_SANSKARAVAN_PIDHI_(SMALL)_Re2016&amp;product_id=566" xr:uid="{00000000-0004-0000-0100-000059020000}"/>
    <hyperlink ref="CD615" r:id="rId603" display="https://vicharkrantibooks.org/productdetail?book_name=HINP0141_BHAGAVAN_KO_MAT_BAHAKAIYE_xx2011&amp;product_id=706" xr:uid="{00000000-0004-0000-0100-00005A020000}"/>
    <hyperlink ref="CD616" r:id="rId604" display="https://vicharkrantibooks.org/productdetail?product_id=348" xr:uid="{00000000-0004-0000-0100-00005B020000}"/>
    <hyperlink ref="CD617" r:id="rId605" display="https://vicharkrantibooks.org/productdetail?book_name=HINP0100_ATMAVIKAS_KE_LIE_SEVA_SADHANA_ANIVARY_xx1982&amp;product_id=665" xr:uid="{00000000-0004-0000-0100-00005C020000}"/>
    <hyperlink ref="CD618" r:id="rId606" display="https://vicharkrantibooks.org/productdetail?book_name=HINP0462_MADYAPAN_ASAMAY_MRUTYU_KA_KARAN_xxyyyy&amp;product_id=1027" xr:uid="{00000000-0004-0000-0100-00005D020000}"/>
    <hyperlink ref="CD619" r:id="rId607" display="https://vicharkrantibooks.org/productdetail?book_name=HINP0139_BHAGAVAN_KE_ANUDAN_KIN_SHARTO_PAR_xx2011&amp;product_id=704" xr:uid="{00000000-0004-0000-0100-00005E020000}"/>
    <hyperlink ref="CD620" r:id="rId608" display="https://vicharkrantibooks.org/productdetail?book_name=HINP0174_BINA_MOL_APHAT_DURVYASAN_xxyyyy&amp;product_id=739" xr:uid="{00000000-0004-0000-0100-00005F020000}"/>
    <hyperlink ref="CD621" r:id="rId609" display="https://vicharkrantibooks.org/productdetail?book_name=HINF0024_AJ_KI_MAHATI_AVASHYAKATA_LOK_NETRUTV_xxyyyy&amp;product_id=244" xr:uid="{00000000-0004-0000-0100-000060020000}"/>
    <hyperlink ref="CD622" r:id="rId610" display="https://vicharkrantibooks.org/productdetail?book_name=HINP1036_YUG_MANISHA_KA_NIYOJAN_YUG_DHARM_MEIN_xxyyyy&amp;product_id=1601" xr:uid="{00000000-0004-0000-0100-000061020000}"/>
    <hyperlink ref="CD623" r:id="rId611" display="https://vicharkrantibooks.org/productdetail?book_name=HINF0028_ANTARAL_KE_PARISHODHAN_KI_PRAYASHCHIT_PRAKRIYA_xxyyyy&amp;product_id=248" xr:uid="{00000000-0004-0000-0100-000062020000}"/>
    <hyperlink ref="CD624" r:id="rId612" display="https://vicharkrantibooks.org/productdetail?book_name=HINP0140_BHAGAVAN_KI_PUNJI_MEIN_HISSEDAR_BANEN_xx2011&amp;product_id=705" xr:uid="{00000000-0004-0000-0100-000063020000}"/>
    <hyperlink ref="CD625" r:id="rId613" display="https://vicharkrantibooks.org/productdetail?book_name=HINP0921_UNNATI_KE_TIN_GUN_CHAR_CHARAN_xxyyyy&amp;product_id=1486" xr:uid="{00000000-0004-0000-0100-000064020000}"/>
    <hyperlink ref="CD626" r:id="rId614" display="https://vicharkrantibooks.org/productdetail?book_name=HINP0556_NARI_JAGARAN_Re2011&amp;product_id=1121" xr:uid="{00000000-0004-0000-0100-000065020000}"/>
    <hyperlink ref="CD627" r:id="rId615" display="https://vicharkrantibooks.org/productdetail?book_name=HINP0771_SAMAY_KI_CHUNAUTI_HAMEN_SVIKAR_HAI_xxyyyy&amp;product_id=1336" xr:uid="{00000000-0004-0000-0100-000066020000}"/>
    <hyperlink ref="CD628" r:id="rId616" display="https://vicharkrantibooks.org/productdetail?book_name=HINP0026_ADHYATMIKATA_KA_PRAN_SADACHARAN_xx1982&amp;product_id=591" xr:uid="{00000000-0004-0000-0100-000067020000}"/>
    <hyperlink ref="CD629" r:id="rId617" display="https://vicharkrantibooks.org/productdetail?book_name=HINP0142_BHAGAVAN_SHANKAR_KYA_HAI_xx2011&amp;product_id=707" xr:uid="{00000000-0004-0000-0100-000068020000}"/>
    <hyperlink ref="CD630" r:id="rId618" display="https://vicharkrantibooks.org/productdetail?book_name=ENGP0676_SCIENTIFIC_APPROACH_TO_TALENT_GROWTH_xxyyyy&amp;product_id=3515" xr:uid="{00000000-0004-0000-0100-000069020000}"/>
    <hyperlink ref="CD631" r:id="rId619" display="https://vicharkrantibooks.org/productdetail?book_name=ENGP0676_SCIENTIFIC_APPROACH_TO_TALENT_GROWTH_xxyyyy&amp;product_id=3515" xr:uid="{00000000-0004-0000-0100-00006A020000}"/>
    <hyperlink ref="CD632" r:id="rId620" display="https://vicharkrantibooks.org/productdetail?book_name=ENGP0676_SCIENTIFIC_APPROACH_TO_TALENT_GROWTH_xxyyyy&amp;product_id=3515" xr:uid="{00000000-0004-0000-0100-00006B020000}"/>
    <hyperlink ref="CD633" r:id="rId621" display="https://vicharkrantibooks.org/productdetail?book_name=ENGP0069_FIGHT_YOUR_WEAKNESSES_BE_STRONG_xxyyyy&amp;product_id=3512" xr:uid="{00000000-0004-0000-0100-00006C020000}"/>
    <hyperlink ref="CD634" r:id="rId622" display="https://vicharkrantibooks.org/productdetail?product_id=322" xr:uid="{00000000-0004-0000-0100-00006D020000}"/>
    <hyperlink ref="CD635" r:id="rId623" display="https://vicharkrantibooks.org/productdetail?book_name=ENGP0981_DON%E2%80%99T_SCARE_BUT_FIGHT_THE_ADVERSITIES_xxyyyy&amp;product_id=3514" xr:uid="{00000000-0004-0000-0100-00006E020000}"/>
    <hyperlink ref="CD636" r:id="rId624" display="https://vicharkrantibooks.org/productdetail?book_name=HINF0097_EK_VARSH_KI_PRAGYA_PRAVAJYA_KA_VISHESH_AMANTRAN_xxyyyy&amp;product_id=317" xr:uid="{00000000-0004-0000-0100-00006F020000}"/>
    <hyperlink ref="CD637" r:id="rId625" display="https://vicharkrantibooks.org/productdetail?product_id=369" xr:uid="{00000000-0004-0000-0100-000070020000}"/>
    <hyperlink ref="CD638" r:id="rId626" display="https://vicharkrantibooks.org/productdetail?book_name=HINF0311_VASANT_PARV_PAR_MAHAKAL_KA_SANDESH_xxyyyy&amp;product_id=531" xr:uid="{00000000-0004-0000-0100-000071020000}"/>
    <hyperlink ref="CD639" r:id="rId627" display="https://vicharkrantibooks.org/productdetail?book_name=HINP0694_PUSTAKALAY_SACHCHE_DEVALAY_xxyyyy&amp;product_id=1259" xr:uid="{00000000-0004-0000-0100-000072020000}"/>
    <hyperlink ref="CD640" r:id="rId628" display="https://vicharkrantibooks.org/productdetail?book_name=HINF0005_ADHY_SHAKTI_GAYATRI_YUG_SHAKTI_BHI_xxyyyy&amp;product_id=225" xr:uid="{00000000-0004-0000-0100-000073020000}"/>
    <hyperlink ref="CD641" r:id="rId629" display="https://vicharkrantibooks.org/productdetail?book_name=HINF0119_IKKISAVI_SADI_KI_YUG_CHETANA_KA_UDGAM_SHANTIKUNJ_xxyyyy&amp;product_id=339" xr:uid="{00000000-0004-0000-0100-000074020000}"/>
    <hyperlink ref="CD642" r:id="rId630" display="https://vicharkrantibooks.org/productdetail?book_name=HINF0012_ADHYATM_SANSAR_KA_SABASE_LABHAKARAK_VYAPAR_xxyyyy&amp;product_id=232" xr:uid="{00000000-0004-0000-0100-000075020000}"/>
    <hyperlink ref="CD643" r:id="rId631" display="https://vicharkrantibooks.org/productdetail?book_name=ENGP0810_DETERMINATION_PAVES_THE_WAY_TO_SUCCESS_xxyyyy&amp;product_id=3508" xr:uid="{00000000-0004-0000-0100-000076020000}"/>
    <hyperlink ref="CD644" r:id="rId632" display="https://vicharkrantibooks.org/productdetail?product_id=375" xr:uid="{00000000-0004-0000-0100-000077020000}"/>
    <hyperlink ref="CD645" r:id="rId633" display="https://vicharkrantibooks.org/productdetail?book_name=HINF0014_ADHYATM_VIGYAN_SAMMAT_BANE_VIGYAN_ADHYATM_PARAK_xxyyyy&amp;product_id=234" xr:uid="{00000000-0004-0000-0100-000078020000}"/>
    <hyperlink ref="CD646" r:id="rId634" display="https://vicharkrantibooks.org/productdetail?book_name=HINP0605_NISHCHIT_PHALADAYI_JIVAN_SADHANA_xxyyyy&amp;product_id=1170" xr:uid="{00000000-0004-0000-0100-000079020000}"/>
    <hyperlink ref="CD647" r:id="rId635" display="https://vicharkrantibooks.org/productdetail?book_name=HINP1038_YUG_NIRMAN_MISHAN_KE_PANCH_PRAMUKH_SANSTHAN_xxyyyy&amp;product_id=1603" xr:uid="{00000000-0004-0000-0100-00007A020000}"/>
    <hyperlink ref="CD648" r:id="rId636" display="https://vicharkrantibooks.org/productdetail?book_name=HINP0572_NARI_KO_VIKAS_KA_AVASAR_MILE_xxyyyy&amp;product_id=1137" xr:uid="{00000000-0004-0000-0100-00007B020000}"/>
    <hyperlink ref="CD649" r:id="rId637" display="https://vicharkrantibooks.org/productdetail?book_name=HINP0565_NARI_KI_ADABHUT_KSHAMATA_xxyyyy&amp;product_id=1130" xr:uid="{00000000-0004-0000-0100-00007C020000}"/>
    <hyperlink ref="CD650" r:id="rId638" display="https://vicharkrantibooks.org/productdetail?book_name=HINP0435_KAYARATA_KA_KALANK_HAMEN_SVIKAR_NAHI_xxyyyy&amp;product_id=1000" xr:uid="{00000000-0004-0000-0100-00007D020000}"/>
    <hyperlink ref="CD651" r:id="rId639" display="https://vicharkrantibooks.org/productdetail?product_id=299" xr:uid="{00000000-0004-0000-0100-00007E020000}"/>
    <hyperlink ref="CD652" r:id="rId640" display="https://vicharkrantibooks.org/productdetail?book_name=HINF0031_APANA_HI_NAHIN_SAMAJ_KA_BHI_HIT_SOCHEN_xxyyyy&amp;product_id=251" xr:uid="{00000000-0004-0000-0100-00007F020000}"/>
    <hyperlink ref="CD653" r:id="rId641" display="https://vicharkrantibooks.org/productdetail?book_name=HINF0018_AGALE_DINON_BAHUT_BADE_KADAM_UTHANE_HONGE_xxyyyy&amp;product_id=238" xr:uid="{00000000-0004-0000-0100-000080020000}"/>
    <hyperlink ref="CD654" r:id="rId642" display="https://vicharkrantibooks.org/productdetail?book_name=HINF0013_ADHYATM_VIGYAN_KI_BRAHMAVARCHAS%E2%80%8C_SHODH_PRAKRIYA_xxyyyy&amp;product_id=233" xr:uid="{00000000-0004-0000-0100-000081020000}"/>
    <hyperlink ref="CD655" r:id="rId643" display="https://vicharkrantibooks.org/productdetail?book_name=HINP0794_SANTANOTPADAN_AUR_NRUTATV_VIGYAN_xxyyyy&amp;product_id=1359" xr:uid="{00000000-0004-0000-0100-000082020000}"/>
    <hyperlink ref="CD656" r:id="rId644" display="https://vicharkrantibooks.org/productdetail?book_name=HINP0695_PYAR_AUR_SAHAKAR_BHARE_PARIWAR_BASEN_xx2011&amp;product_id=1260" xr:uid="{00000000-0004-0000-0100-000083020000}"/>
    <hyperlink ref="CD657" r:id="rId645" display="https://vicharkrantibooks.org/productdetail?product_id=361" xr:uid="{00000000-0004-0000-0100-000084020000}"/>
    <hyperlink ref="CD658" r:id="rId646" display="https://vicharkrantibooks.org/productdetail?book_name=HINP0485_MALIKON_KO_JAGAO_PRAJANTR_BACHAO_xxyyyy&amp;product_id=1050" xr:uid="{00000000-0004-0000-0100-000085020000}"/>
    <hyperlink ref="CD659" r:id="rId647" display="https://vicharkrantibooks.org/productdetail?book_name=HINP0137_BHAGAVAN_KA_KAM_GHATE_KA_SAUDA_NAHI_xx2011&amp;product_id=702" xr:uid="{00000000-0004-0000-0100-000086020000}"/>
    <hyperlink ref="CD660" r:id="rId648" display="https://vicharkrantibooks.org/productdetail?book_name=HINP1075_JANATA_KE_SUPRIM_COURT_MAIN_SAMASYAON_KE_SAMADHAN_KI_GUHAR_Re2015&amp;product_id=1640" xr:uid="{00000000-0004-0000-0100-000087020000}"/>
    <hyperlink ref="CD661" r:id="rId649" display="https://vicharkrantibooks.org/productdetail?book_name=HINF0302_UPEKSHA_NA_HOTI_TO_PARIWAR_KA_STAR_YON_NA_GIRATA_xxyyyy&amp;product_id=522" xr:uid="{00000000-0004-0000-0100-000088020000}"/>
    <hyperlink ref="CD662" r:id="rId650" display="https://vicharkrantibooks.org/productdetail?book_name=HINP1059_YUG_RUSHI_KI_AMAR_VANI_BHAG_1_xxyyyy&amp;product_id=1624" xr:uid="{00000000-0004-0000-0100-000089020000}"/>
    <hyperlink ref="CD663" r:id="rId651" display="https://vicharkrantibooks.org/productdetail?book_name=ENGP0968_ASSIGN_YOUR_GOALS_IN_STUDENT_LIFE_xxyyyy&amp;product_id=3507" xr:uid="{00000000-0004-0000-0100-00008A020000}"/>
    <hyperlink ref="CD664" r:id="rId652" display="https://vicharkrantibooks.org/productdetail?product_id=413" xr:uid="{00000000-0004-0000-0100-00008B020000}"/>
    <hyperlink ref="CD665" r:id="rId653" display="https://vicharkrantibooks.org/productdetail?book_name=HINF0001_ABHIST_KSHAMATA_HO_TO_HI_PRAJANAN_KA_SAHAS_KAREN_xxyyyy&amp;product_id=221" xr:uid="{00000000-0004-0000-0100-00008C020000}"/>
    <hyperlink ref="CD666" r:id="rId654" display="https://vicharkrantibooks.org/productdetail?book_name=HINP0367_ISHWARIY_ANUSHASAN_KE_ANUBANDH_xxyyyy&amp;product_id=932" xr:uid="{00000000-0004-0000-0100-00008D020000}"/>
    <hyperlink ref="CD667" r:id="rId655" display="https://vicharkrantibooks.org/productdetail?book_name=HINF0153_KRUTY_KISI_KA_SHREY_KISI_KO_xxyyyy&amp;product_id=373" xr:uid="{00000000-0004-0000-0100-00008E020000}"/>
    <hyperlink ref="CD668" r:id="rId656" display="https://vicharkrantibooks.org/productdetail?product_id=526" xr:uid="{00000000-0004-0000-0100-00008F020000}"/>
    <hyperlink ref="CD669" r:id="rId657" display="https://vicharkrantibooks.org/productdetail?book_name=HINP0108_ATMOTKARSH_KA_SADHANA_MARG_xx1978&amp;product_id=673" xr:uid="{00000000-0004-0000-0100-000090020000}"/>
    <hyperlink ref="CD670" r:id="rId658" display="https://vicharkrantibooks.org/productdetail?book_name=HINP1117_MAHAKAL_KI_BHAVISHYAVANI_xxyyyy&amp;product_id=1682" xr:uid="{00000000-0004-0000-0100-000091020000}"/>
    <hyperlink ref="CD671" r:id="rId659" display="https://vicharkrantibooks.org/productdetail?book_name=HINP0020_ADHYATM_URJA_KE_PRAKATIKARAN_KI_SADHANA_xx1981&amp;product_id=585" xr:uid="{00000000-0004-0000-0100-000092020000}"/>
    <hyperlink ref="CD672" r:id="rId660" display="https://vicharkrantibooks.org/productdetail?book_name=ENGPE078_LOOSE_NOT_YOUR_HEART_COLOUR_RE2012&amp;product_id=3473" xr:uid="{00000000-0004-0000-0100-000093020000}"/>
    <hyperlink ref="CD673" r:id="rId661" display="https://vicharkrantibooks.org/productdetail?book_name=HINP0253_DIRGH_JIVAN_KI_PRAPTI_xxyyyy&amp;product_id=818" xr:uid="{00000000-0004-0000-0100-000094020000}"/>
    <hyperlink ref="CD674" r:id="rId662" display="https://vicharkrantibooks.org/productdetail?book_name=HINF0011_ADHYATM_MANAVATA_KA_PRAN-SANSKRUTI_KA_MERUDAND_xxyyyy&amp;product_id=231" xr:uid="{00000000-0004-0000-0100-000095020000}"/>
    <hyperlink ref="CD675" r:id="rId663" display="https://vicharkrantibooks.org/productdetail?book_name=HINF0107_HAMARE_ACHARYAJI_EK_PARICHAY_xxyyyy&amp;product_id=327" xr:uid="{00000000-0004-0000-0100-000096020000}"/>
    <hyperlink ref="CD676" r:id="rId664" display="https://vicharkrantibooks.org/productdetail?book_name=HINP1002_VRUKSH_HAMARE_JIVAN_PRAN_xxyyyy&amp;product_id=1567" xr:uid="{00000000-0004-0000-0100-000097020000}"/>
    <hyperlink ref="CD677" r:id="rId665" display="https://vicharkrantibooks.org/productdetail?product_id=363" xr:uid="{00000000-0004-0000-0100-000098020000}"/>
    <hyperlink ref="CD678" r:id="rId666" display="https://vicharkrantibooks.org/productdetail?book_name=HINP0428_KARMAYOG_AUR_JIVAN_SADHANA_KI_SADDHI_xx1981&amp;product_id=993" xr:uid="{00000000-0004-0000-0100-000099020000}"/>
    <hyperlink ref="CD679" r:id="rId667" display="https://vicharkrantibooks.org/productdetail?book_name=HINP0138_BHAGAVAN_KA_KAM_KARANE_KA_YAHI_SAMAY_xx2011&amp;product_id=703" xr:uid="{00000000-0004-0000-0100-00009A020000}"/>
    <hyperlink ref="CD680" r:id="rId668" display="https://vicharkrantibooks.org/productdetail?book_name=HINF0026_ANTAHKARAN_KA_PARISHKAR_PRAKHAR_UPASANA_SE_HI_SAMBHAV_xxyyyy&amp;product_id=246" xr:uid="{00000000-0004-0000-0100-00009B020000}"/>
    <hyperlink ref="CD681" r:id="rId669" display="https://vicharkrantibooks.org/productdetail?book_name=HINF0010_ADHYATM_KE_AVALAMBAN_SE_NAR_KA_NARAYAN_MEIN_PARIWARTAN_xxyyyy&amp;product_id=230" xr:uid="{00000000-0004-0000-0100-00009C020000}"/>
    <hyperlink ref="CD682" r:id="rId670" display="https://vicharkrantibooks.org/productdetail?book_name=HINF0123_IN_DINON_KA_PRAJANAN_VIPATTI_KA_AMANTRAN_xxyyyy&amp;product_id=343" xr:uid="{00000000-0004-0000-0100-00009D020000}"/>
    <hyperlink ref="CD683" r:id="rId671" display="https://vicharkrantibooks.org/productdetail?book_name=HINF0311_VASANT_PARV_PAR_MAHAKAL_KA_SANDESH_xxyyyy&amp;product_id=531" xr:uid="{00000000-0004-0000-0100-00009E020000}"/>
    <hyperlink ref="CD684" r:id="rId672" display="https://vicharkrantibooks.org/productdetail?book_name=HINR0107_APURNATA_SE_PURNATA_KI_OR_xx2012&amp;product_id=1792" xr:uid="{00000000-0004-0000-0100-00009F020000}"/>
    <hyperlink ref="CD685" r:id="rId673" display="https://vicharkrantibooks.org/productdetail?book_name=HINF0009_ADHYATM_KA_LAKSHY_ADHAR_AUR_PRAYOG_xxyyyy&amp;product_id=229" xr:uid="{00000000-0004-0000-0100-0000A0020000}"/>
    <hyperlink ref="CD686" r:id="rId674" display="https://vicharkrantibooks.org/productdetail?product_id=367" xr:uid="{00000000-0004-0000-0100-0000A1020000}"/>
    <hyperlink ref="CD687" r:id="rId675" display="https://vicharkrantibooks.org/productdetail?book_name=HINF0001_ABHIST_KSHAMATA_HO_TO_HI_PRAJANAN_KA_SAHAS_KAREN_xxyyyy&amp;product_id=221" xr:uid="{00000000-0004-0000-0100-0000A2020000}"/>
    <hyperlink ref="CD688" r:id="rId676" display="https://vicharkrantibooks.org/productdetail?book_name=HINF0007_ADHYATM_AUR_VIGYAN_KE_SAMANVAY_KI_SHODH_PRAKRIYA_xxyyyy&amp;product_id=227" xr:uid="{00000000-0004-0000-0100-0000A3020000}"/>
    <hyperlink ref="CD689" r:id="rId677" display="https://vicharkrantibooks.org/productdetail?book_name=HINF0305_UTKRUSHT_CHINTAN_HI_SAMAGR_PRAGATI_KA_EK_MATR_ADHAR_xxyyyy&amp;product_id=525" xr:uid="{00000000-0004-0000-0100-0000A4020000}"/>
    <hyperlink ref="CD690" r:id="rId678" display="https://vicharkrantibooks.org/productdetail?product_id=1750" xr:uid="{00000000-0004-0000-0100-0000A5020000}"/>
    <hyperlink ref="CD691" r:id="rId679" display="https://vicharkrantibooks.org/productdetail?book_name=HINF0022_AHAR_PAUSHTIK_HI_NAHI_SATVIK_BHI_HO_xxyyyy&amp;product_id=242" xr:uid="{00000000-0004-0000-0100-0000A6020000}"/>
    <hyperlink ref="CD692" r:id="rId680" display="https://vicharkrantibooks.org/productdetail?book_name=HINP0107_ATMIYATA_KA_AMRUT_AUR_USAKA_RASASVADAN_xx1981&amp;product_id=672" xr:uid="{00000000-0004-0000-0100-0000A7020000}"/>
    <hyperlink ref="CD693" r:id="rId681" display="https://vicharkrantibooks.org/productdetail?book_name=HINP0020_ADHYATM_URJA_KE_PRAKATIKARAN_KI_SADHANA_xx1981&amp;product_id=585" xr:uid="{00000000-0004-0000-0100-0000A8020000}"/>
    <hyperlink ref="CD694" r:id="rId682" display="https://vicharkrantibooks.org/productdetail?book_name=HINP0411_KAISE_HOGA_SAMANVAY_VIGYAN_AUR_ADHYATM_KA_xx2011&amp;product_id=976" xr:uid="{00000000-0004-0000-0100-0000A9020000}"/>
    <hyperlink ref="CD695" r:id="rId683" display="https://vicharkrantibooks.org/productdetail?book_name=HINP1032_YUG_DHARM_xxyyyy&amp;product_id=1597" xr:uid="{00000000-0004-0000-0100-0000AA020000}"/>
    <hyperlink ref="CD696" r:id="rId684" display="https://vicharkrantibooks.org/productdetail?book_name=ENGR1152_DONATION_OF_TIME_THE_SUPREME_CHARITY_RE2011&amp;product_id=3411" xr:uid="{00000000-0004-0000-0100-0000AB020000}"/>
    <hyperlink ref="CD697" r:id="rId685" display="https://vicharkrantibooks.org/productdetail?book_name=HINP0653_PRAGATI_SHANTI_AUR_PRASANNATA_xx1981&amp;product_id=1218" xr:uid="{00000000-0004-0000-0100-0000AC020000}"/>
    <hyperlink ref="CD698" r:id="rId686" display="https://vicharkrantibooks.org/productdetail?book_name=HINP1068_YUGRUSHI_KI_JANMASHATI_xxyyyy&amp;product_id=1633" xr:uid="{00000000-0004-0000-0100-0000AD020000}"/>
    <hyperlink ref="CD699" r:id="rId687" display="https://vicharkrantibooks.org/productdetail?book_name=HINP0535_MATRUSHAKTI_KE_AMRUT_VACHAN_xxyyyy&amp;product_id=1100" xr:uid="{00000000-0004-0000-0100-0000AE020000}"/>
    <hyperlink ref="CD700" r:id="rId688" display="http://literature.awgp.org/book/vyavastha_buddhi_ki_garima/v2" xr:uid="{00000000-0004-0000-0100-0000AF020000}"/>
    <hyperlink ref="CD701" r:id="rId689" display="https://vicharkrantibooks.org/productdetail?book_name=HINP0146_BHAKTI_EK_DARSHAN_EK_VIGYAN_xx2011&amp;product_id=711" xr:uid="{00000000-0004-0000-0100-0000B0020000}"/>
    <hyperlink ref="CD702" r:id="rId690" display="https://vicharkrantibooks.org/productdetail?book_name=HINF0050_ATMARAKSHA_MANOROGON_SE_BHI_KARANI_CHAHIYE_xxyyyy&amp;product_id=270" xr:uid="{00000000-0004-0000-0100-0000B1020000}"/>
    <hyperlink ref="CD703" r:id="rId691" display="https://vicharkrantibooks.org/productdetail?book_name=HINF0021_AHAR_KRANTI_SE_KUPOSHAN_NIVARAN_xxyyyy&amp;product_id=241" xr:uid="{00000000-0004-0000-0100-0000B2020000}"/>
    <hyperlink ref="CD704" r:id="rId692" display="http://literature.awgp.org/book/era_of_divine_descent/v1" xr:uid="{00000000-0004-0000-0100-0000B3020000}"/>
    <hyperlink ref="CD705" r:id="rId693" display="https://vicharkrantibooks.org/productdetail?book_name=HINP0128_BAHARI_YOG_SE_ANTARYOG_ADHIK_SHREYASHAKAR_xxyyyy&amp;product_id=693" xr:uid="{00000000-0004-0000-0100-0000B4020000}"/>
    <hyperlink ref="CD706" r:id="rId694" display="https://vicharkrantibooks.org/productdetail?book_name=HINP0936_UTKRUSHT_MANAS_MEIN_HI_ISHWAR_KA_DARSHAN_xx1981&amp;product_id=1501" xr:uid="{00000000-0004-0000-0100-0000B5020000}"/>
    <hyperlink ref="CD707" r:id="rId695" display="https://vicharkrantibooks.org/productdetail?book_name=HINP1095_IMANADARI_KA_MARG_APANAEN_xxyyyy&amp;product_id=1660" xr:uid="{00000000-0004-0000-0100-0000B6020000}"/>
    <hyperlink ref="CD708" r:id="rId696" display="https://vicharkrantibooks.org/productdetail?book_name=HINP0135_BHAGAVAN_AUR_BHAJAN_KA_MARM_xx2011&amp;product_id=700" xr:uid="{00000000-0004-0000-0100-0000B7020000}"/>
    <hyperlink ref="CD709" r:id="rId697" display="https://vicharkrantibooks.org/productdetail?book_name=HINP0971_VIGYAN_DHARM_KA_VIRODHI_NAHI_HO_SAKATA_xx1981&amp;product_id=1536" xr:uid="{00000000-0004-0000-0100-0000B8020000}"/>
    <hyperlink ref="CD710" r:id="rId698" display="https://vicharkrantibooks.org/productdetail?book_name=HINP0136_BHAGAVAN_BUDDH_KA_UTTARARDDH_PRAGYAVATAR_(POCKET)_xxyyyy&amp;product_id=701" xr:uid="{00000000-0004-0000-0100-0000B9020000}"/>
    <hyperlink ref="CD711" r:id="rId699" display="https://vicharkrantibooks.org/productdetail?product_id=413" xr:uid="{00000000-0004-0000-0100-0000BA020000}"/>
    <hyperlink ref="CD712" r:id="rId700" display="https://vicharkrantibooks.org/productdetail?book_name=HINP0973_VIGYAN_KA_SAHAYOGI_ADHISTHATA_HAI_ADHYATM_xx1982&amp;product_id=1538" xr:uid="{00000000-0004-0000-0100-0000BB020000}"/>
    <hyperlink ref="CD713" r:id="rId701" display="https://vicharkrantibooks.org/productdetail?book_name=HINP0110_ATMTEJOBALAM_BALAM_xx1979&amp;product_id=675" xr:uid="{00000000-0004-0000-0100-0000BC020000}"/>
    <hyperlink ref="CD714" r:id="rId702" display="https://vicharkrantibooks.org/productdetail?book_name=HINP1117_MAHAKAL_KI_BHAVISHYAVANI_xxyyyy&amp;product_id=1682" xr:uid="{00000000-0004-0000-0100-0000BD020000}"/>
    <hyperlink ref="CD715" r:id="rId703" display="https://vicharkrantibooks.org/productdetail?book_name=HINP0562_NARI_KA_GAURAVASHALI_ATIT_UJJAVAL_BHAVISHY_xxyyyy&amp;product_id=1127" xr:uid="{00000000-0004-0000-0100-0000BE020000}"/>
    <hyperlink ref="CD716" r:id="rId704" display="https://vicharkrantibooks.org/productdetail?book_name=HINP0308_GOMUTR_SE_AUSHADHIYAN_BANAIE_xxyyyy&amp;product_id=873" xr:uid="{00000000-0004-0000-0100-0000BF020000}"/>
    <hyperlink ref="CD717" r:id="rId705" display="https://vicharkrantibooks.org/productdetail?book_name=HINP0010_ADHYATM_ARTHAT%E2%80%8C_UTKRUSHT_CHINTAN_ADARSH_KARTUTV_xx1982&amp;product_id=575" xr:uid="{00000000-0004-0000-0100-0000C0020000}"/>
    <hyperlink ref="CD718" r:id="rId706" display="https://vicharkrantibooks.org/productdetail?book_name=HINP0585_NARI_UTTHAN_KE_LIE_UTHEN_YE_KADAM_xxyyyy&amp;product_id=1150" xr:uid="{00000000-0004-0000-0100-0000C1020000}"/>
    <hyperlink ref="CD719" r:id="rId707" display="https://vicharkrantibooks.org/productdetail?book_name=HINP0175_BINA_SHART_ANUDAN_NAHI_xx2011&amp;product_id=740" xr:uid="{00000000-0004-0000-0100-0000C2020000}"/>
    <hyperlink ref="CD720" r:id="rId708" display="https://vicharkrantibooks.org/productdetail?book_name=HINP0794_SANTANOTPADAN_AUR_NRUTATV_VIGYAN_xxyyyy&amp;product_id=1359" xr:uid="{00000000-0004-0000-0100-0000C3020000}"/>
    <hyperlink ref="CD721" r:id="rId709" display="https://vicharkrantibooks.org/productdetail?book_name=HINP1058_YUG_PARIVARTAN_MEIN_SAMARTH_DIPYAGY_xx2011&amp;product_id=1623" xr:uid="{00000000-0004-0000-0100-0000C4020000}"/>
    <hyperlink ref="CD722" r:id="rId710" display="https://vicharkrantibooks.org/productdetail?book_name=HINP0094_ATMAHATYA_KYON_xxyyyy&amp;product_id=659" xr:uid="{00000000-0004-0000-0100-0000C5020000}"/>
    <hyperlink ref="CD723" r:id="rId711" display="https://vicharkrantibooks.org/productdetail?book_name=HINP0414_KAM_ULLAS_KA_SRUJANATMAK_UPAYOG_xxyyyy&amp;product_id=979" xr:uid="{00000000-0004-0000-0100-0000C6020000}"/>
    <hyperlink ref="CD724" r:id="rId712" display="https://vicharkrantibooks.org/productdetail?book_name=HINF0006_ADHYATM_APANE_PARISHKRUT_RUP_MEIN_HAMARE_JIVAN_MEIN_UTARE_xxyyyy&amp;product_id=226" xr:uid="{00000000-0004-0000-0100-0000C7020000}"/>
    <hyperlink ref="CD725" r:id="rId713" display="https://vicharkrantibooks.org/productdetail?book_name=ENGRE075_HEALTH_TIPS_FROM_THE_VEDAS_2nd2011&amp;product_id=3470" xr:uid="{00000000-0004-0000-0100-0000C8020000}"/>
    <hyperlink ref="CD726" r:id="rId714" display="http://literature.awgp.org/book/a_manual_of_hindu_marriage/v1" xr:uid="{00000000-0004-0000-0100-0000C9020000}"/>
    <hyperlink ref="CD727" r:id="rId715" display="https://vicharkrantibooks.org/productdetail?book_name=ENGRE075_HEALTH_TIPS_FROM_THE_VEDAS_2nd2011&amp;product_id=3470" xr:uid="{00000000-0004-0000-0100-0000CA020000}"/>
    <hyperlink ref="CD728" r:id="rId716" display="https://vicharkrantibooks.org/productdetail?book_name=ENGRE075_HEALTH_TIPS_FROM_THE_VEDAS_2nd2011&amp;product_id=3470" xr:uid="{00000000-0004-0000-0100-0000CB020000}"/>
    <hyperlink ref="CD729" r:id="rId717" display="https://vicharkrantibooks.org/productdetail?book_name=HINP0284_GAYATRI_MAHASHAKTI_KI_SARVOPAYOGI_UPASANA_xx1980&amp;product_id=849" xr:uid="{00000000-0004-0000-0100-0000CC020000}"/>
    <hyperlink ref="CD730" r:id="rId718" display="https://vicharkrantibooks.org/productdetail?book_name=HINF0020_AHAMANYATA_MITE_DEVATV_KI_SADASHAYATA_VIKASE_xxyyyy&amp;product_id=240" xr:uid="{00000000-0004-0000-0100-0000CD020000}"/>
    <hyperlink ref="CD731" r:id="rId719" display="https://vicharkrantibooks.org/productdetail?book_name=HINF0304_UTKRUSHT_ADARSHAVADITA_KI_PAKSHADHAR_BHARATIY_SANSKRUTI_xxyyyy&amp;product_id=524" xr:uid="{00000000-0004-0000-0100-0000CE020000}"/>
    <hyperlink ref="CD732" r:id="rId720" display="https://vicharkrantibooks.org/productdetail?book_name=ENGRE075_HEALTH_TIPS_FROM_THE_VEDAS_2nd2011&amp;product_id=3470" xr:uid="{00000000-0004-0000-0100-0000CF020000}"/>
    <hyperlink ref="CD733" r:id="rId721" display="https://vicharkrantibooks.org/productdetail?book_name=HINP0359_IN_CHHOTI_CHHOTI_BATON_KO_MAHATVAHIN_NA_SAMAJHEN_xx1981&amp;product_id=924" xr:uid="{00000000-0004-0000-0100-0000D0020000}"/>
    <hyperlink ref="CD734" r:id="rId722" display="https://vicharkrantibooks.org/productdetail?book_name=HINP0445_KSHUDRATA_CHHODEN_MAHANATA_KE_PATH_PAR_CHALEN_xx2011&amp;product_id=1010" xr:uid="{00000000-0004-0000-0100-0000D1020000}"/>
    <hyperlink ref="CD735" r:id="rId723" display="https://vicharkrantibooks.org/productdetail?book_name=HINP0297_GAYATRI_UPASANA_KI_SAPHALATA_KI_TIN_SHARTE_xx2011&amp;product_id=862" xr:uid="{00000000-0004-0000-0100-0000D2020000}"/>
    <hyperlink ref="CD736" r:id="rId724" display="https://vicharkrantibooks.org/productdetail?book_name=ENGR1584_REFINEMENT_OF_TALENTS_NEED_OF_THE_PRESENT_ERA_PART_1_RE2010&amp;product_id=3400" xr:uid="{00000000-0004-0000-0100-0000D3020000}"/>
    <hyperlink ref="CD737" r:id="rId725" display="http://literature.awgp.org/book/Rejuvenation_without_medicines/v1.1" xr:uid="{00000000-0004-0000-0100-0000D4020000}"/>
    <hyperlink ref="CD738" r:id="rId726" display="https://vicharkrantibooks.org/productdetail?book_name=HINP0006_ADHIKAR_GAUN_AUR_KARTAVY_PRADHAN_xxyyyy&amp;product_id=571" xr:uid="{00000000-0004-0000-0100-0000D5020000}"/>
    <hyperlink ref="CD739" r:id="rId727" display="https://vicharkrantibooks.org/productdetail?book_name=HINF0005_ADHY_SHAKTI_GAYATRI_YUG_SHAKTI_BHI_xxyyyy&amp;product_id=225" xr:uid="{00000000-0004-0000-0100-0000D6020000}"/>
    <hyperlink ref="CD740" r:id="rId728" display="https://vicharkrantibooks.org/productdetail?book_name=HINF0043_ATINDRIY_SAMARTHY_EVAM_PARABRAHM_KI_VIDHI_VYAVASTHA_xxyyyy&amp;product_id=263" xr:uid="{00000000-0004-0000-0100-0000D7020000}"/>
    <hyperlink ref="CD741" r:id="rId729" display="https://vicharkrantibooks.org/productdetail?book_name=HINP0666_PRANAKARSHAN_PRANAYAM_xxyyyy&amp;product_id=1231" xr:uid="{00000000-0004-0000-0100-0000D8020000}"/>
    <hyperlink ref="CD742" r:id="rId730" display="http://literature.awgp.org/book/The_Revival_of_Satyug_The_Golden_Age/v1" xr:uid="{00000000-0004-0000-0100-0000D9020000}"/>
    <hyperlink ref="CD743" r:id="rId731" display="https://vicharkrantibooks.org/productdetail?book_name=HINP0597_NAYE_YUG_KA_MANTR_GAYATRI_MAHAMANTR_xx2011&amp;product_id=1162" xr:uid="{00000000-0004-0000-0100-0000DA020000}"/>
    <hyperlink ref="CD744" r:id="rId732" display="https://vicharkrantibooks.org/productdetail?book_name=HINF0032_APANE_ANTAH_KE_DEVATA_KO_JAGAIE_xxyyyy&amp;product_id=252" xr:uid="{00000000-0004-0000-0100-0000DB020000}"/>
    <hyperlink ref="CD745" r:id="rId733" display="https://vicharkrantibooks.org/productdetail?book_name=HINP0584_NARI_UTTHAN_KE_BINA_GUJARA_NAHI_xxyyyy&amp;product_id=1149" xr:uid="{00000000-0004-0000-0100-0000DC020000}"/>
    <hyperlink ref="CD746" r:id="rId734" display="https://vicharkrantibooks.org/productdetail?book_name=HINP0078_ASPRUSYATA_DHARM_VIRODHI_xxyyyy&amp;product_id=643" xr:uid="{00000000-0004-0000-0100-0000DD020000}"/>
    <hyperlink ref="CD747" r:id="rId735" display="https://vicharkrantibooks.org/productdetail?product_id=3453" xr:uid="{00000000-0004-0000-0100-0000DE020000}"/>
    <hyperlink ref="CD748" r:id="rId736" display="https://vicharkrantibooks.org/productdetail?book_name=HINF0255_SANTAN_KITANI_AUR_KYON_PAIDA_KAREN_xxyyyy&amp;product_id=475" xr:uid="{00000000-0004-0000-0100-0000DF020000}"/>
    <hyperlink ref="CD749" r:id="rId737" display="https://vicharkrantibooks.org/productdetail?book_name=HINF0004_ADARSH_NISHTHA_HAMARE_ATIT_KI_GARIMA_xxyyyy&amp;product_id=224" xr:uid="{00000000-0004-0000-0100-0000E0020000}"/>
    <hyperlink ref="CD750" r:id="rId738" display="https://vicharkrantibooks.org/productdetail?book_name=HINF0029_ANTARAL_KI_VAIBHAVAPURN_SATTA_KA_JAGARAN_UNNAYAN_xxyyyy&amp;product_id=249" xr:uid="{00000000-0004-0000-0100-0000E1020000}"/>
    <hyperlink ref="CD751" r:id="rId739" display="https://vicharkrantibooks.org/productdetail?book_name=ENGR1434_THE_MEANING_PURPOSE_AND_BENEFITS_OF_WORSHIP_RE2011&amp;product_id=3459" xr:uid="{00000000-0004-0000-0100-0000E2020000}"/>
    <hyperlink ref="CD752" r:id="rId740" display="https://vicharkrantibooks.org/productdetail?book_name=HINP1107_GAYATRI_EKMUKHI_AUR_PANCHAMUKHI_xx1979&amp;product_id=1672" xr:uid="{00000000-0004-0000-0100-0000E3020000}"/>
    <hyperlink ref="CD753" r:id="rId741" display="https://vicharkrantibooks.org/productdetail?book_name=HINP1061_YUG_RUSHI_KI_APEKSHAEN_HAM_SABASE_xxyyyy&amp;product_id=1626" xr:uid="{00000000-0004-0000-0100-0000E4020000}"/>
    <hyperlink ref="CD754" r:id="rId742" display="https://vicharkrantibooks.org/productdetail?book_name=ENGR0976_ELITE_SHOULD_COME_FORWARD_TO_MANAGE_THE_RELIGIOUS_SET_UP_RE2011&amp;product_id=3402" xr:uid="{00000000-0004-0000-0100-0000E5020000}"/>
    <hyperlink ref="CD755" r:id="rId743" display="https://vicharkrantibooks.org/productdetail?book_name=HINR0426_GAYATRI_KE_PANCH_MUKH_PANCH_DIVY_KOSH_xx2010&amp;product_id=2111" xr:uid="{00000000-0004-0000-0100-0000E6020000}"/>
    <hyperlink ref="CD756" r:id="rId744" display="https://vicharkrantibooks.org/productdetail?book_name=HINP0687_PRAYASHCHIT_VIDHAN_SE_BRAHMAVARCHAS_KI_PRAPTI_xxyyyy&amp;product_id=1252" xr:uid="{00000000-0004-0000-0100-0000E7020000}"/>
    <hyperlink ref="CD757" r:id="rId745" display="https://vicharkrantibooks.org/productdetail?book_name=HINP0593_NASHEBAJI_SE_HANI_HI_HANI_xxyyyy&amp;product_id=1158" xr:uid="{00000000-0004-0000-0100-0000E8020000}"/>
    <hyperlink ref="CD758" r:id="rId746" display="https://vicharkrantibooks.org/productdetail?book_name=HINP0392_JIVAN_SADHANA_xxyyyy&amp;product_id=957" xr:uid="{00000000-0004-0000-0100-0000E9020000}"/>
    <hyperlink ref="CD759" r:id="rId747" display="https://vicharkrantibooks.org/productdetail?book_name=HINP0880_SUSANTATI_NIRMAN_KI_SAMAGR_PRAKRIYA_xxyyyy&amp;product_id=1445" xr:uid="{00000000-0004-0000-0100-0000EA020000}"/>
    <hyperlink ref="CD760" r:id="rId748" display="http://literature.awgp.org/book/Folly_of_the_wise/v2" xr:uid="{00000000-0004-0000-0100-0000EB020000}"/>
    <hyperlink ref="CD761" r:id="rId749" display="https://vicharkrantibooks.org/productdetail?book_name=HINP0132_BALIVAISHV_YAGY_Re2014&amp;product_id=697" xr:uid="{00000000-0004-0000-0100-0000EC020000}"/>
    <hyperlink ref="CD762" r:id="rId750" display="https://vicharkrantibooks.org/productdetail?book_name=HINP0282_GAYATRI_KI_DIVY_SHAKTIYAN_xxyyyy&amp;product_id=847" xr:uid="{00000000-0004-0000-0100-0000ED020000}"/>
    <hyperlink ref="CD763" r:id="rId751" display="https://vicharkrantibooks.org/productdetail?book_name=HINP0110_ATMTEJOBALAM_BALAM_xx1979&amp;product_id=675" xr:uid="{00000000-0004-0000-0100-0000EE020000}"/>
    <hyperlink ref="CD764" r:id="rId752" display="https://vicharkrantibooks.org/productdetail?book_name=HINF0033_APANE_SANSKRUTIK_GAURAV_KO_BHULEN_NAHIN_xxyyyy&amp;product_id=253" xr:uid="{00000000-0004-0000-0100-0000EF020000}"/>
    <hyperlink ref="CD765" r:id="rId753" display="https://vicharkrantibooks.org/productdetail?book_name=ENGR0263_REJUVENATION_WITHOUT_MEDICINES_RE2014&amp;product_id=3480" xr:uid="{00000000-0004-0000-0100-0000F0020000}"/>
    <hyperlink ref="CD766" r:id="rId754" display="https://vicharkrantibooks.org/productdetail?book_name=HINP0657_PRAGYAYOG_KI_SUGAM_SADHANA_xx2011&amp;product_id=1222" xr:uid="{00000000-0004-0000-0100-0000F1020000}"/>
    <hyperlink ref="CD767" r:id="rId755" display="https://vicharkrantibooks.org/productdetail?book_name=HINP0277_GAYATRI_AUR_YAGY_xxyyyy&amp;product_id=842" xr:uid="{00000000-0004-0000-0100-0000F2020000}"/>
    <hyperlink ref="CD768" r:id="rId756" display="https://vicharkrantibooks.org/productdetail?book_name=HINP0424_KARMAKAND_MEIN_CHHIPA_VYAKTITV_NIRMAN_KA_SHIKSHAN_xx2011&amp;product_id=989" xr:uid="{00000000-0004-0000-0100-0000F3020000}"/>
    <hyperlink ref="CD769" r:id="rId757" display="http://literature.awgp.org/book/deep_yagya/v1" xr:uid="{00000000-0004-0000-0100-0000F4020000}"/>
    <hyperlink ref="CD770" r:id="rId758" display="https://vicharkrantibooks.org/productdetail?book_name=HINP0970_VIGYAN_AUR_ADHYATM_PARASPAR_PURAK_BANE_xx1982&amp;product_id=1535" xr:uid="{00000000-0004-0000-0100-0000F5020000}"/>
    <hyperlink ref="CD771" r:id="rId759" display="https://vicharkrantibooks.org/productdetail?book_name=HINP0065_APANE_KO_BADALEN_xxyyyy&amp;product_id=630" xr:uid="{00000000-0004-0000-0100-0000F6020000}"/>
    <hyperlink ref="CD772" r:id="rId760" display="https://vicharkrantibooks.org/productdetail?book_name=HINP1046_YUG_NIRMAN_SHAKHAON_KE_NIYAM_TATHA_KARYAKRAM_xxyyyy&amp;product_id=1611" xr:uid="{00000000-0004-0000-0100-0000F7020000}"/>
    <hyperlink ref="CD773" r:id="rId761" display="https://vicharkrantibooks.org/productdetail?book_name=HINR0495_GHARELU_CHIKITSA_Re2014&amp;product_id=2180" xr:uid="{00000000-0004-0000-0100-0000F8020000}"/>
    <hyperlink ref="CD774" r:id="rId762" display="https://vicharkrantibooks.org/productdetail?book_name=HINP0912_TRUSHNA_GRAST_SWARTH_SANKINATA_PARALE_SIRE_KI_MURKHATA_xx1982&amp;product_id=1477" xr:uid="{00000000-0004-0000-0100-0000F9020000}"/>
    <hyperlink ref="CD775" r:id="rId763" display="https://vicharkrantibooks.org/productdetail?book_name=HINP0368_JAGO_SHAKTI_SWARUPA_NARI_xxyyyy&amp;product_id=933" xr:uid="{00000000-0004-0000-0100-0000FA020000}"/>
    <hyperlink ref="CD776" r:id="rId764" display="https://vicharkrantibooks.org/productdetail?book_name=HINP0611_PANA_HAI_TO_DENA_SIKHO_xx2011&amp;product_id=1176" xr:uid="{00000000-0004-0000-0100-0000FB020000}"/>
    <hyperlink ref="CD777" r:id="rId765" display="https://vicharkrantibooks.org/productdetail?book_name=HINP0291_GAYATRI_SADHANA_KI_UPALABDHIYAN_xx2011&amp;product_id=856" xr:uid="{00000000-0004-0000-0100-0000FC020000}"/>
    <hyperlink ref="CD778" r:id="rId766" display="https://vicharkrantibooks.org/productdetail?book_name=ENGP0584_NO_OTHER_WAY_EXCEPT_WOMEN_EVOLUTION_xxyyyy&amp;product_id=3501" xr:uid="{00000000-0004-0000-0100-0000FD020000}"/>
    <hyperlink ref="CD779" r:id="rId767" display="https://vicharkrantibooks.org/productdetail?book_name=HINP0397_JIVAN_VYAPAR_KI_SAPHALATA_KA_ADHAR_SHALINATA_xx1982&amp;product_id=962" xr:uid="{00000000-0004-0000-0100-0000FE020000}"/>
    <hyperlink ref="CD780" r:id="rId768" display="https://vicharkrantibooks.org/productdetail?book_name=ENGP0716_IN_THE_ANGELIC_LIGHT_OF_RISHI_THOUGHTS_5_xxyyyy&amp;product_id=3464" xr:uid="{00000000-0004-0000-0100-0000FF020000}"/>
    <hyperlink ref="CD781" r:id="rId769" display="https://vicharkrantibooks.org/productdetail?book_name=HINP1048_YUG_NIRMAN_YOJANA_KA_SAT%E2%80%8C_SANKALP_xxyyyy&amp;product_id=1613" xr:uid="{00000000-0004-0000-0100-000000030000}"/>
    <hyperlink ref="CD782" r:id="rId770" display="https://vicharkrantibooks.org/productdetail?book_name=HINR0580_IKKISAVI_SADI_KA_GANGAVATARAN_Re2014&amp;product_id=2265" xr:uid="{00000000-0004-0000-0100-000001030000}"/>
    <hyperlink ref="CD783" r:id="rId771" display="https://vicharkrantibooks.org/productdetail?book_name=HINP0644_PATRATA_VIKASIT_KAREN_BHAGAVAN_KO_PRAPT_KAREN_xx2011&amp;product_id=1209" xr:uid="{00000000-0004-0000-0100-000002030000}"/>
    <hyperlink ref="CD784" r:id="rId772" display="https://vicharkrantibooks.org/productdetail?book_name=HINP1050_YUG_PARIVARTAN_ISLAMIK_DRUSHTIKON_xx2013&amp;product_id=1615" xr:uid="{00000000-0004-0000-0100-000003030000}"/>
    <hyperlink ref="CD785" r:id="rId773" display="https://vicharkrantibooks.org/productdetail?book_name=HINP0286_GAYATRI_MAHAVIDHYA_KI_UCHCHASTARIY_SADHANA_xx2011&amp;product_id=851" xr:uid="{00000000-0004-0000-0100-000004030000}"/>
    <hyperlink ref="CD786" r:id="rId774" display="https://vicharkrantibooks.org/productdetail?book_name=HINR1135_SAMAGR_SWASTHY_SANVARDHAN_KAISE_Re2014&amp;product_id=2820" xr:uid="{00000000-0004-0000-0100-000005030000}"/>
    <hyperlink ref="CD787" r:id="rId775" display="https://vicharkrantibooks.org/productdetail?book_name=HINP0388_JIVAN_KA_PARAM_LAKSHY_SATYAM_SHIVAM_SUNDARAM_xx1981&amp;product_id=953" xr:uid="{00000000-0004-0000-0100-000006030000}"/>
    <hyperlink ref="CD788" r:id="rId776" display="https://vicharkrantibooks.org/productdetail?book_name=HINP0304_GAYATRI_YUG_DHARM_xxyyyy&amp;product_id=869" xr:uid="{00000000-0004-0000-0100-000007030000}"/>
    <hyperlink ref="CD789" r:id="rId777" display="https://vicharkrantibooks.org/productdetail?book_name=ENGP0817_MOTHERHOOD_REVERED_EVERY_WHERE_xxyyyy&amp;product_id=3502" xr:uid="{00000000-0004-0000-0100-000008030000}"/>
    <hyperlink ref="CD790" r:id="rId778" display="https://vicharkrantibooks.org/productdetail?book_name=HINP0076_ASHLILATA_KE_AJAGAR_SE_BACHEN_xxyyyy&amp;product_id=641" xr:uid="{00000000-0004-0000-0100-000009030000}"/>
    <hyperlink ref="CD791" r:id="rId779" display="https://vicharkrantibooks.org/productdetail?book_name=HINF0020_AHAMANYATA_MITE_DEVATV_KI_SADASHAYATA_VIKASE_xxyyyy&amp;product_id=240" xr:uid="{00000000-0004-0000-0100-00000A030000}"/>
    <hyperlink ref="CD792" r:id="rId780" display="https://vicharkrantibooks.org/productdetail?book_name=HINF0153_KRUTY_KISI_KA_SHREY_KISI_KO_xxyyyy&amp;product_id=373" xr:uid="{00000000-0004-0000-0100-00000B030000}"/>
    <hyperlink ref="CD793" r:id="rId781" display="https://vicharkrantibooks.org/productdetail?book_name=HINF0030_ANU_MEIN_VIBHU_LAGHU_MEIN_MAHAN_xxyyyy&amp;product_id=250" xr:uid="{00000000-0004-0000-0100-00000C030000}"/>
    <hyperlink ref="CD794" r:id="rId782" display="https://vicharkrantibooks.org/productdetail?book_name=HINF0002_ACHINTY_CHINTAN_SE_MANOBAL_NA_GAVAYEN_xxyyyy&amp;product_id=222" xr:uid="{00000000-0004-0000-0100-00000D030000}"/>
    <hyperlink ref="CD795" r:id="rId783" display="https://vicharkrantibooks.org/productdetail?book_name=HINP0548_NAR_AUR_NARI_EK_SAMAN_xxyyyy&amp;product_id=1113" xr:uid="{00000000-0004-0000-0100-00000E030000}"/>
    <hyperlink ref="CD796" r:id="rId784" display="https://vicharkrantibooks.org/productdetail?book_name=HINP0385_JIVAN_AUR_MARAN_KA_ANYONYASHRIT_GATICHAKR_xx1981&amp;product_id=950" xr:uid="{00000000-0004-0000-0100-00000F030000}"/>
    <hyperlink ref="CD797" r:id="rId785" display="https://vicharkrantibooks.org/productdetail?book_name=HINP1000_VRUDDHON_KI_SAMASYAEN_AUR_SAMADHAN_xxyyyy&amp;product_id=1565" xr:uid="{00000000-0004-0000-0100-000010030000}"/>
    <hyperlink ref="CD798" r:id="rId786" display="http://literature.awgp.org/book/the_absolute_law_of_karma/v1.1" xr:uid="{00000000-0004-0000-0100-000011030000}"/>
    <hyperlink ref="CD799" r:id="rId787" display="https://vicharkrantibooks.org/productdetail?book_name=HINP0116_AVATAR_KA_PRAYOJAN_AUR_SWARUP_xx1981&amp;product_id=681" xr:uid="{00000000-0004-0000-0100-000012030000}"/>
    <hyperlink ref="CD800" r:id="rId788" display="http://literature.awgp.org/book/vyavastha_buddhi_ki_garima/v2" xr:uid="{00000000-0004-0000-0100-000013030000}"/>
    <hyperlink ref="CD801" r:id="rId789" display="https://vicharkrantibooks.org/productdetail?book_name=HINP0074_ASHLIL_CHINTAN_KA_PATAN_GART_xx1978&amp;product_id=639" xr:uid="{00000000-0004-0000-0100-000014030000}"/>
    <hyperlink ref="CD802" r:id="rId790" display="https://vicharkrantibooks.org/productdetail?book_name=HINP0028_ADHYATMVADI_BHAUTIKATA_APANAE_xx1979&amp;product_id=593" xr:uid="{00000000-0004-0000-0100-000015030000}"/>
    <hyperlink ref="CD803" r:id="rId791" display="https://vicharkrantibooks.org/productdetail?book_name=HINP0953_VAYU_PRADUSHAN_AUR_TULASI_ROPAN_xxyyyy&amp;product_id=1518" xr:uid="{00000000-0004-0000-0100-000016030000}"/>
    <hyperlink ref="CD804" r:id="rId792" display="https://vicharkrantibooks.org/productdetail?book_name=HINP0390_JIVAN_KO_UTKRUSHT_BANAO_xxyyyy&amp;product_id=955" xr:uid="{00000000-0004-0000-0100-000017030000}"/>
    <hyperlink ref="CD805" r:id="rId793" display="https://vicharkrantibooks.org/productdetail?book_name=HINP0408_KAHIN_AP_JHAHAR_TO_NAHI_KHA_RAHE_HAI_xxyyyy&amp;product_id=973" xr:uid="{00000000-0004-0000-0100-000018030000}"/>
    <hyperlink ref="CD806" r:id="rId794" display="https://vicharkrantibooks.org/productdetail?book_name=HINP0040_ANAND_KI_GANGOTRI_APANE_HI_ANTARAL_MEIN_xx1981&amp;product_id=605" xr:uid="{00000000-0004-0000-0100-000019030000}"/>
    <hyperlink ref="CD807" r:id="rId795" display="http://literature.awgp.org/book/PROBLEMS_OF_TODAY_SOLUTIONS_FOR_TOMORROW/v1" xr:uid="{00000000-0004-0000-0100-00001A030000}"/>
    <hyperlink ref="CD808" r:id="rId796" display="https://vicharkrantibooks.org/productdetail?book_name=HINP1068_YUGRUSHI_KI_JANMASHATI_xxyyyy&amp;product_id=1633" xr:uid="{00000000-0004-0000-0100-00001B030000}"/>
    <hyperlink ref="CD809" r:id="rId797" display="https://vicharkrantibooks.org/productdetail?book_name=HINP0115_AVARODHON_KE_DO_ANUDAN_SAHAS_AUR_PARAKRAM_xx1981&amp;product_id=680" xr:uid="{00000000-0004-0000-0100-00001C030000}"/>
    <hyperlink ref="CD810" r:id="rId798" display="https://vicharkrantibooks.org/productdetail?book_name=HINP0228_DHARATI_SATY_PAR_TIKI_HAI_xx1978&amp;product_id=793" xr:uid="{00000000-0004-0000-0100-00001D030000}"/>
    <hyperlink ref="CD811" r:id="rId799" display="https://vicharkrantibooks.org/productdetail?book_name=HINP1116_IKKISAVI_SADI_KI_UJJAVAL_SAMBHAVANAE_xxyyyy&amp;product_id=1681" xr:uid="{00000000-0004-0000-0100-00001E030000}"/>
    <hyperlink ref="CD812" r:id="rId800" display="http://literature.awgp.org/book/A_noble_Art_of_Living/v1" xr:uid="{00000000-0004-0000-0100-00001F030000}"/>
    <hyperlink ref="CD813" r:id="rId801" display="http://literature.awgp.org/book/glimpse_of_golden_future/v2" xr:uid="{00000000-0004-0000-0100-000020030000}"/>
    <hyperlink ref="CD814" r:id="rId802" display="https://vicharkrantibooks.org/productdetail?book_name=HINP0417_KAMANAEN_BHAGAVAN_KO_SAUNP_DEN_xx2011&amp;product_id=982" xr:uid="{00000000-0004-0000-0100-000021030000}"/>
    <hyperlink ref="CD815" r:id="rId803" display="https://vicharkrantibooks.org/productdetail?book_name=HINP0052_ANTARJAGAT_KA_DEVASUR_SANGRAM_xx1978&amp;product_id=617" xr:uid="{00000000-0004-0000-0100-000022030000}"/>
    <hyperlink ref="CD816" r:id="rId804" display="https://vicharkrantibooks.org/productdetail?book_name=HINP0416_KAMADEHANU_GAYATRI_xxyyyy&amp;product_id=981" xr:uid="{00000000-0004-0000-0100-000023030000}"/>
    <hyperlink ref="CD817" r:id="rId805" display="https://vicharkrantibooks.org/productdetail?book_name=HINP0305_GHAR_EK_TAPOVAN_PARIWAR_EK_PRAYOGASHALA_xx2011&amp;product_id=870" xr:uid="{00000000-0004-0000-0100-000024030000}"/>
    <hyperlink ref="CD818" r:id="rId806" display="https://vicharkrantibooks.org/productdetail?book_name=HINP0412_KALA_KI_SHAKTI_LOKAMANGAL_MEIN_LAGE_xxyyyy&amp;product_id=977" xr:uid="{00000000-0004-0000-0100-000025030000}"/>
    <hyperlink ref="CD819" r:id="rId807" display="https://vicharkrantibooks.org/productdetail?book_name=HINP0535_MATRUSHAKTI_KE_AMRUT_VACHAN_xxyyyy&amp;product_id=1100" xr:uid="{00000000-0004-0000-0100-000026030000}"/>
    <hyperlink ref="CD820" r:id="rId808" display="https://vicharkrantibooks.org/productdetail?book_name=HINP0058_APANA_SWARG_NARAK_HUM_SVAYAM_BANATE_HAIN_xxyyyy&amp;product_id=623" xr:uid="{00000000-0004-0000-0100-000027030000}"/>
    <hyperlink ref="CD821" r:id="rId809" display="https://vicharkrantibooks.org/productdetail?book_name=ENGRE043_AWAKE_O%27TALENTED_AND_COME_FORWARD_RE2012&amp;product_id=3436" xr:uid="{00000000-0004-0000-0100-000028030000}"/>
    <hyperlink ref="CD822" r:id="rId810" display="https://vicharkrantibooks.org/productdetail?book_name=HINP0416_KAMADEHANU_GAYATRI_xxyyyy&amp;product_id=981" xr:uid="{00000000-0004-0000-0100-000029030000}"/>
    <hyperlink ref="CD823" r:id="rId811" display="http://literature.awgp.org/book/glimpse_of_golden_future/v2" xr:uid="{00000000-0004-0000-0100-00002A030000}"/>
    <hyperlink ref="CD824" r:id="rId812" display="https://vicharkrantibooks.org/productdetail?book_name=HINP0056_APANA_MULYANKAN_BHI_KARATE_RAHEN_xxyyyy&amp;product_id=621" xr:uid="{00000000-0004-0000-0100-00002B030000}"/>
    <hyperlink ref="CD825" r:id="rId813" display="https://vicharkrantibooks.org/productdetail?book_name=HINP1060_YUG_RUSHI_KI_AMAR_VANI_BHAG_2_xxyyyy&amp;product_id=1625" xr:uid="{00000000-0004-0000-0100-00002C030000}"/>
    <hyperlink ref="CD826" r:id="rId814" display="https://vicharkrantibooks.org/productdetail?book_name=HINP1061_YUG_RUSHI_KI_APEKSHAEN_HAM_SABASE_xxyyyy&amp;product_id=1626" xr:uid="{00000000-0004-0000-0100-00002D030000}"/>
    <hyperlink ref="CD827" r:id="rId815" display="https://vicharkrantibooks.org/productdetail?book_name=HINP0423_KARMAKAND_KI_PRERANAON_MEIN_CHHIPA_ADHYATM_xx2011&amp;product_id=988" xr:uid="{00000000-0004-0000-0100-00002E030000}"/>
    <hyperlink ref="CD828" r:id="rId816" display="https://vicharkrantibooks.org/productdetail?book_name=HINP0411_KAISE_HOGA_SAMANVAY_VIGYAN_AUR_ADHYATM_KA_xx2011&amp;product_id=976" xr:uid="{00000000-0004-0000-0100-00002F030000}"/>
    <hyperlink ref="CD829" r:id="rId817" display="https://vicharkrantibooks.org/productdetail?book_name=HINP0356_IKKISAVI_SADI_NARI_PRADHAN_xxyyyy&amp;product_id=921" xr:uid="{00000000-0004-0000-0100-000030030000}"/>
    <hyperlink ref="CD830" r:id="rId818" display="https://vicharkrantibooks.org/productdetail?book_name=HINP0052_ANTARJAGAT_KA_DEVASUR_SANGRAM_xx1978&amp;product_id=617" xr:uid="{00000000-0004-0000-0100-000031030000}"/>
    <hyperlink ref="CD831" r:id="rId819" display="https://vicharkrantibooks.org/productdetail?book_name=HINP0952_VATAVARAN_PRADUSHAN_KA_KYA_KOI_SAMADHAN_HAI_xxyyyy&amp;product_id=1517" xr:uid="{00000000-0004-0000-0100-000032030000}"/>
    <hyperlink ref="CD832" r:id="rId820" display="https://vicharkrantibooks.org/productdetail?book_name=HINP0052_ANTARJAGAT_KA_DEVASUR_SANGRAM_xx1978&amp;product_id=617" xr:uid="{00000000-0004-0000-0100-000033030000}"/>
    <hyperlink ref="CD833" r:id="rId821" display="https://vicharkrantibooks.org/productdetail?book_name=HINP1057_YUG_PARIVARTAN_MEIN_SAMARTH_AGRADUTON_KI_BHUMIKA_xxyyyy&amp;product_id=1622" xr:uid="{00000000-0004-0000-0100-000034030000}"/>
    <hyperlink ref="CD834" r:id="rId822" display="https://vicharkrantibooks.org/productdetail?book_name=HINP0055_APANA_APA_KITANA_MAHAN_KITANA_SAMARTH_xx1982&amp;product_id=620" xr:uid="{00000000-0004-0000-0100-000035030000}"/>
    <hyperlink ref="CD835" r:id="rId823" display="https://vicharkrantibooks.org/productdetail?book_name=HINP0828_SEVA_SADHANA_xx2011&amp;product_id=1393" xr:uid="{00000000-0004-0000-0100-000036030000}"/>
    <hyperlink ref="CD836" r:id="rId824" display="https://vicharkrantibooks.org/productdetail?book_name=HINP0640_PARV_TYAUHAR_EK_SAMAJIK_SANSKAR_xxyyyy&amp;product_id=1205" xr:uid="{00000000-0004-0000-0100-000037030000}"/>
    <hyperlink ref="CD837" r:id="rId825" display="https://vicharkrantibooks.org/productdetail?book_name=HINP0360_INDRIY_SANYAM_ARTH_SANYAM_SAMAY_SANYAM_AUR_VICHAR_SANYAM_KA_SATAT%E2%80%8C_ABHYAS_KARENGE_xxyyyy&amp;product_id=925" xr:uid="{00000000-0004-0000-0100-000038030000}"/>
    <hyperlink ref="CD838" r:id="rId826" display="https://vicharkrantibooks.org/productdetail?book_name=HINP1060_YUG_RUSHI_KI_AMAR_VANI_BHAG_2_xxyyyy&amp;product_id=1625" xr:uid="{00000000-0004-0000-0100-000039030000}"/>
    <hyperlink ref="CD839" r:id="rId827" display="https://vicharkrantibooks.org/productdetail?book_name=HINP0059_APANE_ANG_AVAYAVON_SE_Re2015&amp;product_id=624" xr:uid="{00000000-0004-0000-0100-00003A030000}"/>
    <hyperlink ref="CD840" r:id="rId828" display="https://vicharkrantibooks.org/productdetail?book_name=HINP0933_UTAR_CHADHAV_HI_JIVAN_HAI_xx1981&amp;product_id=1498" xr:uid="{00000000-0004-0000-0100-00003B030000}"/>
    <hyperlink ref="CD841" r:id="rId829" display="https://vicharkrantibooks.org/productdetail?book_name=HINP0054_ANUSHASIT_CHHATR_HI_PRAGATISHIL_SAMAJ_KE_KARNDHAR_xx1981&amp;product_id=619" xr:uid="{00000000-0004-0000-0100-00003C030000}"/>
    <hyperlink ref="CD842" r:id="rId830" display="http://literature.awgp.org/book/the_glory_of_human_life/v1" xr:uid="{00000000-0004-0000-0100-00003D030000}"/>
    <hyperlink ref="CD843" r:id="rId831" location="nav-details" display="https://vicharkrantibooks.org/productdetail?book_name=HINP0066_APANE_KO_PAHACHANE_xxyyyy&amp;product_id=631 - nav-details" xr:uid="{00000000-0004-0000-0100-00003E030000}"/>
    <hyperlink ref="CD844" r:id="rId832" display="https://vicharkrantibooks.org/productdetail?book_name=HINP0306_GOBAR_MEIN_LAKSHMI_KA_NIVAS_xxyyyy&amp;product_id=871" xr:uid="{00000000-0004-0000-0100-00003F030000}"/>
    <hyperlink ref="CD845" r:id="rId833" display="https://vicharkrantibooks.org/productdetail?book_name=HINP1067_YUGRUSHI_EVAM_UNAKI_YOJANA_xxyyyy&amp;product_id=1632" xr:uid="{00000000-0004-0000-0100-000040030000}"/>
    <hyperlink ref="CD846" r:id="rId834" display="https://vicharkrantibooks.org/productdetail?book_name=HINP0753_SAKAR_AUR_NIRAKAR_DHYAN_xx2011&amp;product_id=1318" xr:uid="{00000000-0004-0000-0100-000041030000}"/>
    <hyperlink ref="CD847" r:id="rId835" display="http://literature.awgp.org/book/Vartaman_Chunautiyan_Au_rYuvavarga/v3" xr:uid="{00000000-0004-0000-0100-000042030000}"/>
    <hyperlink ref="CD848" r:id="rId836" display="https://vicharkrantibooks.org/productdetail?book_name=HINP0012_ADHYATM_EK_PRAKAR_KA_SAMAR_xx2011&amp;product_id=577" xr:uid="{00000000-0004-0000-0100-000043030000}"/>
    <hyperlink ref="CD849" r:id="rId837" display="https://vicharkrantibooks.org/productdetails?book_name=ENGR1216_FORM_AND_SPIRIT_OF_VEDIC_RITUAL_WORSHIP_PROCEDURE_OF_YAGYA_xx2009&amp;product_id=3442" xr:uid="{00000000-0004-0000-0100-000044030000}"/>
    <hyperlink ref="CD850" r:id="rId838" display="http://literature.awgp.org/book/Married_Life_A_Perfect_Yoga/v1" xr:uid="{00000000-0004-0000-0100-000045030000}"/>
    <hyperlink ref="CD851" r:id="rId839" display="https://vicharkrantibooks.org/productdetail?book_name=HINP0170_BHUT_PALIT_AUR_DEVI_DEVATAON_KA_BHRAM_JANJAL_xxyyyy&amp;product_id=735" xr:uid="{00000000-0004-0000-0100-000046030000}"/>
    <hyperlink ref="CD852" r:id="rId840" display="https://vicharkrantibooks.org/productdetail?book_name=HINP0020_ADHYATM_URJA_KE_PRAKATIKARAN_KI_SADHANA_xx1981&amp;product_id=585" xr:uid="{00000000-0004-0000-0100-000047030000}"/>
    <hyperlink ref="CD853" r:id="rId841" display="https://vicharkrantibooks.org/productdetail?book_name=HINP0161_BHAVI_MAHABHARAT_IS_TARAH_LADA_JAYEGA_xx2011&amp;product_id=726" xr:uid="{00000000-0004-0000-0100-000048030000}"/>
    <hyperlink ref="CD854" r:id="rId842" display="https://vicharkrantibooks.org/productdetail?book_name=HINP0295_GAYATRI_UPASANA_KE_CHAMATKARI_SATPARINAM_xx1979&amp;product_id=860" xr:uid="{00000000-0004-0000-0100-000049030000}"/>
    <hyperlink ref="CD855" r:id="rId843" display="https://vicharkrantibooks.org/productdetail?book_name=HINP0918_UJJVAL_BHAVISHY_KI_SUKHAD_SAMBHAVANAEN_xx1981&amp;product_id=1483" xr:uid="{00000000-0004-0000-0100-00004A030000}"/>
    <hyperlink ref="CD856" r:id="rId844" display="https://vicharkrantibooks.org/productdetail?book_name=HINP0054_ANUSHASIT_CHHATR_HI_PRAGATISHIL_SAMAJ_KE_KARNDHAR_xx1981&amp;product_id=619" xr:uid="{00000000-0004-0000-0100-00004B030000}"/>
    <hyperlink ref="CD857" r:id="rId845" display="https://vicharkrantibooks.org/productdetail?book_name=HINP0009_ADHUNIKATA_KI_DAUD_MEIN_NARI_ADARSHON_SE_NA_GIRE_xxyyyy&amp;product_id=574" xr:uid="{00000000-0004-0000-0100-00004C030000}"/>
    <hyperlink ref="CD858" r:id="rId846" display="http://literature.awgp.org/book/Gayatri_Sadhana_Why_How/v2" xr:uid="{00000000-0004-0000-0100-00004D030000}"/>
    <hyperlink ref="CD859" r:id="rId847" display="https://vicharkrantibooks.org/productdetail?book_name=HINP0201_DAIVIY_SABHYATA_KA_VISTAR_KAREN_xx2011&amp;product_id=766" xr:uid="{00000000-0004-0000-0100-00004E030000}"/>
    <hyperlink ref="CD860" r:id="rId848" display="https://vicharkrantibooks.org/productdetail?book_name=HINP0242_DHARMATANTR_DVARA_LOKASHIKSHAN_xx2011&amp;product_id=807" xr:uid="{00000000-0004-0000-0100-00004F030000}"/>
    <hyperlink ref="CD861" r:id="rId849" display="https://vicharkrantibooks.org/productdetail?book_name=HINP0432_KAYA_KI_ANTARIK_SANRACHANA_xxyyyy&amp;product_id=997" xr:uid="{00000000-0004-0000-0100-000050030000}"/>
    <hyperlink ref="CD862" r:id="rId850" display="http://literature.awgp.org/book/Prepare_Yourself_to_Excel/v1" xr:uid="{00000000-0004-0000-0100-000051030000}"/>
    <hyperlink ref="CD863" r:id="rId851" display="https://vicharkrantibooks.org/productdetail?book_name=HINP0224_DHAN_KO_PIDIT_MANAVATA_NE_PUKARA_HAI_xxyyyy&amp;product_id=789" xr:uid="{00000000-0004-0000-0100-000052030000}"/>
    <hyperlink ref="CD864" r:id="rId852" display="https://vicharkrantibooks.org/productdetail?book_name=HINP0039_ALASY_AUR_PRAMAD_DUKH_DARIDY_KE_UTPADANKARTA_xx1981&amp;product_id=604" xr:uid="{00000000-0004-0000-0100-000053030000}"/>
    <hyperlink ref="CD865" r:id="rId853" display="https://vicharkrantibooks.org/productdetail?book_name=HINP0594_NAVARATRI_KA_PAVAN_PARV_xx1980&amp;product_id=1159" xr:uid="{00000000-0004-0000-0100-000054030000}"/>
    <hyperlink ref="CD866" r:id="rId854" display="https://vicharkrantibooks.org/productdetail?book_name=HINP0345_HARITIMA_SANVARDHAN_xxyyyy&amp;product_id=910" xr:uid="{00000000-0004-0000-0100-000055030000}"/>
    <hyperlink ref="CD867" r:id="rId855" display="https://vicharkrantibooks.org/productdetail?book_name=HINP0612_PANCH_AMANATEN_JO_ISHWARIY_PRAYOJANO_MEIN_HI_LAGAI_JAE_xxyyyy&amp;product_id=1177" xr:uid="{00000000-0004-0000-0100-000056030000}"/>
    <hyperlink ref="CD868" r:id="rId856" display="https://vicharkrantibooks.org/productdetail?book_name=HINP0242_DHARMATANTR_DVARA_LOKASHIKSHAN_xx2011&amp;product_id=807" xr:uid="{00000000-0004-0000-0100-000057030000}"/>
    <hyperlink ref="CD869" r:id="rId857" display="https://vicharkrantibooks.org/productdetail?book_name=HINP0244_DHARMATANTR_KA_PARISHKAR_ATYANT_ANIVARY_xx2011&amp;product_id=809" xr:uid="{00000000-0004-0000-0100-000058030000}"/>
    <hyperlink ref="CD870" r:id="rId858" display="https://vicharkrantibooks.org/productdetail?product_id=744" xr:uid="{00000000-0004-0000-0100-000059030000}"/>
    <hyperlink ref="CD871" r:id="rId859" display="https://vicharkrantibooks.org/productdetail?book_name=HINP0222_DEVATMA_HIMALAY_EVAM_RUSHI_PARAMPARA_xx2011&amp;product_id=787" xr:uid="{00000000-0004-0000-0100-00005A030000}"/>
    <hyperlink ref="CD872" r:id="rId860" display="https://vicharkrantibooks.org/productdetail?book_name=HINP0059_APANE_ANG_AVAYAVON_SE_Re2015&amp;product_id=624" xr:uid="{00000000-0004-0000-0100-00005B030000}"/>
    <hyperlink ref="CD873" r:id="rId861" display="https://vicharkrantibooks.org/productdetail?book_name=HINP0103_ATMHINATA_KE_BOJ_SE_DAB_NA_MAREN_xx1979&amp;product_id=668" xr:uid="{00000000-0004-0000-0100-00005C030000}"/>
    <hyperlink ref="CD874" r:id="rId862" display="https://vicharkrantibooks.org/productdetail?book_name=ENGP0863_HAMSA_YOGA_THE_ELIXIR_OF_SELF_REALIZATION_RE2011&amp;product_id=3440" xr:uid="{00000000-0004-0000-0100-00005D030000}"/>
    <hyperlink ref="CD875" r:id="rId863" display="https://vicharkrantibooks.org/productdetail?book_name=HINP0191_CHHATR_VARG_MEIN_NASHE_KI_DUSHPRAVRUTTIYAN_xxyyyy&amp;product_id=756" xr:uid="{00000000-0004-0000-0100-00005E030000}"/>
    <hyperlink ref="CD876" r:id="rId864" display="https://vicharkrantibooks.org/productdetail?book_name=HINP0243_DHARMATANTR_KA_DURUPAYOG_RUKE_xx2011&amp;product_id=808" xr:uid="{00000000-0004-0000-0100-00005F030000}"/>
    <hyperlink ref="CD877" r:id="rId865" display="https://vicharkrantibooks.org/productdetail?book_name=ENGR0976_ELITE_SHOULD_COME_FORWARD_TO_MANAGE_THE_RELIGIOUS_SET_UP_RE2011&amp;product_id=3402" xr:uid="{00000000-0004-0000-0100-000060030000}"/>
    <hyperlink ref="CD878" r:id="rId866" display="https://vicharkrantibooks.org/productdetail?book_name=ENGRE054_REVERED_GURUDEV_SOME_TOUCHING_REMINISCENCES_1st1999&amp;product_id=3447" xr:uid="{00000000-0004-0000-0100-000061030000}"/>
    <hyperlink ref="CD879" r:id="rId867" display="https://vicharkrantibooks.org/productdetail?book_name=ENGR0742_GUIDELINES_FOR_THE_ASPIRING_LOKSEVI_1st2008&amp;product_id=3482" xr:uid="{00000000-0004-0000-0100-000062030000}"/>
    <hyperlink ref="CD880" r:id="rId868" display="https://vicharkrantibooks.org/productdetail?book_name=HINP0238_DHARM_MANCH_SE_LOK_SHIKSHAN_xx2011&amp;product_id=803" xr:uid="{00000000-0004-0000-0100-000063030000}"/>
    <hyperlink ref="CD881" r:id="rId869" display="https://vicharkrantibooks.org/productdetail?book_name=HINP0208_DESH_KA_NETA_KAISA_HO_xxyyyy&amp;product_id=773" xr:uid="{00000000-0004-0000-0100-000064030000}"/>
    <hyperlink ref="CD882" r:id="rId870" display="https://vicharkrantibooks.org/productdetail?book_name=HINP0057_APANA_STAR_AUR_MAMATV_VIKASIT_KAREN_xx1981&amp;product_id=622" xr:uid="{00000000-0004-0000-0100-000065030000}"/>
    <hyperlink ref="CD883" r:id="rId871" display="https://vicharkrantibooks.org/productdetail?book_name=HINP0273_GANV_SARVSUKHAPRADA_Re2014&amp;product_id=838" xr:uid="{00000000-0004-0000-0100-000066030000}"/>
    <hyperlink ref="CD884" r:id="rId872" display="https://vicharkrantibooks.org/productdetail?book_name=HINP0033_AHAR_SANTULIT_RAKHEN_APACH_SE_BACHEN_xx1981&amp;product_id=598" xr:uid="{00000000-0004-0000-0100-000067030000}"/>
    <hyperlink ref="CD885" r:id="rId873" display="https://vicharkrantibooks.org/productdetail?book_name=ENGR1152_DONATION_OF_TIME_THE_SUPREME_CHARITY_RE2011&amp;product_id=3411" xr:uid="{00000000-0004-0000-0100-000068030000}"/>
    <hyperlink ref="CD886" r:id="rId874" display="https://vicharkrantibooks.org/productdetail?book_name=HINP0940_UTTISHTHT_JAGRAT_xxyyyy&amp;product_id=1505" xr:uid="{00000000-0004-0000-0100-000069030000}"/>
    <hyperlink ref="CD887" r:id="rId875" display="https://vicharkrantibooks.org/productdetail?book_name=HINP0968_VIDHYARTHI_JIVAN_MEIN_APANA_LAKSHY_NIRDHARIT_KAREN_xxyyyy&amp;product_id=1533" xr:uid="{00000000-0004-0000-0100-00006A030000}"/>
    <hyperlink ref="CD888" r:id="rId876" display="https://vicharkrantibooks.org/productdetail?book_name=HINP0101_ATMAVISHVASI_BANEN_SAPHALATA_PAYEN_xx1982&amp;product_id=666" xr:uid="{00000000-0004-0000-0100-00006B030000}"/>
    <hyperlink ref="CD889" r:id="rId877" display="https://vicharkrantibooks.org/productdetail?book_name=HINP0775_SAMBHAVAMI_YUGE_YUGE_xx2011&amp;product_id=1340" xr:uid="{00000000-0004-0000-0100-00006C030000}"/>
    <hyperlink ref="CD890" r:id="rId878" display="https://vicharkrantibooks.org/productdetail?book_name=HINP0970_VIGYAN_AUR_ADHYATM_PARASPAR_PURAK_BANE_xx1982&amp;product_id=1535" xr:uid="{00000000-0004-0000-0100-00006D030000}"/>
    <hyperlink ref="CD891" r:id="rId879" display="http://literature.awgp.org/book/vyavastha_buddhi_ki_garima/v2" xr:uid="{00000000-0004-0000-0100-00006E030000}"/>
    <hyperlink ref="CD892" r:id="rId880" display="https://vicharkrantibooks.org/productdetail?book_name=HINP0107_ATMIYATA_KA_AMRUT_AUR_USAKA_RASASVADAN_xx1981&amp;product_id=672" xr:uid="{00000000-0004-0000-0100-00006F030000}"/>
    <hyperlink ref="CD893" r:id="rId881" display="https://vicharkrantibooks.org/productdetail?book_name=ENGRE043_AWAKE_O%27TALENTED_AND_COME_FORWARD_RE2012&amp;product_id=3436" xr:uid="{00000000-0004-0000-0100-000070030000}"/>
    <hyperlink ref="CD894" r:id="rId882" display="https://vicharkrantibooks.org/productdetail?book_name=HINP1024_YAH_BOL_RAHA_HAI_MAHAKAL_xxyyyy&amp;product_id=1589" xr:uid="{00000000-0004-0000-0100-000071030000}"/>
    <hyperlink ref="CD895" r:id="rId883" display="https://vicharkrantibooks.org/productdetail?book_name=HINP0145_BHAJ_SEVAYAM_HI_HAI_BHAKTI_xx2011&amp;product_id=710" xr:uid="{00000000-0004-0000-0100-000072030000}"/>
    <hyperlink ref="CD896" r:id="rId884" display="https://vicharkrantibooks.org/productdetail?book_name=HINP0331_HAMARA_GAYATRI_YAGY_ABHIYAN_xxyyyy&amp;product_id=896" xr:uid="{00000000-0004-0000-0100-000073030000}"/>
    <hyperlink ref="CD897" r:id="rId885" display="https://vicharkrantibooks.org/productdetail?book_name=HINP0599_NIKRUSHT_JIVAN_NA_JIYEN_xx1979&amp;product_id=1164" xr:uid="{00000000-0004-0000-0100-000074030000}"/>
    <hyperlink ref="CD898" r:id="rId886" display="https://vicharkrantibooks.org/productdetail?book_name=HINP1110_KUNDALINI_JAGARAN_GAYATRI_KI_UCHCHASTARIY_TAP_SADHANA_xx1979&amp;product_id=1675" xr:uid="{00000000-0004-0000-0100-000075030000}"/>
    <hyperlink ref="CD899" r:id="rId887" display="https://vicharkrantibooks.org/productdetail?book_name=HINP0685_PRAYASHCHIT_EK_SAMAGR_MANASHCHIKITSA_xxyyyy&amp;product_id=1250" xr:uid="{00000000-0004-0000-0100-000076030000}"/>
    <hyperlink ref="CD900" r:id="rId888" display="https://vicharkrantibooks.org/productdetail?book_name=HINP0114_AVANCHHANIYATAON_KE_AGE_SIR_NA_JHUKAEN_xxyyyy&amp;product_id=679" xr:uid="{00000000-0004-0000-0100-000077030000}"/>
    <hyperlink ref="CD901" r:id="rId889" display="https://vicharkrantibooks.org/productdetail?book_name=HINP0694_PUSTAKALAY_SACHCHE_DEVALAY_xxyyyy&amp;product_id=1259" xr:uid="{00000000-0004-0000-0100-000078030000}"/>
    <hyperlink ref="CD902" r:id="rId890" display="https://vicharkrantibooks.org/productdetail?book_name=ENGRE092_APPLIED_SCIENCE_OF_YAGYA_FOR_HEALTH_AND_ENVIRONMENT_RE2011&amp;product_id=3484" xr:uid="{00000000-0004-0000-0100-000079030000}"/>
    <hyperlink ref="CD903" r:id="rId891" display="https://vicharkrantibooks.org/productdetail?book_name=HINP0063_APANE_BHRAHAMAN_EVAM_SANT_KO_JINDA_RAKHEN_xx2011&amp;product_id=628" xr:uid="{00000000-0004-0000-0100-00007A030000}"/>
    <hyperlink ref="CD904" r:id="rId892" display="https://vicharkrantibooks.org/productdetail?book_name=HINP0495_MANASIK_SANTULAN_BANAE_RAKHE_xxyyyy&amp;product_id=1060" xr:uid="{00000000-0004-0000-0100-00007B030000}"/>
    <hyperlink ref="CD905" r:id="rId893" display="http://literature.awgp.org/book/The_Great_Momentsof_Change/v2" xr:uid="{00000000-0004-0000-0100-00007C030000}"/>
    <hyperlink ref="CD906" r:id="rId894" display="https://vicharkrantibooks.org/productdetail?book_name=HINP0113_AVANCHHANIYATA_KE_VIRUDDH_SANGHARSH_JARI_RAHEN_xx1981&amp;product_id=678" xr:uid="{00000000-0004-0000-0100-00007D030000}"/>
    <hyperlink ref="CD907" r:id="rId895" display="https://vicharkrantibooks.org/productdetail?book_name=HINP0183_BUDHAPA_MITAYA_NAHIN_JA_SAKATA_GHATAYA_JA_SAKATA_HAI_xxyyyy&amp;product_id=748" xr:uid="{00000000-0004-0000-0100-00007E030000}"/>
    <hyperlink ref="CD908" r:id="rId896" display="https://vicharkrantibooks.org/productdetail?book_name=HINP0029_ADHYATMVADI_MANAH_SHASTR_KI_UPAYOGITA_SAMAJHI_JAE_xx1982&amp;product_id=594" xr:uid="{00000000-0004-0000-0100-00007F030000}"/>
    <hyperlink ref="CD909" r:id="rId897" display="https://vicharkrantibooks.org/productdetail?book_name=HINP1060_YUG_RUSHI_KI_AMAR_VANI_BHAG_2_xxyyyy&amp;product_id=1625" xr:uid="{00000000-0004-0000-0100-000080030000}"/>
    <hyperlink ref="CD910" r:id="rId898" display="http://literature.awgp.org/book/a_manual_of_hindu_marriage/v1" xr:uid="{00000000-0004-0000-0100-000081030000}"/>
    <hyperlink ref="CD911" r:id="rId899" display="http://literature.awgp.org/book/glimpse_of_golden_future/v2" xr:uid="{00000000-0004-0000-0100-000082030000}"/>
    <hyperlink ref="CD912" r:id="rId900" display="https://vicharkrantibooks.org/productdetail?book_name=HINP0665_PRAN_SHAKTI_SE_SWASTHY_SANVARDHAN_xxyyyy&amp;product_id=1230" xr:uid="{00000000-0004-0000-0100-000083030000}"/>
    <hyperlink ref="CD913" r:id="rId901" display="https://vicharkrantibooks.org/productdetail?book_name=HINP0228_DHARATI_SATY_PAR_TIKI_HAI_xx1978&amp;product_id=793" xr:uid="{00000000-0004-0000-0100-000084030000}"/>
    <hyperlink ref="CD914" r:id="rId902" display="http://literature.awgp.org/book/support_is_needed_for_self_evolution/v1" xr:uid="{00000000-0004-0000-0100-000085030000}"/>
    <hyperlink ref="CD915" r:id="rId903" display="https://vicharkrantibooks.org/productdetail?book_name=HINP0321_GYAN_KI_SARTHAKATA_KARM_SE_xxyyyy&amp;product_id=886" xr:uid="{00000000-0004-0000-0100-000086030000}"/>
    <hyperlink ref="CD916" r:id="rId904" display="http://literature.awgp.org/book/the_integrated_science_of_yagna/v1" xr:uid="{00000000-0004-0000-0100-000087030000}"/>
    <hyperlink ref="CD917" r:id="rId905" display="http://literature.awgp.org/book/The_Revival_of_Satyug_The_Golden_Age/v1" xr:uid="{00000000-0004-0000-0100-000088030000}"/>
    <hyperlink ref="CD918" r:id="rId906" display="https://vicharkrantibooks.org/productdetail?book_name=HINP0512_MANISHI_EVAM_RUSHI_KE_RUP_MEIN_HAMARI_PAROKSH_BHUMIKA_xxyyyy&amp;product_id=1077" xr:uid="{00000000-0004-0000-0100-000089030000}"/>
    <hyperlink ref="CD919" r:id="rId907" display="https://vicharkrantibooks.org/productdetail?book_name=HINP0403_JO_SATY_HAI_VAHI_SHIV_HAI_SUNDAR_HAI_xx1982&amp;product_id=968" xr:uid="{00000000-0004-0000-0100-00008A030000}"/>
    <hyperlink ref="CD920" r:id="rId908" display="https://vicharkrantibooks.org/productdetail?book_name=HINP0427_KARMAPHAL_VYAVASTHA_KE_PRATI_ANASTHA_HI_NASTIKATA_xx1982&amp;product_id=992" xr:uid="{00000000-0004-0000-0100-00008B030000}"/>
    <hyperlink ref="CD921" r:id="rId909" display="https://vicharkrantibooks.org/productdetail?book_name=HINP1032_YUG_DHARM_xxyyyy&amp;product_id=1597" xr:uid="{00000000-0004-0000-0100-00008C030000}"/>
    <hyperlink ref="CD922" r:id="rId910" display="https://vicharkrantibooks.org/productdetail?book_name=HINP0749_SAHASTITV_KA_NAISARGIK_NIYAM_xx1982&amp;product_id=1314" xr:uid="{00000000-0004-0000-0100-00008D030000}"/>
    <hyperlink ref="CD923" r:id="rId911" display="https://vicharkrantibooks.org/productdetail?book_name=ENGP0498_BE_SAVED_FROM_MENTAL_TENSION_xxyyyy&amp;product_id=3452" xr:uid="{00000000-0004-0000-0100-00008E030000}"/>
    <hyperlink ref="CD924" r:id="rId912" display="https://vicharkrantibooks.org/productdetail?book_name=HINP0465_MAHAKAL_KA_GHONSALA_SHANTIKUNJ_xxyyyy&amp;product_id=1030" xr:uid="{00000000-0004-0000-0100-00008F030000}"/>
    <hyperlink ref="CD925" r:id="rId913" display="https://vicharkrantibooks.org/productdetail?book_name=HINP0806_SAPHAL_JIVAN_KI_DISHADHARA_(POCKET)_xxyyyy&amp;product_id=1371" xr:uid="{00000000-0004-0000-0100-000090030000}"/>
    <hyperlink ref="CD926" r:id="rId914" display="https://vicharkrantibooks.org/productdetail?book_name=HINP0002_AB_BACHCHE_KARENGE_YUG_NIRMAN_xxyyyy&amp;product_id=567" xr:uid="{00000000-0004-0000-0100-000091030000}"/>
    <hyperlink ref="CD928" r:id="rId915" display="https://vicharkrantibooks.org/productdetail?book_name=HINP1060_YUG_RUSHI_KI_AMAR_VANI_BHAG_2_xxyyyy&amp;product_id=1625" xr:uid="{00000000-0004-0000-0100-000092030000}"/>
    <hyperlink ref="CD929" r:id="rId916" display="https://vicharkrantibooks.org/productdetail?book_name=HINP0116_AVATAR_KA_PRAYOJAN_AUR_SWARUP_xx1981&amp;product_id=681" xr:uid="{00000000-0004-0000-0100-000093030000}"/>
    <hyperlink ref="CD930" r:id="rId917" display="https://vicharkrantibooks.org/productdetail?book_name=HINP1038_YUG_NIRMAN_MISHAN_KE_PANCH_PRAMUKH_SANSTHAN_xxyyyy&amp;product_id=1603" xr:uid="{00000000-0004-0000-0100-000094030000}"/>
    <hyperlink ref="CD931" r:id="rId918" display="https://vicharkrantibooks.org/productdetail?book_name=HINP0277_GAYATRI_AUR_YAGY_xxyyyy&amp;product_id=842" xr:uid="{00000000-0004-0000-0100-000095030000}"/>
    <hyperlink ref="CD932" r:id="rId919" display="https://vicharkrantibooks.org/productdetail?book_name=ENGP0716_IN_THE_ANGELIC_LIGHT_OF_RISHI_THOUGHTS_5_xxyyyy&amp;product_id=3464" xr:uid="{00000000-0004-0000-0100-000096030000}"/>
    <hyperlink ref="CD933" r:id="rId920" display="https://vicharkrantibooks.org/productdetail?book_name=HINP0128_BAHARI_YOG_SE_ANTARYOG_ADHIK_SHREYASHAKAR_xxyyyy&amp;product_id=693" xr:uid="{00000000-0004-0000-0100-000097030000}"/>
    <hyperlink ref="CD934" r:id="rId921" display="https://vicharkrantibooks.org/productdetail?book_name=HINP0059_APANE_ANG_AVAYAVON_SE_Re2015&amp;product_id=624" xr:uid="{00000000-0004-0000-0100-000098030000}"/>
    <hyperlink ref="CD935" r:id="rId922" display="https://vicharkrantibooks.org/productdetail?book_name=HINP0291_GAYATRI_SADHANA_KI_UPALABDHIYAN_xx2011&amp;product_id=856" xr:uid="{00000000-0004-0000-0100-000099030000}"/>
    <hyperlink ref="CD936" r:id="rId923" display="https://vicharkrantibooks.org/productdetail?book_name=HINP0038_AKSHAY_SWASTHY_KAISE_PAYEN_xx1982&amp;product_id=603" xr:uid="{00000000-0004-0000-0100-00009A030000}"/>
    <hyperlink ref="CD937" r:id="rId924" display="https://vicharkrantibooks.org/productdetail?book_name=HINP0278_GAYATRI_AUR_YAGY_KA_DARSHAN_MANAVAMATR_KE_LIE_xx2011&amp;product_id=843" xr:uid="{00000000-0004-0000-0100-00009B030000}"/>
    <hyperlink ref="CD938" r:id="rId925" display="https://vicharkrantibooks.org/productdetail?book_name=ENGPE098_FOUR_PILLARS_OF_SELF_DEVELOPMENTS_xxyyyy&amp;product_id=3490" xr:uid="{00000000-0004-0000-0100-00009C030000}"/>
    <hyperlink ref="CD939" r:id="rId926" display="http://literature.awgp.org/book/The_only_solutionto_our_all_problems/v1.1" xr:uid="{00000000-0004-0000-0100-00009D030000}"/>
    <hyperlink ref="CD940" r:id="rId927" display="https://vicharkrantibooks.org/productdetail?book_name=HINP0660_PRAKRUTIK_JIVAN_xxyyyy&amp;product_id=1225" xr:uid="{00000000-0004-0000-0100-00009E030000}"/>
    <hyperlink ref="CD941" r:id="rId928" display="http://literature.awgp.org/book/deep_yagya/v1" xr:uid="{00000000-0004-0000-0100-00009F030000}"/>
    <hyperlink ref="CD942" r:id="rId929" display="https://vicharkrantibooks.org/productdetail?book_name=HINP0937_UTKRUSHT_VICHARON_KA_SATAT_SANIDHY_xxyyyy&amp;product_id=1502" xr:uid="{00000000-0004-0000-0100-0000A0030000}"/>
    <hyperlink ref="CD943" r:id="rId930" display="https://vicharkrantibooks.org/productdetail?book_name=HINP0645_PET_KO_KABR_MAT_BANAIYE_xx1979&amp;product_id=1210" xr:uid="{00000000-0004-0000-0100-0000A1030000}"/>
    <hyperlink ref="CD944" r:id="rId931" display="https://vicharkrantibooks.org/productdetail?book_name=HINP0426_KARMAPHAL_KA_BHOG_ANIVARY_xxyyyy&amp;product_id=991" xr:uid="{00000000-0004-0000-0100-0000A2030000}"/>
    <hyperlink ref="CD945" r:id="rId932" display="http://literature.awgp.org/book/The_Revival_of_Satyug_The_Golden_Age/v1" xr:uid="{00000000-0004-0000-0100-0000A3030000}"/>
    <hyperlink ref="CD946" r:id="rId933" display="https://vicharkrantibooks.org/productdetail?book_name=HINP0001_AAO_GADHEN_SANSKARAVAN_PIDHI_(SMALL)_Re2016&amp;product_id=566" xr:uid="{00000000-0004-0000-0100-0000A4030000}"/>
    <hyperlink ref="CD947" r:id="rId934" display="https://vicharkrantibooks.org/productdetail?book_name=HINP0624_PARISHKRUT_ASTHAEN_HI_AKSHAY_SWASTHY_KA_UDAGAM_KENDR_xx1982&amp;product_id=1189" xr:uid="{00000000-0004-0000-0100-0000A5030000}"/>
    <hyperlink ref="CD948" r:id="rId935" display="https://vicharkrantibooks.org/productdetail?book_name=HINP0614_PANCH_TATVON_KA_SAMANVAY_HAMARA_SHARIR_xxyyyy&amp;product_id=1179" xr:uid="{00000000-0004-0000-0100-0000A6030000}"/>
    <hyperlink ref="CD949" r:id="rId936" display="https://vicharkrantibooks.org/productdetail?book_name=HINP0051_ANTARIKSH_VIGYAN_EVAM_YUG_PRATYAVARTAN_xx1981&amp;product_id=616" xr:uid="{00000000-0004-0000-0100-0000A7030000}"/>
    <hyperlink ref="CD950" r:id="rId937" display="https://vicharkrantibooks.org/productdetail?book_name=HINP0629_PARIWAR_KI_GARIMA_MARYADA_PALAN_MEIN_xx1981&amp;product_id=1194" xr:uid="{00000000-0004-0000-0100-0000A8030000}"/>
    <hyperlink ref="CD951" r:id="rId938" display="https://vicharkrantibooks.org/productdetail?book_name=HINP0430_KARTAVY_PARAYANATA_APANAEN_xxyyyy&amp;product_id=995" xr:uid="{00000000-0004-0000-0100-0000A9030000}"/>
    <hyperlink ref="CD952" r:id="rId939" display="https://vicharkrantibooks.org/productdetail?book_name=HINP0123_BACHCHON_KE_VYAKTITV_KA_VIKAS_KAISE_KAREN_xx2011&amp;product_id=688" xr:uid="{00000000-0004-0000-0100-0000AA030000}"/>
    <hyperlink ref="CD953" r:id="rId940" display="https://vicharkrantibooks.org/productdetail?book_name=HINP0429_KARTAVY_NISHTHA_HI_SACHCHI_DHARMIKATA_xx1981&amp;product_id=994" xr:uid="{00000000-0004-0000-0100-0000AB030000}"/>
    <hyperlink ref="CD954" r:id="rId941" display="https://vicharkrantibooks.org/productdetail?book_name=HINP0396_JIVAN_SANGRAM_HI_VASTAVIK_MAHABHARAT_xx1981&amp;product_id=961" xr:uid="{00000000-0004-0000-0100-0000AC030000}"/>
    <hyperlink ref="CD955" r:id="rId942" display="https://vicharkrantibooks.org/productdetail?book_name=HINP0898_SWASTHY_SANVARDHAN_VYASAN_MUKTI_GIT_xxyyyy&amp;product_id=1463" xr:uid="{00000000-0004-0000-0100-0000AD030000}"/>
    <hyperlink ref="CD956" r:id="rId943" display="https://vicharkrantibooks.org/productdetail?book_name=HINP0216_DEVADHIDEV_ATMADEV_KI_SADHANA_xx1981&amp;product_id=781" xr:uid="{00000000-0004-0000-0100-0000AE030000}"/>
    <hyperlink ref="CD957" r:id="rId944" display="https://vicharkrantibooks.org/productdetail?book_name=HINP0598_NETR_SURAKSHA_xxyyyy&amp;product_id=1163" xr:uid="{00000000-0004-0000-0100-0000AF030000}"/>
    <hyperlink ref="CD958" r:id="rId945" display="https://vicharkrantibooks.org/productdetail?book_name=HINP0118_AVATAR_UPASY_GAYATRI_xxyyyy&amp;product_id=683" xr:uid="{00000000-0004-0000-0100-0000B0030000}"/>
    <hyperlink ref="CD959" r:id="rId946" display="https://vicharkrantibooks.org/productdetail?book_name=HINP0603_NIROG_BANE_RAHANE_KE_SHASHVAT_SIDDHANT_xx1982&amp;product_id=1168" xr:uid="{00000000-0004-0000-0100-0000B1030000}"/>
    <hyperlink ref="CD960" r:id="rId947" display="https://vicharkrantibooks.org/productdetail?book_name=ENGPE044_LISTEN_TO_MAHAKALS_CALL_xxyyyy&amp;product_id=3437" xr:uid="{00000000-0004-0000-0100-0000B2030000}"/>
    <hyperlink ref="CD961" r:id="rId948" display="https://vicharkrantibooks.org/productdetail?book_name=ENGPE068_VEDIC_SYMBOLS_RE2011&amp;product_id=3458" xr:uid="{00000000-0004-0000-0100-0000B3030000}"/>
    <hyperlink ref="CD963" r:id="rId949" display="https://vicharkrantibooks.org/productdetail?book_name=HINP0219_DEVASHAKTIYON_KA_PUJAN_KAISE_KAREN_xx2011&amp;product_id=784" xr:uid="{00000000-0004-0000-0100-0000B4030000}"/>
    <hyperlink ref="CD964" r:id="rId950" display="https://vicharkrantibooks.org/productdetail?book_name=HINP0831_SHAKAHAR_(ANKURIT_AHAR)_xxyyyy&amp;product_id=1396" xr:uid="{00000000-0004-0000-0100-0000B5030000}"/>
    <hyperlink ref="CD965" r:id="rId951" display="https://vicharkrantibooks.org/productdetail?book_name=HINP0498_MANASIK_TANAV_SE_BACHEN_xxyyyy&amp;product_id=1063" xr:uid="{00000000-0004-0000-0100-0000B6030000}"/>
    <hyperlink ref="CD966" r:id="rId952" display="https://vicharkrantibooks.org/productdetail?book_name=HINP0092_ATMABAL_SAMPADAN_KE_CHAR_PRAMUKH_ADHAR_xx1982&amp;product_id=657" xr:uid="{00000000-0004-0000-0100-0000B7030000}"/>
    <hyperlink ref="CD967" r:id="rId953" display="https://vicharkrantibooks.org/productdetail?book_name=HINP0221_DEVATAON_KE_VARADAN_SATPRAVRUTTIYAN_xx2011&amp;product_id=786" xr:uid="{00000000-0004-0000-0100-0000B8030000}"/>
    <hyperlink ref="CD968" r:id="rId954" display="https://vicharkrantibooks.org/productdetail?book_name=HINP0847_SHIKSHA_OR_VIDHYA_Re2012&amp;product_id=1412" xr:uid="{00000000-0004-0000-0100-0000B9030000}"/>
    <hyperlink ref="CD969" r:id="rId955" display="https://vicharkrantibooks.org/productdetail?book_name=HINP0220_DEVATA_HAMEN_KYA_DE_SAKATE_HAI_xx2011&amp;product_id=785" xr:uid="{00000000-0004-0000-0100-0000BA030000}"/>
    <hyperlink ref="CD970" r:id="rId956" display="https://vicharkrantibooks.org/productdetail?book_name=HINP0604_NIROG_JIVAN_KA_RAHASY_xxyyyy&amp;product_id=1169" xr:uid="{00000000-0004-0000-0100-0000BB030000}"/>
    <hyperlink ref="CD971" r:id="rId957" display="https://vicharkrantibooks.org/productdetail?book_name=HINP0253_DIRGH_JIVAN_KI_PRAPTI_xxyyyy&amp;product_id=818" xr:uid="{00000000-0004-0000-0100-0000BC030000}"/>
    <hyperlink ref="CD972" r:id="rId958" display="https://vicharkrantibooks.org/productdetail?book_name=HINP0717_RUSHI_CHINTAN_KE_SANIDHYA_MEIN_06_(POCKET)_xxyyyy&amp;product_id=1282" xr:uid="{00000000-0004-0000-0100-0000BD030000}"/>
    <hyperlink ref="CD973" r:id="rId959" display="https://vicharkrantibooks.org/productdetail?book_name=HINP0186_BUDHAPE_SE_KAISE_BACHEN_xxyyyy&amp;product_id=751" xr:uid="{00000000-0004-0000-0100-0000BE030000}"/>
    <hyperlink ref="CD974" r:id="rId960" display="https://vicharkrantibooks.org/productdetail?book_name=ENGR1378_DIAGNOSE_CURE_AND_EMPOWER_YOUR_SELF_BY_CURRENT_OF_BREATH_RE2011&amp;product_id=3457" xr:uid="{00000000-0004-0000-0100-0000BF030000}"/>
    <hyperlink ref="CD975" r:id="rId961" display="https://vicharkrantibooks.org/productdetail?book_name=HINP1003_VRUKSH_SAMPADA_KO_GHATANE_NA_DEN_xxyyyy&amp;product_id=1568" xr:uid="{00000000-0004-0000-0100-0000C0030000}"/>
    <hyperlink ref="CD976" r:id="rId962" display="https://vicharkrantibooks.org/productdetail?book_name=HINP0013_ADHYATM_KA_MARM_SAMAJHEN_xx2011&amp;product_id=578" xr:uid="{00000000-0004-0000-0100-0000C1030000}"/>
    <hyperlink ref="CD977" r:id="rId963" display="https://vicharkrantibooks.org/productdetail?book_name=HINP0389_JIVAN_KI_SARTHAKATA_xxyyyy&amp;product_id=954" xr:uid="{00000000-0004-0000-0100-0000C2030000}"/>
    <hyperlink ref="CD978" r:id="rId964" display="https://vicharkrantibooks.org/productdetail?book_name=HINP0938_UTKRUSHTATA_SAMPANN_DIVY_JIVAN_JIYEN_xx1981&amp;product_id=1503" xr:uid="{00000000-0004-0000-0100-0000C3030000}"/>
    <hyperlink ref="CD979" r:id="rId965" display="https://vicharkrantibooks.org/productdetail?book_name=HINP0929_UPASANAE_SAPHAL_KYON_NAHIN_HOTIN_xx1981&amp;product_id=1494" xr:uid="{00000000-0004-0000-0100-0000C4030000}"/>
    <hyperlink ref="CD980" r:id="rId966" display="https://vicharkrantibooks.org/productdetail?book_name=HINP0006_ADHIKAR_GAUN_AUR_KARTAVY_PRADHAN_xxyyyy&amp;product_id=571" xr:uid="{00000000-0004-0000-0100-0000C5030000}"/>
    <hyperlink ref="CD981" r:id="rId967" display="https://vicharkrantibooks.org/productdetail?book_name=HINP0713_RUSHI_CHINTAN_KE_SANIDHYA_MEIN_02_(POCKET)_xxyyyy&amp;product_id=1278" xr:uid="{00000000-0004-0000-0100-0000C6030000}"/>
    <hyperlink ref="CD982" r:id="rId968" display="https://vicharkrantibooks.org/productdetail?book_name=HINP0387_JIVAN_JINE_KI_KALA_xxyyyy&amp;product_id=952" xr:uid="{00000000-0004-0000-0100-0000C7030000}"/>
    <hyperlink ref="CD983" r:id="rId969" display="https://vicharkrantibooks.org/productdetail?book_name=HINP0830_SHABD_BRAHM_AUR_YOG_VIGYAN_xx1982&amp;product_id=1395" xr:uid="{00000000-0004-0000-0100-0000C8030000}"/>
    <hyperlink ref="CD984" r:id="rId970" display="https://vicharkrantibooks.org/productdetail?book_name=HINP0625_PARISHKRUT_MANAHSTHITI_HI_SWARG_HAI_xx2011&amp;product_id=1190" xr:uid="{00000000-0004-0000-0100-0000C9030000}"/>
    <hyperlink ref="CD986" r:id="rId971" display="https://vicharkrantibooks.org/productdetail?book_name=HINP0041_ANGANAVADI_LAGAEN_xxyyyy&amp;product_id=606" xr:uid="{00000000-0004-0000-0100-0000CA030000}"/>
    <hyperlink ref="CD988" r:id="rId972" display="https://vicharkrantibooks.org/productdetail?book_name=HINP1039_YUG_NIRMAN_PARIWAR_KE_SADASY_IS_BHANTI_SOCHEN_xxyyyy&amp;product_id=1604" xr:uid="{00000000-0004-0000-0100-0000CB030000}"/>
    <hyperlink ref="CD989" r:id="rId973" display="https://vicharkrantibooks.org/productdetail?book_name=HINP0923_UPASANA_HI_NAHI_SADHANA_BHI_xx1982&amp;product_id=1488" xr:uid="{00000000-0004-0000-0100-0000CC030000}"/>
    <hyperlink ref="CD990" r:id="rId974" display="https://vicharkrantibooks.org/productdetail?book_name=HINP0953_VAYU_PRADUSHAN_AUR_TULASI_ROPAN_xxyyyy&amp;product_id=1518" xr:uid="{00000000-0004-0000-0100-0000CD030000}"/>
    <hyperlink ref="CD991" r:id="rId975" display="https://vicharkrantibooks.org/productdetail?book_name=ENGP0715_IN_THE_ANGELIC_LIGHT_OF_RISHI_THOUGHTS_4_xxyyyy&amp;product_id=3463" xr:uid="{00000000-0004-0000-0100-0000CE030000}"/>
    <hyperlink ref="CD992" r:id="rId976" display="https://vicharkrantibooks.org/productdetail?book_name=HINP0249_DHUP_SNAN_xxyyyy&amp;product_id=814" xr:uid="{00000000-0004-0000-0100-0000CF030000}"/>
    <hyperlink ref="CD993" r:id="rId977" display="https://vicharkrantibooks.org/productdetail?book_name=HINP1031_YUG_DEVATA_KI_SAMAYDAN_YACHANA_xxyyyy&amp;product_id=1596" xr:uid="{00000000-0004-0000-0100-0000D0030000}"/>
    <hyperlink ref="CD994" r:id="rId978" display="https://vicharkrantibooks.org/productdetail?book_name=HINP0091_ATMABAL_JIVAN_KI_SARVOPARI_SAMPADA_xxyyyy&amp;product_id=656" xr:uid="{00000000-0004-0000-0100-0000D1030000}"/>
    <hyperlink ref="CD995" r:id="rId979" display="https://vicharkrantibooks.org/productdetail?book_name=HINP1033_YUG_GAYAN_xx1982&amp;product_id=1598" xr:uid="{00000000-0004-0000-0100-0000D2030000}"/>
    <hyperlink ref="CD996" r:id="rId980" display="https://vicharkrantibooks.org/productdetail?book_name=HINP0012_ADHYATM_EK_PRAKAR_KA_SAMAR_xx2011&amp;product_id=577" xr:uid="{00000000-0004-0000-0100-0000D3030000}"/>
    <hyperlink ref="CD997" r:id="rId981" display="https://vicharkrantibooks.org/productdetail?book_name=HINP0035_AKANKSHAEN_NIYANTRIT_AUR_SODDESHY_HO_xx1982&amp;product_id=600" xr:uid="{00000000-0004-0000-0100-0000D4030000}"/>
    <hyperlink ref="CD998" r:id="rId982" display="https://vicharkrantibooks.org/productdetail?book_name=HINP0903_TAP_SE_MILATI_HAIN_SIDDHIYAN_xx2011&amp;product_id=1468" xr:uid="{00000000-0004-0000-0100-0000D5030000}"/>
    <hyperlink ref="CD999" r:id="rId983" display="https://vicharkrantibooks.org/productdetail?book_name=HINP0300_GAYATRI_UPASANA_SE_SHATCHAKRON_KA_JAGARAN_xx1976&amp;product_id=865" xr:uid="{00000000-0004-0000-0100-0000D6030000}"/>
    <hyperlink ref="CD1000" r:id="rId984" display="https://vicharkrantibooks.org/productdetail?book_name=ENGP0589_WOMEN!_ABANDON_THE_REGRESSIVE_CUSTOMS_xxyyyy&amp;product_id=3498" xr:uid="{00000000-0004-0000-0100-0000D7030000}"/>
    <hyperlink ref="CD1001" r:id="rId985" display="https://vicharkrantibooks.org/productdetail?book_name=HINP0849_SHIKSHA_VYAVASTHA_KAISI_HO_xx2011&amp;product_id=1414" xr:uid="{00000000-0004-0000-0100-0000D8030000}"/>
    <hyperlink ref="CD1002" r:id="rId986" display="https://vicharkrantibooks.org/productdetail?book_name=HINP0299_GAYATRI_UPASANA_SE_PRAN_SHAKTI_KA_ABHIVARDHAN_xx1979&amp;product_id=864" xr:uid="{00000000-0004-0000-0100-0000D9030000}"/>
    <hyperlink ref="CD1003" r:id="rId987" display="https://vicharkrantibooks.org/productdetail?book_name=ENGPE035_GAYATRI_A_UNIQUE_SOLUTIONS_FOR_PROBLEMS_xxyyyy&amp;product_id=3428" xr:uid="{00000000-0004-0000-0100-0000DA030000}"/>
    <hyperlink ref="CD1004" r:id="rId988" display="https://vicharkrantibooks.org/productdetail?book_name=HINP0259_DUKHON_KE_KARAN_AUR_UNAKE_NIVARAN_xx1978&amp;product_id=824" xr:uid="{00000000-0004-0000-0100-0000DB030000}"/>
    <hyperlink ref="CD1005" r:id="rId989" display="https://vicharkrantibooks.org/productdetail?book_name=HINP0928_UPASANA_SE_ANIST_KI_ASHANKA_NA_KAREN_xx1982&amp;product_id=1493" xr:uid="{00000000-0004-0000-0100-0000DC030000}"/>
    <hyperlink ref="CD1006" r:id="rId990" display="https://vicharkrantibooks.org/productdetail?book_name=HINP0252_DIRGH_JIVAN_KE_RAHASY_xx1978&amp;product_id=817" xr:uid="{00000000-0004-0000-0100-0000DD030000}"/>
    <hyperlink ref="CD1007" r:id="rId991" display="https://vicharkrantibooks.org/productdetail?book_name=HINP0902_TAP_AUR_YOG_KE_MARMIK_PAKSH_xx2011&amp;product_id=1467" xr:uid="{00000000-0004-0000-0100-0000DE030000}"/>
    <hyperlink ref="CD1008" r:id="rId992" display="https://vicharkrantibooks.org/productdetail?book_name=HINP0836_SHAKTI_KE_STROT_CHAUBIS_AKSHAR_xxyyyy&amp;product_id=1401" xr:uid="{00000000-0004-0000-0100-0000DF030000}"/>
    <hyperlink ref="CD1009" r:id="rId993" display="https://vicharkrantibooks.org/productdetail?book_name=HINP0094_ATMAHATYA_KYON_xxyyyy&amp;product_id=659" xr:uid="{00000000-0004-0000-0100-0000E0030000}"/>
    <hyperlink ref="CD1010" r:id="rId994" display="https://vicharkrantibooks.org/productdetail?book_name=HINP0254_DIVY_JADI_BUTIYON_MEIN_APAR_SHAKTI_xxyyyy&amp;product_id=819" xr:uid="{00000000-0004-0000-0100-0000E1030000}"/>
    <hyperlink ref="CD1011" r:id="rId995" display="https://vicharkrantibooks.org/productdetail?book_name=HINP0957_VICHAR_BADALEN_TO_YUG_BADALEN_xxyyyy&amp;product_id=1522" xr:uid="{00000000-0004-0000-0100-0000E2030000}"/>
    <hyperlink ref="CD1012" r:id="rId996" display="https://vicharkrantibooks.org/productdetail?book_name=HINP0406_JYOTIKAN_xxyyyy&amp;product_id=971" xr:uid="{00000000-0004-0000-0100-0000E3030000}"/>
    <hyperlink ref="CD1013" r:id="rId997" display="https://vicharkrantibooks.org/productdetail?book_name=HINP0736_SADGYAN_KA_PRASAR_PRACHAR_HI_SACHCHI_ISHWARADHANA_xx1981&amp;product_id=1301" xr:uid="{00000000-0004-0000-0100-0000E4030000}"/>
    <hyperlink ref="CD1014" r:id="rId998" display="https://vicharkrantibooks.org/productdetail?book_name=HINP0254_DIVY_JADI_BUTIYON_MEIN_APAR_SHAKTI_xxyyyy&amp;product_id=819" xr:uid="{00000000-0004-0000-0100-0000E5030000}"/>
    <hyperlink ref="CD1015" r:id="rId999" display="https://vicharkrantibooks.org/productdetail?book_name=HINP0385_JIVAN_AUR_MARAN_KA_ANYONYASHRIT_GATICHAKR_xx1981&amp;product_id=950" xr:uid="{00000000-0004-0000-0100-0000E6030000}"/>
    <hyperlink ref="CD1016" r:id="rId1000" display="https://vicharkrantibooks.org/productdetail?book_name=ENGPE042_PAUSE_AND_THINK_xxyyyy&amp;product_id=3435" xr:uid="{00000000-0004-0000-0100-0000E7030000}"/>
    <hyperlink ref="CD1017" r:id="rId1001" display="https://vicharkrantibooks.org/productdetail?book_name=HINP0034_AIYE_IN_SAMASYAON_KA_HAL_DHUNDHEN_xx1982&amp;product_id=599" xr:uid="{00000000-0004-0000-0100-0000E8030000}"/>
    <hyperlink ref="CD1018" r:id="rId1002" display="https://vicharkrantibooks.org/productdetail?book_name=ENGPNOTM_STEPS_FOR_WOMEN_UPLIFTING_xxyyyy&amp;product_id=3456" xr:uid="{00000000-0004-0000-0100-0000E9030000}"/>
    <hyperlink ref="CD1019" r:id="rId1003" display="https://vicharkrantibooks.org/productdetail?book_name=HINP0926_UPASANA_KYON_AUR_KAISE_xx1981&amp;product_id=1491" xr:uid="{00000000-0004-0000-0100-0000EA030000}"/>
    <hyperlink ref="CD1020" r:id="rId1004" display="https://vicharkrantibooks.org/productdetail?book_name=ENGPE096_GAYATRI_MANTRA_THE_GENESIS_OF_DIVINE_CULTURE_xxyyyy&amp;product_id=3488" xr:uid="{00000000-0004-0000-0100-0000EB030000}"/>
    <hyperlink ref="CD1021" r:id="rId1005" display="http://literature.awgp.org/book/bal_nirman_ki_kahaniyan/v1" xr:uid="{00000000-0004-0000-0100-0000EC030000}"/>
    <hyperlink ref="CD1022" r:id="rId1006" display="https://vicharkrantibooks.org/productdetail?book_name=HINP0401_JIVANT_VIBHUTIYON_SE_BHAVABHARI_APEKSHAEN_xx2011&amp;product_id=966" xr:uid="{00000000-0004-0000-0100-0000ED030000}"/>
    <hyperlink ref="CD1023" r:id="rId1007" display="https://vicharkrantibooks.org/productdetail?book_name=HINP0609_PADHEN_AUR_USE_JIVAN_MEIN_UTAREN_xxyyyy&amp;product_id=1174" xr:uid="{00000000-0004-0000-0100-0000EE030000}"/>
    <hyperlink ref="CD1024" r:id="rId1008" display="https://vicharkrantibooks.org/productdetail?book_name=HINP0716_RUSHI_CHINTAN_KE_SANIDHYA_MEIN_05_(POCKET)_xxyyyy&amp;product_id=1281" xr:uid="{00000000-0004-0000-0100-0000EF030000}"/>
    <hyperlink ref="CD1025" r:id="rId1009" display="https://vicharkrantibooks.org/productdetail?book_name=ENGPE037_THE_SECRETS_OF_HEALTHY_LIFE_xxyyyy&amp;product_id=3430" xr:uid="{00000000-0004-0000-0100-0000F0030000}"/>
    <hyperlink ref="CD1026" r:id="rId1010" display="https://vicharkrantibooks.org/productdetail?book_name=ENGPE039_THE_SCIENCE_OF_MANTRA_xxyyyy&amp;product_id=3432" xr:uid="{00000000-0004-0000-0100-0000F1030000}"/>
    <hyperlink ref="CD1027" r:id="rId1011" display="https://vicharkrantibooks.org/productdetail?book_name=HINP0206_DAVAON_SE_BACHEN_xxyyyy&amp;product_id=771" xr:uid="{00000000-0004-0000-0100-0000F2030000}"/>
    <hyperlink ref="CD1028" r:id="rId1012" display="https://vicharkrantibooks.org/productdetail?book_name=HINP0636_PARIWAR_YON_NA_TODEN_xxyyyy&amp;product_id=1201" xr:uid="{00000000-0004-0000-0100-0000F3030000}"/>
    <hyperlink ref="CD1029" r:id="rId1013" display="https://vicharkrantibooks.org/productdetail?book_name=HINP0226_DHANVANTARI_KARN_AUR_DADHICHI_HAMARE_VRUKSH_xxyyyy&amp;product_id=791" xr:uid="{00000000-0004-0000-0100-0000F4030000}"/>
    <hyperlink ref="CD1030" r:id="rId1014" display="https://vicharkrantibooks.org/productdetail?book_name=HINP0632_PARIWAR_MEIN_DHARMIK_VATAVARAN_BANAEN_xx1982&amp;product_id=1197" xr:uid="{00000000-0004-0000-0100-0000F5030000}"/>
    <hyperlink ref="CD1031" r:id="rId1015" display="https://vicharkrantibooks.org/productdetail?book_name=HINP0828_SEVA_SADHANA_xx2011&amp;product_id=1393" xr:uid="{00000000-0004-0000-0100-0000F6030000}"/>
    <hyperlink ref="CD1032" r:id="rId1016" display="https://vicharkrantibooks.org/productdetail?book_name=HINP0626_PARIWAR_BANE_SWARG_xxyyyy&amp;product_id=1191" xr:uid="{00000000-0004-0000-0100-0000F7030000}"/>
    <hyperlink ref="CD1033" r:id="rId1017" display="https://vicharkrantibooks.org/productdetail?book_name=HINP0631_PARIWAR_KO_SUSANSKARI_KAISE_BANAEN_xxyyyy&amp;product_id=1196" xr:uid="{00000000-0004-0000-0100-0000F8030000}"/>
    <hyperlink ref="CD1034" r:id="rId1018" display="https://vicharkrantibooks.org/productdetail?book_name=HINP0925_UPASANA_KI_MAHATTA_AUR_USAKA_SWARUP_xx1981&amp;product_id=1490" xr:uid="{00000000-0004-0000-0100-0000F9030000}"/>
    <hyperlink ref="CD1035" r:id="rId1019" display="https://vicharkrantibooks.org/productdetail?book_name=HINP0037_AKHAND_ANAND_KA_STROT_APANE_HI_ANDAR_xx1981&amp;product_id=602" xr:uid="{00000000-0004-0000-0100-0000FA030000}"/>
    <hyperlink ref="CD1036" r:id="rId1020" display="https://vicharkrantibooks.org/productdetail?book_name=ENGPE098_FOUR_PILLARS_OF_SELF_DEVELOPMENTS_xxyyyy&amp;product_id=3490" xr:uid="{00000000-0004-0000-0100-0000FB030000}"/>
    <hyperlink ref="CD1037" r:id="rId1021" display="https://vicharkrantibooks.org/productdetail?book_name=ENGP0009_DON%E2%80%99T_BE_TRAPPED_BY_THE_EVILS_OF_MODERNISATION_xxyyyy&amp;product_id=3503" xr:uid="{00000000-0004-0000-0100-0000FC030000}"/>
    <hyperlink ref="CD1038" r:id="rId1022" display="https://vicharkrantibooks.org/productdetail?book_name=HINP0279_GAYATRI_CHALISA_xxyyyy&amp;product_id=844" xr:uid="{00000000-0004-0000-0100-0000FD030000}"/>
    <hyperlink ref="CD1039" r:id="rId1023" display="https://vicharkrantibooks.org/productdetail?book_name=HINP0634_PARIWAR_NIRMAN_KE_SWARNIM_SUTR_xxyyyy&amp;product_id=1199" xr:uid="{00000000-0004-0000-0100-0000FE030000}"/>
    <hyperlink ref="CD1040" r:id="rId1024" display="https://vicharkrantibooks.org/productdetail?book_name=HINP0319_GYAN_KA_ALAKH_JAGAIE_xxyyyy&amp;product_id=884" xr:uid="{00000000-0004-0000-0100-0000FF030000}"/>
    <hyperlink ref="CD1041" r:id="rId1025" display="https://vicharkrantibooks.org/productdetail?book_name=HINP0031_AHANKAR_CHHODEN_VINAMR_BANEN_xxyyyy&amp;product_id=596" xr:uid="{00000000-0004-0000-0100-000000040000}"/>
    <hyperlink ref="CD1042" r:id="rId1026" display="https://vicharkrantibooks.org/productdetail?book_name=HINP0121_BACHCHON_KA_SUDHAR_MANOVAIGYANIK_DHANG_SE_KAREN_xxyyyy&amp;product_id=686" xr:uid="{00000000-0004-0000-0100-000001040000}"/>
    <hyperlink ref="CD1043" r:id="rId1027" display="https://vicharkrantibooks.org/productdetail?book_name=HINP0205_DAVAEN_KHATE_JAEN_ROG_BADHATE_JAEN_YAH_KAHAN_TAK_%E2%80%8B%E2%80%8BUCHIT_HAI_xx1982&amp;product_id=770" xr:uid="{00000000-0004-0000-0100-000002040000}"/>
    <hyperlink ref="CD1044" r:id="rId1028" display="https://vicharkrantibooks.org/productdetail?book_name=HINP0262_DURGATI_AUR_SADGATI_KA_KARAN_HAM_SVAYAM_xx2011&amp;product_id=827" xr:uid="{00000000-0004-0000-0100-000003040000}"/>
    <hyperlink ref="CD1045" r:id="rId1029" display="https://vicharkrantibooks.org/productdetail?book_name=HINP0075_ASHLILATA_HAMEN_PATIT_BANA_RAHI_HAI_xxyyyy&amp;product_id=640" xr:uid="{00000000-0004-0000-0100-000004040000}"/>
    <hyperlink ref="CD1047" r:id="rId1030" display="https://vicharkrantibooks.org/productdetail?book_name=HINP0939_UTKRUSHTATAVADI_DARSHAN_HI_BHOGAVAD_KA_ANT_KAREGA_xx1982&amp;product_id=1504" xr:uid="{00000000-0004-0000-0100-000005040000}"/>
    <hyperlink ref="CD1048" r:id="rId1031" display="https://vicharkrantibooks.org/productdetail?book_name=HINP0250_DHVANSH_KE_BINA_SRUJAN_KAISE_xx1982&amp;product_id=815" xr:uid="{00000000-0004-0000-0100-000006040000}"/>
    <hyperlink ref="CD1049" r:id="rId1032" display="https://vicharkrantibooks.org/productdetail?book_name=ENGPE115_OVERALL_PROGRESS_OF_WOMEN_xxyyyy&amp;product_id=3500" xr:uid="{00000000-0004-0000-0100-000007040000}"/>
    <hyperlink ref="CD1050" r:id="rId1033" display="https://vicharkrantibooks.org/productdetail?book_name=HINP0915_UCHCHASTARIY_SADHANA_KE_KUCHH_JANANE_YOGY_ANUSHASAN_xx1982&amp;product_id=1480" xr:uid="{00000000-0004-0000-0100-000008040000}"/>
    <hyperlink ref="CD1051" r:id="rId1034" display="https://vicharkrantibooks.org/productdetail?book_name=HINP0395_JIVAN_SADHANA_KI_URJA_RASHAMIYAN_xxyyyy&amp;product_id=960" xr:uid="{00000000-0004-0000-0100-000009040000}"/>
    <hyperlink ref="CD1052" r:id="rId1035" display="https://vicharkrantibooks.org/productdetail?book_name=ENGR1423_THE_DEMAND_OF_THE_TIMES_xxyyyy&amp;product_id=3429" xr:uid="{00000000-0004-0000-0100-00000A040000}"/>
    <hyperlink ref="CD1053" r:id="rId1036" display="https://vicharkrantibooks.org/productdetail?book_name=HINP0076_ASHLILATA_KE_AJAGAR_SE_BACHEN_xxyyyy&amp;product_id=641" xr:uid="{00000000-0004-0000-0100-00000B040000}"/>
    <hyperlink ref="CD1054" r:id="rId1037" display="https://vicharkrantibooks.org/productdetail?book_name=HINP0913_TULASI_AMRUTOPAM_xxyyyy&amp;product_id=1478" xr:uid="{00000000-0004-0000-0100-00000C040000}"/>
    <hyperlink ref="CD1055" r:id="rId1038" display="https://vicharkrantibooks.org/productdetail?book_name=HINP0972_VIGYAN_DHARMPARAK_HOKAR_HI_MANAVOPAYOGI_xxyyyy&amp;product_id=1537" xr:uid="{00000000-0004-0000-0100-00000D040000}"/>
    <hyperlink ref="CD1056" r:id="rId1039" display="https://vicharkrantibooks.org/productdetail?book_name=HINP0899_TAHALANA_EK_ATI_UPAYOGI_AUR_SARAL_VYAYAM_xx1982&amp;product_id=1464" xr:uid="{00000000-0004-0000-0100-00000E040000}"/>
    <hyperlink ref="CD1057" r:id="rId1040" display="https://vicharkrantibooks.org/productdetail?book_name=ENGPE097_THE_GRANDEUR_AND_GLORY_OF_GURUTATVA_xxyyyy&amp;product_id=3489" xr:uid="{00000000-0004-0000-0100-00000F040000}"/>
    <hyperlink ref="CD1058" r:id="rId1041" display="https://vicharkrantibooks.org/productdetail?book_name=ENGPE035_GAYATRI_A_UNIQUE_SOLUTIONS_FOR_PROBLEMS_xxyyyy&amp;product_id=3428" xr:uid="{00000000-0004-0000-0100-000010040000}"/>
    <hyperlink ref="CD1059" r:id="rId1042" display="https://vicharkrantibooks.org/productdetail?book_name=HINP0316_GUNON_KA_PARISHKAR_HI_SACHCHI_BHAKTI_xx2011&amp;product_id=881" xr:uid="{00000000-0004-0000-0100-000011040000}"/>
    <hyperlink ref="CD1060" r:id="rId1043" display="https://vicharkrantibooks.org/productdetail?book_name=HINP1037_YUG_NIRMAN_ABHIYAN_Re2011&amp;product_id=1602" xr:uid="{00000000-0004-0000-0100-000012040000}"/>
    <hyperlink ref="CD1061" r:id="rId1044" display="https://vicharkrantibooks.org/productdetail?book_name=HINP0971_VIGYAN_DHARM_KA_VIRODHI_NAHI_HO_SAKATA_xx1981&amp;product_id=1536" xr:uid="{00000000-0004-0000-0100-000013040000}"/>
    <hyperlink ref="CD1062" r:id="rId1045" display="https://vicharkrantibooks.org/productdetail?book_name=HINP0400_JIVANADATA_SURY_xxyyyy&amp;product_id=965" xr:uid="{00000000-0004-0000-0100-000014040000}"/>
    <hyperlink ref="CD1063" r:id="rId1046" display="https://vicharkrantibooks.org/productdetail?book_name=HINP0438_KHILAUNONE_ADHYATM_KA_SATYANASH_KAR_DIYA_xx2011&amp;product_id=1003" xr:uid="{00000000-0004-0000-0100-000015040000}"/>
    <hyperlink ref="CD1064" r:id="rId1047" display="https://vicharkrantibooks.org/productdetail?book_name=HINP0680_PRATIK_PUJA_KA_VAIGYANIK_ADHAR_xx2011&amp;product_id=1245" xr:uid="{00000000-0004-0000-0100-000016040000}"/>
    <hyperlink ref="CD1065" r:id="rId1048" display="https://vicharkrantibooks.org/productdetail?book_name=HINP1056_YUG_PARIVARTAN_MEIN_GYANYAGY_KI_BHUMIKA_xx2011&amp;product_id=1621" xr:uid="{00000000-0004-0000-0100-000017040000}"/>
    <hyperlink ref="CD1066" r:id="rId1049" display="https://vicharkrantibooks.org/productdetail?book_name=HINP0417_KAMANAEN_BHAGAVAN_KO_SAUNP_DEN_xx2011&amp;product_id=982" xr:uid="{00000000-0004-0000-0100-000018040000}"/>
    <hyperlink ref="CD1067" r:id="rId1050" display="https://vicharkrantibooks.org/productdetail?book_name=HINP0735_SADGURU_VACHANAMRUT_xxyyyy&amp;product_id=1300" xr:uid="{00000000-0004-0000-0100-000019040000}"/>
    <hyperlink ref="CD1068" r:id="rId1051" display="https://vicharkrantibooks.org/productdetail?book_name=HINP0063_APANE_BHRAHAMAN_EVAM_SANT_KO_JINDA_RAKHEN_xx2011&amp;product_id=628" xr:uid="{00000000-0004-0000-0100-00001A040000}"/>
    <hyperlink ref="CD1069" r:id="rId1052" display="https://vicharkrantibooks.org/productdetail?book_name=HINP0010_ADHYATM_ARTHAT%E2%80%8C_UTKRUSHT_CHINTAN_ADARSH_KARTUTV_xx1982&amp;product_id=575" xr:uid="{00000000-0004-0000-0100-00001B040000}"/>
    <hyperlink ref="CD1070" r:id="rId1053" display="https://vicharkrantibooks.org/productdetail?book_name=HINP0927_UPASANA_SADHANA_ARADHANA_xx2011&amp;product_id=1492" xr:uid="{00000000-0004-0000-0100-00001C040000}"/>
    <hyperlink ref="CD1071" r:id="rId1054" display="https://vicharkrantibooks.org/productdetail?book_name=HINP0197_CHIRAYAUVAN_KA_VARADAN_SABAKE_LIE_SULABH_xx1982&amp;product_id=762" xr:uid="{00000000-0004-0000-0100-00001D040000}"/>
    <hyperlink ref="CD1072" r:id="rId1055" display="https://vicharkrantibooks.org/productdetail?book_name=HINP0367_ISHWARIY_ANUSHASAN_KE_ANUBANDH_xxyyyy&amp;product_id=932" xr:uid="{00000000-0004-0000-0100-00001E040000}"/>
    <hyperlink ref="CD1073" r:id="rId1056" display="https://vicharkrantibooks.org/productdetail?book_name=HINP0973_VIGYAN_KA_SAHAYOGI_ADHISTHATA_HAI_ADHYATM_xx1982&amp;product_id=1538" xr:uid="{00000000-0004-0000-0100-00001F040000}"/>
    <hyperlink ref="CD1074" r:id="rId1057" display="https://vicharkrantibooks.org/productdetail?book_name=HINP0634_PARIWAR_NIRMAN_KE_SWARNIM_SUTR_xxyyyy&amp;product_id=1199" xr:uid="{00000000-0004-0000-0100-000020040000}"/>
    <hyperlink ref="CD1075" r:id="rId1058" display="https://vicharkrantibooks.org/productdetail?book_name=HINP0194_CHINTA_RUPI_CHITA_MEIN_JALAKAR_APANI_KSHAMATAYEN_NASHT_NA_KAREN_xx1982&amp;product_id=759" xr:uid="{00000000-0004-0000-0100-000021040000}"/>
    <hyperlink ref="CD1076" r:id="rId1059" display="https://vicharkrantibooks.org/productdetail?book_name=HINP0393_JIVAN_SADHANA_KAREN_DEVATA_BANEN_xx2011&amp;product_id=958" xr:uid="{00000000-0004-0000-0100-000022040000}"/>
    <hyperlink ref="CD1077" r:id="rId1060" display="https://vicharkrantibooks.org/productdetail?book_name=HINP0309_GOMUTR_SE_ROG_DUR_KARIE_xxyyyy&amp;product_id=874" xr:uid="{00000000-0004-0000-0100-000023040000}"/>
    <hyperlink ref="CD1078" r:id="rId1061" display="https://vicharkrantibooks.org/productdetail?book_name=HINP0366_ISHWARIY_ANUDAN_AUR_USAKA_SADUPAYOG_xx1981&amp;product_id=931" xr:uid="{00000000-0004-0000-0100-000024040000}"/>
    <hyperlink ref="CD1079" r:id="rId1062" display="https://vicharkrantibooks.org/productdetail?book_name=HINP0365_ISHWAR_PREM_ARTHAT_SADABHAVNAYUKT_SAMVEDANA_xx1981&amp;product_id=930" xr:uid="{00000000-0004-0000-0100-000025040000}"/>
    <hyperlink ref="CD1080" r:id="rId1063" display="https://vicharkrantibooks.org/productdetail?book_name=HINP0970_VIGYAN_AUR_ADHYATM_PARASPAR_PURAK_BANE_xx1982&amp;product_id=1535" xr:uid="{00000000-0004-0000-0100-000026040000}"/>
    <hyperlink ref="CD1081" r:id="rId1064" display="https://vicharkrantibooks.org/productdetail?book_name=ENGP0577_SATSANG_WILL_STRENGTHEN_WOMEN_UNITS_xxyyyy&amp;product_id=3505" xr:uid="{00000000-0004-0000-0100-000027040000}"/>
    <hyperlink ref="CD1082" r:id="rId1065" display="https://vicharkrantibooks.org/productdetail?book_name=HINP0227_DHARATI_PAR_SWARG_EK_KALPANA_NAHI_SATY_xx1982&amp;product_id=792" xr:uid="{00000000-0004-0000-0100-000028040000}"/>
    <hyperlink ref="CD1083" r:id="rId1066" display="https://vicharkrantibooks.org/productdetail?book_name=HINP0404_JO_SOCHEN_RACHANATMAK_SOCHEN_xx1981&amp;product_id=969" xr:uid="{00000000-0004-0000-0100-000029040000}"/>
    <hyperlink ref="CD1084" r:id="rId1067" display="https://vicharkrantibooks.org/productdetail?book_name=ENGP0498_BE_SAVED_FROM_MENTAL_TENSION_xxyyyy&amp;product_id=3452" xr:uid="{00000000-0004-0000-0100-00002A040000}"/>
    <hyperlink ref="CD1085" r:id="rId1068" display="https://vicharkrantibooks.org/productdetail?book_name=HINP0074_ASHLIL_CHINTAN_KA_PATAN_GART_xx1978&amp;product_id=639" xr:uid="{00000000-0004-0000-0100-00002B040000}"/>
    <hyperlink ref="CD1086" r:id="rId1069" display="https://vicharkrantibooks.org/productdetail?book_name=HINP0439_KHINNATA_CHHODEN_PRASANNATA_APANAYEN_xx1982&amp;product_id=1004" xr:uid="{00000000-0004-0000-0100-00002C040000}"/>
    <hyperlink ref="CD1087" r:id="rId1070" display="https://vicharkrantibooks.org/productdetail?book_name=HINP0969_VIGYAN_ADHYATM_VIRODHI_NAHIN_PURAK_xxyyyy&amp;product_id=1534" xr:uid="{00000000-0004-0000-0100-00002D040000}"/>
    <hyperlink ref="CD1088" r:id="rId1071" display="https://vicharkrantibooks.org/productdetail?book_name=HINP0115_AVARODHON_KE_DO_ANUDAN_SAHAS_AUR_PARAKRAM_xx1981&amp;product_id=680" xr:uid="{00000000-0004-0000-0100-00002E040000}"/>
    <hyperlink ref="CD1089" r:id="rId1072" display="https://vicharkrantibooks.org/productdetail?book_name=HINP0700_RANGO_KI_SHAKTI_xxyyyy&amp;product_id=1265" xr:uid="{00000000-0004-0000-0100-00002F040000}"/>
    <hyperlink ref="CD1090" r:id="rId1073" display="https://vicharkrantibooks.org/productdetail?book_name=HINP0522_MANTR_VIGYAN_xxyyyy&amp;product_id=1087" xr:uid="{00000000-0004-0000-0100-000030040000}"/>
    <hyperlink ref="CD1091" r:id="rId1074" display="https://vicharkrantibooks.org/productdetail?book_name=HINP0354_IKKISAVI_SADI_KI_DAINIK_SADHANA_xxyyyy&amp;product_id=919" xr:uid="{00000000-0004-0000-0100-000031040000}"/>
    <hyperlink ref="CD1092" r:id="rId1075" display="https://vicharkrantibooks.org/productdetail?book_name=HINP0079_ASTHASANKAT_RUPI_DURBHIKSH_AB_MITAKAR_HI_RAHAGA_xx1982&amp;product_id=644" xr:uid="{00000000-0004-0000-0100-000032040000}"/>
    <hyperlink ref="CD1093" r:id="rId1076" display="https://vicharkrantibooks.org/productdetail?book_name=HINP0392_JIVAN_SADHANA_xxyyyy&amp;product_id=957" xr:uid="{00000000-0004-0000-0100-000033040000}"/>
    <hyperlink ref="CD1094" r:id="rId1077" display="https://vicharkrantibooks.org/productdetail?book_name=HINP0106_ATMIY_ANURODH_xxyyyy&amp;product_id=671" xr:uid="{00000000-0004-0000-0100-000034040000}"/>
    <hyperlink ref="CD1095" r:id="rId1078" display="https://vicharkrantibooks.org/productdetail?book_name=HINP0003_AB_TO_SAMBHALE_xxyyyy&amp;product_id=568" xr:uid="{00000000-0004-0000-0100-000035040000}"/>
    <hyperlink ref="CD1096" r:id="rId1079" display="https://vicharkrantibooks.org/productdetail?book_name=HINP0541_MRUTYU_SE_BHAYABHIT_KYON_xxyyyy&amp;product_id=1106" xr:uid="{00000000-0004-0000-0100-000036040000}"/>
    <hyperlink ref="CD1097" r:id="rId1080" display="https://vicharkrantibooks.org/productdetail?book_name=HINP0170_BHUT_PALIT_AUR_DEVI_DEVATAON_KA_BHRAM_JANJAL_xxyyyy&amp;product_id=735" xr:uid="{00000000-0004-0000-0100-000037040000}"/>
    <hyperlink ref="CD1098" r:id="rId1081" display="https://vicharkrantibooks.org/productdetail?book_name=HINP0364_ISHWAR_JVALA_HAI_ATMA_CHINGARI_xx1982&amp;product_id=929" xr:uid="{00000000-0004-0000-0100-000038040000}"/>
    <hyperlink ref="CD1099" r:id="rId1082" display="https://vicharkrantibooks.org/productdetail?book_name=HINP0355_IKKISAVI_SADI_KI_YUG_SADHANA_xxyyyy&amp;product_id=920" xr:uid="{00000000-0004-0000-0100-000039040000}"/>
    <hyperlink ref="CD1100" r:id="rId1083" display="https://vicharkrantibooks.org/productdetail?book_name=HINP0407_JYOTIRVIDON_KI_DRUSHTI_MEIN_YUGASANDHI_xx1981&amp;product_id=972" xr:uid="{00000000-0004-0000-0100-00003A040000}"/>
    <hyperlink ref="CD1101" r:id="rId1084" display="https://vicharkrantibooks.org/productdetail?book_name=HINP0441_KOSHTHABADDHATA_SE_BACHEN_xxyyyy&amp;product_id=1006" xr:uid="{00000000-0004-0000-0100-00003B040000}"/>
    <hyperlink ref="CD1102" r:id="rId1085" display="https://vicharkrantibooks.org/productdetail?book_name=HINP0182_BUDDHIVAD_AUR_NITI_NISHTHA_KA_SAMANVAY_xx1982&amp;product_id=747" xr:uid="{00000000-0004-0000-0100-00003C040000}"/>
    <hyperlink ref="CD1103" r:id="rId1086" display="https://vicharkrantibooks.org/productdetail?book_name=HINP0440_KITANU_NAHI_DUSHIT_MAL_HI_VYADHI_KA_KARAN_xxyyyy&amp;product_id=1005" xr:uid="{00000000-0004-0000-0100-00003D040000}"/>
    <hyperlink ref="CD1104" r:id="rId1087" display="https://vicharkrantibooks.org/productdetail?book_name=ENGPE078_LOOSE_NOT_YOUR_HEART_COLOUR_RE2012&amp;product_id=3473" xr:uid="{00000000-0004-0000-0100-00003E040000}"/>
    <hyperlink ref="CD1105" r:id="rId1088" display="https://vicharkrantibooks.org/productdetail?book_name=HINP0084_ASTIKATA_KA_PRAN_HAI_SHRADDHA_xx2011&amp;product_id=649" xr:uid="{00000000-0004-0000-0100-00003F040000}"/>
    <hyperlink ref="CD1106" r:id="rId1089" display="https://vicharkrantibooks.org/productdetail?book_name=HINP0397_JIVAN_VYAPAR_KI_SAPHALATA_KA_ADHAR_SHALINATA_xx1982&amp;product_id=962" xr:uid="{00000000-0004-0000-0100-000040040000}"/>
    <hyperlink ref="CD1107" r:id="rId1090" display="https://vicharkrantibooks.org/productdetail?book_name=HINP1116_IKKISAVI_SADI_KI_UJJAVAL_SAMBHAVANAE_xxyyyy&amp;product_id=1681" xr:uid="{00000000-0004-0000-0100-000041040000}"/>
    <hyperlink ref="CD1108" r:id="rId1091" display="https://vicharkrantibooks.org/productdetail?book_name=ENGP0480_SAGACIOUS_WOMEN_SHOULD_LEAD_WOMEN_LIBERATION_xxyyyy&amp;product_id=3504" xr:uid="{00000000-0004-0000-0100-000042040000}"/>
    <hyperlink ref="CD1109" r:id="rId1092" display="https://vicharkrantibooks.org/productdetail?book_name=HINP1060_YUG_RUSHI_KI_AMAR_VANI_BHAG_2_xxyyyy&amp;product_id=1625" xr:uid="{00000000-0004-0000-0100-000043040000}"/>
    <hyperlink ref="CD1110" r:id="rId1093" display="https://vicharkrantibooks.org/productdetail?book_name=HINP0083_ASTIKATA_AUR_UPASANA_JIVAN_KA_ANIVARY_ANG_xxyyyy&amp;product_id=648" xr:uid="{00000000-0004-0000-0100-000044040000}"/>
    <hyperlink ref="CD1111" r:id="rId1094" display="https://vicharkrantibooks.org/productdetail?book_name=HINP0715_RUSHI_CHINTAN_KE_SANIDHYA_MEIN_04_(POCKET)_xxyyyy&amp;product_id=1280" xr:uid="{00000000-0004-0000-0100-000045040000}"/>
    <hyperlink ref="CD1112" r:id="rId1095" display="https://vicharkrantibooks.org/productdetail?book_name=HINP1069_YUGRUSHI_KI_PRERANA_AUR_HAMARE_KRIYAKALAP_xxyyyy&amp;product_id=1634" xr:uid="{00000000-0004-0000-0100-000046040000}"/>
    <hyperlink ref="CD1113" r:id="rId1096" display="https://vicharkrantibooks.org/productdetail?book_name=ENGP0714_IN_THE_ANGELIC_LIGHT_OF_RISHI_THOUGHTS_3_xxyyyy&amp;product_id=3462" xr:uid="{00000000-0004-0000-0100-000047040000}"/>
    <hyperlink ref="CD1114" r:id="rId1097" display="https://vicharkrantibooks.org/productdetail?book_name=HINP0081_ASTIKATA_ADHYATMIKATA_DHARMIKATA_TRIPADA_KI_TIN_DIVY_PRERANAEN_xx1982&amp;product_id=646" xr:uid="{00000000-0004-0000-0100-000048040000}"/>
    <hyperlink ref="CD1115" r:id="rId1098" display="https://vicharkrantibooks.org/productdetail?book_name=HINP0398_JIVAN_VYAVASAY_MEIN_ISHWAR_KI_SAZEDARI_xx1978&amp;product_id=963" xr:uid="{00000000-0004-0000-0100-000049040000}"/>
    <hyperlink ref="CD1116" r:id="rId1099" display="https://vicharkrantibooks.org/productdetail?book_name=HINP0410_KAISA_HOGA_ANE_VALA_YUG_xxyyyy&amp;product_id=975" xr:uid="{00000000-0004-0000-0100-00004A040000}"/>
    <hyperlink ref="CD1117" r:id="rId1100" display="https://vicharkrantibooks.org/productdetail?book_name=HINP0040_ANAND_KI_GANGOTRI_APANE_HI_ANTARAL_MEIN_xx1981&amp;product_id=605" xr:uid="{00000000-0004-0000-0100-00004B040000}"/>
    <hyperlink ref="CD1118" r:id="rId1101" display="https://vicharkrantibooks.org/productdetail?book_name=HINP0298_GAYATRI_UPASANA_KYON_KARE_xxyyyy&amp;product_id=863" xr:uid="{00000000-0004-0000-0100-00004C040000}"/>
    <hyperlink ref="CD1119" r:id="rId1102" display="https://vicharkrantibooks.org/productdetail?book_name=ENGP0717_IN_THE_ANGELIC_LIGHT_OF_RISHI_THOUGHTS_6_xxyyyy&amp;product_id=3465" xr:uid="{00000000-0004-0000-0100-00004D040000}"/>
    <hyperlink ref="CD1120" r:id="rId1103" display="https://vicharkrantibooks.org/productdetail?book_name=HINP0080_ASTIKATA_ADHYATMIKATA_AUR_DHARMIKATA_xx1980&amp;product_id=645" xr:uid="{00000000-0004-0000-0100-00004E040000}"/>
    <hyperlink ref="CD1121" r:id="rId1104" display="https://vicharkrantibooks.org/productdetail?book_name=HINP0082_ASTIKATA_APANANE_MEIN_HI_KALYAN_xxyyyy&amp;product_id=647" xr:uid="{00000000-0004-0000-0100-00004F040000}"/>
    <hyperlink ref="CD1122" r:id="rId1105" display="https://vicharkrantibooks.org/productdetail?book_name=HINP0112_AUR_BHI_TARIKE_HAIN_GYANAYAGY_KE_xxyyyy&amp;product_id=677" xr:uid="{00000000-0004-0000-0100-000050040000}"/>
    <hyperlink ref="CD1123" r:id="rId1106" display="https://vicharkrantibooks.org/productdetail?book_name=HINR0661_JIVAN_SADHANA_KE_14_SWARNIM_SUTR_2nd1976&amp;product_id=2346" xr:uid="{00000000-0004-0000-0100-000051040000}"/>
    <hyperlink ref="CD1124" r:id="rId1107" display="https://vicharkrantibooks.org/productdetail?book_name=HINP0072_ARTHIK_CHINTAON_KA_SAMADHAN_xxyyyy&amp;product_id=637" xr:uid="{00000000-0004-0000-0100-000052040000}"/>
    <hyperlink ref="CD1125" r:id="rId1108" display="https://vicharkrantibooks.org/productdetail?book_name=HINP0082_ASTIKATA_APANANE_MEIN_HI_KALYAN_xxyyyy&amp;product_id=647" xr:uid="{00000000-0004-0000-0100-000053040000}"/>
    <hyperlink ref="CD1126" r:id="rId1109" display="https://vicharkrantibooks.org/productdetail?book_name=HINP0325_GYANAGHAT_AUR_NAVAYUG_KA_JIVAN_DARSHAN_xxyyyy&amp;product_id=890" xr:uid="{00000000-0004-0000-0100-000054040000}"/>
    <hyperlink ref="CD1127" r:id="rId1110" display="https://vicharkrantibooks.org/productdetail?book_name=HINP0296_GAYATRI_UPASANA_KE_PANCH_CHARAN_xx1979&amp;product_id=861" xr:uid="{00000000-0004-0000-0100-000055040000}"/>
    <hyperlink ref="CD1128" r:id="rId1111" display="https://vicharkrantibooks.org/productdetail?book_name=HINP0070_APATTIKAL_KA_ADHYATM_xx2011&amp;product_id=635" xr:uid="{00000000-0004-0000-0100-000056040000}"/>
    <hyperlink ref="CD1129" r:id="rId1112" display="https://vicharkrantibooks.org/productdetail?book_name=HINP0386_JIVAN_DEVATA_KI_ANIVARY_SADHANA_xx2011&amp;product_id=951" xr:uid="{00000000-0004-0000-0100-000057040000}"/>
    <hyperlink ref="CD1130" r:id="rId1113" display="https://vicharkrantibooks.org/productdetail?book_name=HINP0027_ADHYATMIKATA_VYAVAHAR_MEIN_UTARE_xx1982&amp;product_id=592" xr:uid="{00000000-0004-0000-0100-000058040000}"/>
    <hyperlink ref="CD1131" r:id="rId1114" display="https://vicharkrantibooks.org/productdetail?book_name=HINP0061_APANE_APAKO_SAMAJ_KA_EK_ABHINN_ANG_MANENGE_AUR_SABAKE_HIT_MEIN_APANA_HIT_SAMAJHENGE_xxyyyy&amp;product_id=626" xr:uid="{00000000-0004-0000-0100-000059040000}"/>
    <hyperlink ref="CD1132" r:id="rId1115" display="https://vicharkrantibooks.org/productdetail?book_name=ENGP0716_IN_THE_ANGELIC_LIGHT_OF_RISHI_THOUGHTS_5_xxyyyy&amp;product_id=3464" xr:uid="{00000000-0004-0000-0100-00005A040000}"/>
    <hyperlink ref="CD1133" r:id="rId1116" display="https://vicharkrantibooks.org/productdetail?book_name=HINP0631_PARIWAR_KO_SUSANSKARI_KAISE_BANAEN_xxyyyy&amp;product_id=1196" xr:uid="{00000000-0004-0000-0100-00005B040000}"/>
    <hyperlink ref="CD1134" r:id="rId1117" display="https://vicharkrantibooks.org/productdetail?book_name=ENGP0715_IN_THE_ANGELIC_LIGHT_OF_RISHI_THOUGHTS_4_xxyyyy&amp;product_id=3463" xr:uid="{00000000-0004-0000-0100-00005C040000}"/>
    <hyperlink ref="CD1135" r:id="rId1118" display="https://vicharkrantibooks.org/productdetail?book_name=HINP0102_ATMAVISTAR_KA_PRASHIKSHAN_PARIWAR_RUPI_PATHASHALA_MEIN_xx1982&amp;product_id=667" xr:uid="{00000000-0004-0000-0100-00005D040000}"/>
    <hyperlink ref="CD1136" r:id="rId1119" display="https://vicharkrantibooks.org/productdetail?book_name=HINP0390_JIVAN_KO_UTKRUSHT_BANAO_xxyyyy&amp;product_id=955" xr:uid="{00000000-0004-0000-0100-00005E040000}"/>
    <hyperlink ref="CD1137" r:id="rId1120" display="https://vicharkrantibooks.org/productdetail?book_name=HINP0026_ADHYATMIKATA_KA_PRAN_SADACHARAN_xx1982&amp;product_id=591" xr:uid="{00000000-0004-0000-0100-00005F040000}"/>
    <hyperlink ref="CD1138" r:id="rId1121" display="https://vicharkrantibooks.org/productdetail?book_name=HINP0465_MAHAKAL_KA_GHONSALA_SHANTIKUNJ_xxyyyy&amp;product_id=1030" xr:uid="{00000000-0004-0000-0100-000060040000}"/>
    <hyperlink ref="CD1139" r:id="rId1122" display="https://vicharkrantibooks.org/productdetail?book_name=HINP0065_APANE_KO_BADALEN_xxyyyy&amp;product_id=630" xr:uid="{00000000-0004-0000-0100-000061040000}"/>
    <hyperlink ref="CD1140" r:id="rId1123" display="https://vicharkrantibooks.org/productdetail?book_name=HINP0475_MAHAMANAVON_KA_SATSANG_PRASHIKSHAN_SWADHYAY_KE_MADHYAM_SE_xx1981&amp;product_id=1040" xr:uid="{00000000-0004-0000-0100-000062040000}"/>
    <hyperlink ref="CD1141" r:id="rId1124" display="https://vicharkrantibooks.org/productdetail?book_name=HINP0025_ADHYATMIK_SAMYAVAD_xx1978&amp;product_id=590" xr:uid="{00000000-0004-0000-0100-000063040000}"/>
    <hyperlink ref="CD1142" r:id="rId1125" display="https://vicharkrantibooks.org/productdetail?book_name=HINP0024_ADHYATMIK_PRAUDHATA_KA_CHINH_PARAMARTH_PARAYANATA_xx1982&amp;product_id=589" xr:uid="{00000000-0004-0000-0100-000064040000}"/>
    <hyperlink ref="CD1143" r:id="rId1126" display="https://vicharkrantibooks.org/productdetail?book_name=HINP0489_MAN_KO_KUVICHARON_AUR_DURBHAVANAON_SE_BACHAE_RAKHANE_KE_LIE_SWADHYAY_EVAM_SATSANG_KI_VYAVASTHA_RAKHE_RAHENGE_xxyyyy&amp;product_id=1054" xr:uid="{00000000-0004-0000-0100-000065040000}"/>
    <hyperlink ref="CD1144" r:id="rId1127" display="https://vicharkrantibooks.org/productdetail?book_name=HINP0315_GUN_KARM_SVABHAV_KI_UTKRUSHTATA_JIVAN_KI_SARVOPARI_SAMPADA_xx1981&amp;product_id=880" xr:uid="{00000000-0004-0000-0100-000066040000}"/>
    <hyperlink ref="CD1145" r:id="rId1128" display="https://vicharkrantibooks.org/productdetail?book_name=HINP0087_ASWACHCHHATA_KA_ABHISHAP_MITANA_HI_RASHTR_KI_SABASE_BADI_SEVA_xx1982&amp;product_id=652" xr:uid="{00000000-0004-0000-0100-000067040000}"/>
    <hyperlink ref="CD1146" r:id="rId1129" display="https://vicharkrantibooks.org/productdetail?book_name=HINP0266_EK_GHANTA_SAMAY_AUR_PACHAS_PAISA_NITY_xxyyyy&amp;product_id=831" xr:uid="{00000000-0004-0000-0100-000068040000}"/>
    <hyperlink ref="CD1147" r:id="rId1130" location="nav-details" display="https://vicharkrantibooks.org/productdetail?book_name=HINP0066_APANE_KO_PAHACHANE_xxyyyy&amp;product_id=631 - nav-details" xr:uid="{00000000-0004-0000-0100-000069040000}"/>
    <hyperlink ref="CD1148" r:id="rId1131" display="https://vicharkrantibooks.org/productdetail?book_name=HINP0060_APANE_AP_PAR_BHAROSA_KAREN_xx1978&amp;product_id=625" xr:uid="{00000000-0004-0000-0100-00006A040000}"/>
    <hyperlink ref="CD1149" r:id="rId1132" display="https://vicharkrantibooks.org/productdetail?book_name=HINP0714_RUSHI_CHINTAN_KE_SANIDHYA_MEIN_03_(POCKET)_xxyyyy&amp;product_id=1279" xr:uid="{00000000-0004-0000-0100-00006B040000}"/>
    <hyperlink ref="CD1150" r:id="rId1133" display="https://vicharkrantibooks.org/productdetail?book_name=HINP0068_APANI_GARIMA_AUR_KSHAMATA_KO_BHULEN_NAHI_xx1981&amp;product_id=633" xr:uid="{00000000-0004-0000-0100-00006C040000}"/>
    <hyperlink ref="CD1151" r:id="rId1134" display="https://vicharkrantibooks.org/productdetail?book_name=HINP0432_KAYA_KI_ANTARIK_SANRACHANA_xxyyyy&amp;product_id=997" xr:uid="{00000000-0004-0000-0100-00006D040000}"/>
    <hyperlink ref="CD1152" r:id="rId1135" display="https://vicharkrantibooks.org/productdetail?book_name=HINP1059_YUG_RUSHI_KI_AMAR_VANI_BHAG_1_xxyyyy&amp;product_id=1624" xr:uid="{00000000-0004-0000-0100-00006E040000}"/>
    <hyperlink ref="CD1153" r:id="rId1136" display="https://vicharkrantibooks.org/productdetail?book_name=HINP0058_APANA_SWARG_NARAK_HUM_SVAYAM_BANATE_HAIN_xxyyyy&amp;product_id=623" xr:uid="{00000000-0004-0000-0100-00006F040000}"/>
    <hyperlink ref="CD1154" r:id="rId1137" display="https://vicharkrantibooks.org/productdetail?book_name=HINP0390_JIVAN_KO_UTKRUSHT_BANAO_xxyyyy&amp;product_id=955" xr:uid="{00000000-0004-0000-0100-000070040000}"/>
    <hyperlink ref="CD1155" r:id="rId1138" display="https://vicharkrantibooks.org/productdetail?book_name=HINP0021_ADHYATMIK_JIVAN_KE_PANCH_KADAM_xxyyyy&amp;product_id=586" xr:uid="{00000000-0004-0000-0100-000071040000}"/>
    <hyperlink ref="CD1156" r:id="rId1139" display="https://vicharkrantibooks.org/productdetail?book_name=HINP0680_PRATIK_PUJA_KA_VAIGYANIK_ADHAR_xx2011&amp;product_id=1245" xr:uid="{00000000-0004-0000-0100-000072040000}"/>
    <hyperlink ref="CD1157" r:id="rId1140" display="https://vicharkrantibooks.org/productdetail?book_name=HINP0642_PATH_PUJA_KA_DARSHAN_BHI_SAMAJHEN_xx2011&amp;product_id=1207" xr:uid="{00000000-0004-0000-0100-000073040000}"/>
    <hyperlink ref="CD1158" r:id="rId1141" display="https://vicharkrantibooks.org/productdetail?book_name=HINP0023_ADHYATMIK_KAYAKALP_KA_VIDHI_VIDHAN_BHAG_2_xx2011&amp;product_id=588" xr:uid="{00000000-0004-0000-0100-000074040000}"/>
    <hyperlink ref="CD1159" r:id="rId1142" display="https://vicharkrantibooks.org/productdetail?book_name=HINP0057_APANA_STAR_AUR_MAMATV_VIKASIT_KAREN_xx1981&amp;product_id=622" xr:uid="{00000000-0004-0000-0100-000075040000}"/>
    <hyperlink ref="CD1160" r:id="rId1143" display="https://vicharkrantibooks.org/productdetail?book_name=HINP0044_ANITI_KE_VIRODH_KA_SAHAS_JUTAEN_xxyyyy&amp;product_id=609" xr:uid="{00000000-0004-0000-0100-000076040000}"/>
    <hyperlink ref="CD1161" r:id="rId1144" display="https://vicharkrantibooks.org/productdetail?book_name=HINP0071_APAVYAY_ROKEN_DHAN_KA_SADUPAYOG_KAREN_xxyyyy&amp;product_id=636" xr:uid="{00000000-0004-0000-0100-000077040000}"/>
    <hyperlink ref="CD1162" r:id="rId1145" display="https://vicharkrantibooks.org/productdetail?book_name=HINP1096_IKKISAVI_SADI_KA_SAMVIDHAN_HAMARA_YUG_NIRMAN_SATSANKALP_xxyyyy&amp;product_id=1661" xr:uid="{00000000-0004-0000-0100-000078040000}"/>
    <hyperlink ref="CD1163" r:id="rId1146" display="https://vicharkrantibooks.org/productdetail?book_name=HINP0022_ADHYATMIK_KAYAKALP_KA_VIDHI_VIDHAN_BHAG_1_xx2011&amp;product_id=587" xr:uid="{00000000-0004-0000-0100-000079040000}"/>
    <hyperlink ref="CD1164" r:id="rId1147" display="https://vicharkrantibooks.org/productdetail?book_name=HINP0911_TONA-TOTAKA_JANTAR-MANTAR_xxyyyy&amp;product_id=1476" xr:uid="{00000000-0004-0000-0100-00007A040000}"/>
    <hyperlink ref="CD1165" r:id="rId1148" display="https://vicharkrantibooks.org/productdetail?book_name=HINP0930_UPAVAS_EK_SAMAGR_EVAM_SAMARTH_UPACHAR_PADDHATI_xx1981&amp;product_id=1495" xr:uid="{00000000-0004-0000-0100-00007B040000}"/>
    <hyperlink ref="CD1166" r:id="rId1149" display="https://vicharkrantibooks.org/productdetail?book_name=HINP0109_ATMOTKARSH_KE_CHAR_ADHAR_xx1978&amp;product_id=674" xr:uid="{00000000-0004-0000-0100-00007C040000}"/>
    <hyperlink ref="CD1167" r:id="rId1150" display="https://vicharkrantibooks.org/productdetail?book_name=HINP0108_ATMOTKARSH_KA_SADHANA_MARG_xx1978&amp;product_id=673" xr:uid="{00000000-0004-0000-0100-00007D040000}"/>
    <hyperlink ref="CD1168" r:id="rId1151" display="https://vicharkrantibooks.org/productdetail?book_name=ENGP0817_MOTHERHOOD_REVERED_EVERY_WHERE_xxyyyy&amp;product_id=3502" xr:uid="{00000000-0004-0000-0100-00007E040000}"/>
    <hyperlink ref="CD1169" r:id="rId1152" display="https://vicharkrantibooks.org/productdetail?book_name=HINP0628_PARIWAR_KA_PALAN_HI_NAHI_NIRMAN_BHI_KAREN_xxyyyy&amp;product_id=1193" xr:uid="{00000000-0004-0000-0100-00007F040000}"/>
    <hyperlink ref="CD1170" r:id="rId1153" display="https://vicharkrantibooks.org/productdetail?book_name=HINP0943_VAIGYANIK_ADHYATMVAD_Re2012&amp;product_id=1508" xr:uid="{00000000-0004-0000-0100-000080040000}"/>
    <hyperlink ref="CD1171" r:id="rId1154" display="https://vicharkrantibooks.org/productdetail?book_name=HINP0952_VATAVARAN_PRADUSHAN_KA_KYA_KOI_SAMADHAN_HAI_xxyyyy&amp;product_id=1517" xr:uid="{00000000-0004-0000-0100-000081040000}"/>
    <hyperlink ref="CD1172" r:id="rId1155" display="https://vicharkrantibooks.org/productdetail?book_name=ENGP0714_IN_THE_ANGELIC_LIGHT_OF_RISHI_THOUGHTS_3_xxyyyy&amp;product_id=3462" xr:uid="{00000000-0004-0000-0100-000082040000}"/>
    <hyperlink ref="CD1173" r:id="rId1156" display="https://vicharkrantibooks.org/productdetail?book_name=HINP0628_PARIWAR_KA_PALAN_HI_NAHI_NIRMAN_BHI_KAREN_xxyyyy&amp;product_id=1193" xr:uid="{00000000-0004-0000-0100-000083040000}"/>
    <hyperlink ref="CD1174" r:id="rId1157" display="https://vicharkrantibooks.org/productdetail?book_name=HINP0056_APANA_MULYANKAN_BHI_KARATE_RAHEN_xxyyyy&amp;product_id=621" xr:uid="{00000000-0004-0000-0100-000084040000}"/>
    <hyperlink ref="CD1175" r:id="rId1158" display="https://vicharkrantibooks.org/productdetail?book_name=HINP0107_ATMIYATA_KA_AMRUT_AUR_USAKA_RASASVADAN_xx1981&amp;product_id=672" xr:uid="{00000000-0004-0000-0100-000085040000}"/>
    <hyperlink ref="CD1176" r:id="rId1159" display="https://vicharkrantibooks.org/productdetail?book_name=HINP0055_APANA_APA_KITANA_MAHAN_KITANA_SAMARTH_xx1982&amp;product_id=620" xr:uid="{00000000-0004-0000-0100-000086040000}"/>
    <hyperlink ref="CD1177" r:id="rId1160" display="https://vicharkrantibooks.org/productdetail?book_name=ENGPE040_WHY_SUICIDES_xxyyyy&amp;product_id=3433" xr:uid="{00000000-0004-0000-0100-000087040000}"/>
    <hyperlink ref="CD1178" r:id="rId1161" display="https://vicharkrantibooks.org/productdetail?book_name=HINP0195_CHINTAN_CHARITR_KO_UNCHA_UTHAEN_xx2011&amp;product_id=760" xr:uid="{00000000-0004-0000-0100-000088040000}"/>
    <hyperlink ref="CD1179" r:id="rId1162" display="https://vicharkrantibooks.org/productdetail?book_name=HINP0295_GAYATRI_UPASANA_KE_CHAMATKARI_SATPARINAM_xx1979&amp;product_id=860" xr:uid="{00000000-0004-0000-0100-000089040000}"/>
    <hyperlink ref="CD1180" r:id="rId1163" display="https://vicharkrantibooks.org/productdetail?book_name=HINP0019_ADHYATM_PARAK_SHIKSHA_KE_MULBHUT_ADHAR_xx1982&amp;product_id=584" xr:uid="{00000000-0004-0000-0100-00008A040000}"/>
    <hyperlink ref="CD1181" r:id="rId1164" display="https://vicharkrantibooks.org/productdetail?book_name=HINP0096_ATMANIRMAN_JIVAN_KI_MAHAN_SAPHALATA_xx1978&amp;product_id=661" xr:uid="{00000000-0004-0000-0100-00008B040000}"/>
    <hyperlink ref="CD1183" r:id="rId1165" display="https://vicharkrantibooks.org/productdetail?book_name=HINP0098_ATMANUSHASAN_KA_PRASHIKSHAN_ADHYATM_KI_PATHASHALA_MEIN_xx1981&amp;product_id=663" xr:uid="{00000000-0004-0000-0100-00008C040000}"/>
    <hyperlink ref="CD1184" r:id="rId1166" display="https://vicharkrantibooks.org/productdetail?book_name=HINP0888_SWADHYAY_KI_UPEKSHA_NA_KAREN_xx1978&amp;product_id=1453" xr:uid="{00000000-0004-0000-0100-00008D040000}"/>
    <hyperlink ref="CD1185" r:id="rId1167" display="https://vicharkrantibooks.org/productdetail?book_name=HINP1108_GAYATRI_KA_SHAKTI_STROT_SAVITA_DEVATA_xx1979&amp;product_id=1673" xr:uid="{00000000-0004-0000-0100-00008E040000}"/>
    <hyperlink ref="CD1186" r:id="rId1168" display="https://vicharkrantibooks.org/productdetail?book_name=HINP0302_GAYATRI_YAGY_AUR_USAKI_PRERANA_1st1976&amp;product_id=867" xr:uid="{00000000-0004-0000-0100-00008F040000}"/>
    <hyperlink ref="CD1187" r:id="rId1169" display="https://vicharkrantibooks.org/productdetail?book_name=HINP0111_ATMVIKAS_KE_CHAR_CHARAN_xx2011&amp;product_id=676" xr:uid="{00000000-0004-0000-0100-000090040000}"/>
    <hyperlink ref="CD1188" r:id="rId1170" display="https://vicharkrantibooks.org/productdetail?book_name=HINP0099_ATMAVIKAS_KA_RAJMARG_xx1982&amp;product_id=664" xr:uid="{00000000-0004-0000-0100-000091040000}"/>
    <hyperlink ref="CD1189" r:id="rId1171" display="https://vicharkrantibooks.org/productdetail?book_name=HINF0049_ATMANIRMAN_JIVAN_KA_PRATHAM_SOPAN_xxyyyy&amp;product_id=269" xr:uid="{00000000-0004-0000-0100-000092040000}"/>
    <hyperlink ref="CD1190" r:id="rId1172" display="https://vicharkrantibooks.org/productdetail?book_name=HINP0073_ASAN_UPACHAR_SE_AROGY_KI_PRAPTI_xx1981&amp;product_id=638" xr:uid="{00000000-0004-0000-0100-000093040000}"/>
    <hyperlink ref="CD1191" r:id="rId1173" display="https://vicharkrantibooks.org/productdetail?book_name=HINP0643_PATHABHRASHT_PARIWAR_KAISE_SUDHAREN_xxyyyy&amp;product_id=1208" xr:uid="{00000000-0004-0000-0100-000094040000}"/>
    <hyperlink ref="CD1192" r:id="rId1174" display="https://vicharkrantibooks.org/productdetail?book_name=ENGP0713_IN_THE_ANGELIC_LIGHT_OF_RISHI_THOUGHTS_2_xxyyyy&amp;product_id=3461" xr:uid="{00000000-0004-0000-0100-000095040000}"/>
    <hyperlink ref="CD1193" r:id="rId1175" display="https://vicharkrantibooks.org/productdetail?book_name=ENGP0343_LOOSE_NOT_YOUR_HEART_xxyyyy&amp;product_id=3434" xr:uid="{00000000-0004-0000-0100-000096040000}"/>
    <hyperlink ref="CD1194" r:id="rId1176" display="https://vicharkrantibooks.org/productdetail?book_name=HINP0314_GRUHASTHASHRAM_SHRESHTH_ASHRAM_xxyyyy&amp;product_id=879" xr:uid="{00000000-0004-0000-0100-000097040000}"/>
    <hyperlink ref="CD1195" r:id="rId1177" display="https://vicharkrantibooks.org/productdetail?book_name=HINP0097_ATMANIRMAN_SABASE_BADA_PURUSARTH_xx1981&amp;product_id=662" xr:uid="{00000000-0004-0000-0100-000098040000}"/>
    <hyperlink ref="CD1196" r:id="rId1178" display="https://vicharkrantibooks.org/productdetail?book_name=HINP0775_SAMBHAVAMI_YUGE_YUGE_xx2011&amp;product_id=1340" xr:uid="{00000000-0004-0000-0100-000099040000}"/>
    <hyperlink ref="CD1197" r:id="rId1179" display="https://vicharkrantibooks.org/productdetail?book_name=HINP1067_YUGRUSHI_EVAM_UNAKI_YOJANA_xxyyyy&amp;product_id=1632" xr:uid="{00000000-0004-0000-0100-00009A040000}"/>
    <hyperlink ref="CD1198" r:id="rId1180" display="https://vicharkrantibooks.org/productdetail?book_name=HINF0380_GAYATRI_AUR_YAGY_BHARATIY_SANSKRUTI_KE_MATA_PITA_xxyyyy&amp;product_id=4399" xr:uid="{00000000-0004-0000-0100-00009B040000}"/>
    <hyperlink ref="CD1199" r:id="rId1181" display="https://vicharkrantibooks.org/productdetail?book_name=HINP0110_ATMTEJOBALAM_BALAM_xx1979&amp;product_id=675" xr:uid="{00000000-0004-0000-0100-00009C040000}"/>
    <hyperlink ref="CD1200" r:id="rId1182" display="https://vicharkrantibooks.org/productdetail?book_name=HINP0005_ADHI_VYADHIYON_KI_BADH_AUR_UNAKI_ROKATHAM_xx1981&amp;product_id=570" xr:uid="{00000000-0004-0000-0100-00009D040000}"/>
    <hyperlink ref="CD1201" r:id="rId1183" display="https://vicharkrantibooks.org/productdetail?book_name=HINP0388_JIVAN_KA_PARAM_LAKSHY_SATYAM_SHIVAM_SUNDARAM_xx1981&amp;product_id=953" xr:uid="{00000000-0004-0000-0100-00009E040000}"/>
    <hyperlink ref="CD1202" r:id="rId1184" display="https://vicharkrantibooks.org/productdetail?book_name=HINP0093_ATMAGYAN_AUR_ATMKALYAN_KA_TATVADARSHAN_xx1981&amp;product_id=658" xr:uid="{00000000-0004-0000-0100-00009F040000}"/>
    <hyperlink ref="CD1203" r:id="rId1185" display="https://vicharkrantibooks.org/productdetail?book_name=HINP0712_RUSHI_CHINTAN_KE_SANIDHYA_MEIN_01_(POCKET)_xxyyyy&amp;product_id=1277" xr:uid="{00000000-0004-0000-0100-0000A0040000}"/>
    <hyperlink ref="CD1204" r:id="rId1186" display="https://vicharkrantibooks.org/productdetail?book_name=HINP0390_JIVAN_KO_UTKRUSHT_BANAO_xxyyyy&amp;product_id=955" xr:uid="{00000000-0004-0000-0100-0000A1040000}"/>
    <hyperlink ref="CD1205" r:id="rId1187" display="https://vicharkrantibooks.org/productdetail?book_name=HINP0196_CHINTAN_KE_KSHAN_Re2012&amp;product_id=761" xr:uid="{00000000-0004-0000-0100-0000A2040000}"/>
    <hyperlink ref="CD1206" r:id="rId1188" display="https://vicharkrantibooks.org/productdetail?book_name=HINP0313_GRUHASTH_RUPI_TAPOVAN_MEIN_NARI_KI_BHUMIKA_xx1982&amp;product_id=878" xr:uid="{00000000-0004-0000-0100-0000A3040000}"/>
    <hyperlink ref="CD1207" r:id="rId1189" display="https://vicharkrantibooks.org/productdetail?book_name=HINP0090_ATM_SHAKTI_KA_AKUT_BHANDAR_xxyyyy&amp;product_id=655" xr:uid="{00000000-0004-0000-0100-0000A4040000}"/>
    <hyperlink ref="CD1208" r:id="rId1190" display="https://vicharkrantibooks.org/productdetail?book_name=HINP0447_KUCHH_TO_SOCHEN_xxyyyy&amp;product_id=1012" xr:uid="{00000000-0004-0000-0100-0000A5040000}"/>
    <hyperlink ref="CD1209" r:id="rId1191" display="https://vicharkrantibooks.org/productdetail?book_name=HINP0117_AVATAR_KI_ANDHI_PHIJAN_BADAL_DETI_HAI_xx2011&amp;product_id=682" xr:uid="{00000000-0004-0000-0100-0000A6040000}"/>
    <hyperlink ref="CD1210" r:id="rId1192" display="https://vicharkrantibooks.org/productdetail?book_name=ENGPE095_HEALTH_WEALTH_AND_SPIRITUALITY_xxyyyy&amp;product_id=3487" xr:uid="{00000000-0004-0000-0100-0000A7040000}"/>
    <hyperlink ref="CD1211" r:id="rId1193" display="https://vicharkrantibooks.org/productdetail?book_name=HINP0028_ADHYATMVADI_BHAUTIKATA_APANAE_xx1979&amp;product_id=593" xr:uid="{00000000-0004-0000-0100-0000A8040000}"/>
    <hyperlink ref="CD1212" r:id="rId1194" display="https://vicharkrantibooks.org/productdetail?book_name=ENGP0713_IN_THE_ANGELIC_LIGHT_OF_RISHI_THOUGHTS_2_xxyyyy&amp;product_id=3461" xr:uid="{00000000-0004-0000-0100-0000A9040000}"/>
    <hyperlink ref="CD1213" r:id="rId1195" display="https://vicharkrantibooks.org/productdetail?book_name=HINP0043_ANITI_EVAM_ANACHAR_MANAVI_PAURUS_KO_EK_CHUNAUTI_xx1981&amp;product_id=608" xr:uid="{00000000-0004-0000-0100-0000AA040000}"/>
    <hyperlink ref="CD1214" r:id="rId1196" display="https://vicharkrantibooks.org/productdetail?book_name=HINP0409_KAID_MEIN_NA_PADE_RAHIYE_xx1979&amp;product_id=974" xr:uid="{00000000-0004-0000-0100-0000AB040000}"/>
    <hyperlink ref="CD1215" r:id="rId1197" display="https://vicharkrantibooks.org/productdetail?book_name=ENGP0712_IN_THE_ANGELIC_LIGHT_OF_RISHI_THOUGHTS_1_xxyyyy&amp;product_id=3460" xr:uid="{00000000-0004-0000-0100-0000AC040000}"/>
    <hyperlink ref="CD1216" r:id="rId1198" display="https://vicharkrantibooks.org/productdetail?book_name=HINP0251_DHYAN_KA_DARSHANIK_PAKSH_xx2011&amp;product_id=816" xr:uid="{00000000-0004-0000-0100-0000AD040000}"/>
    <hyperlink ref="CD1217" r:id="rId1199" display="https://vicharkrantibooks.org/productdetail?book_name=HINP1062_YUG_RUSHI_PARICHAY_EVAM_CHINTAN_xxyyyy&amp;product_id=1627" xr:uid="{00000000-0004-0000-0100-0000AE040000}"/>
    <hyperlink ref="CD1218" r:id="rId1200" display="https://vicharkrantibooks.org/productdetail?book_name=HINP0422_KARM_KI_UTKRUSHTATA_TATPARATA_AUR_TANAMAYATA_SE_xx1982&amp;product_id=987" xr:uid="{00000000-0004-0000-0100-0000AF040000}"/>
    <hyperlink ref="CD1219" r:id="rId1201" display="https://vicharkrantibooks.org/productdetail?book_name=HINP0028_ADHYATMVADI_BHAUTIKATA_APANAE_xx1979&amp;product_id=593" xr:uid="{00000000-0004-0000-0100-0000B0040000}"/>
    <hyperlink ref="CD1220" r:id="rId1202" display="https://vicharkrantibooks.org/productdetail?book_name=ENGPE095_HEALTH_WEALTH_AND_SPIRITUALITY_xxyyyy&amp;product_id=3487" xr:uid="{00000000-0004-0000-0100-0000B1040000}"/>
    <hyperlink ref="CD1221" r:id="rId1203" display="https://vicharkrantibooks.org/productdetail?book_name=HINP0047_ANTAH_KI_SADASAYATA_CHUKANE_NA_PAYE_xx1981&amp;product_id=612" xr:uid="{00000000-0004-0000-0100-0000B2040000}"/>
    <hyperlink ref="CD1222" r:id="rId1204" display="https://vicharkrantibooks.org/productdetail?book_name=HINP0018_ADHYATM_KO_JIVANT_BANAEN_xx2011&amp;product_id=583" xr:uid="{00000000-0004-0000-0100-0000B3040000}"/>
    <hyperlink ref="CD1223" r:id="rId1205" display="https://vicharkrantibooks.org/productdetail?book_name=ENGP0279_GAYATRI_CHALISA_xxyyyy&amp;product_id=3416" xr:uid="{00000000-0004-0000-0100-0000B4040000}"/>
    <hyperlink ref="CD1225" r:id="rId1206" display="https://vicharkrantibooks.org/productdetail?book_name=HINP0017_ADHYATM_KI_PRUSHTHABHUMI_SAT_SHRADDHA_xx1981&amp;product_id=582" xr:uid="{00000000-0004-0000-0100-0000B5040000}"/>
    <hyperlink ref="CD1226" r:id="rId1207" display="https://vicharkrantibooks.org/productdetail?book_name=HINP0887_SWADHYAY_JIVAN_KI_ANIVARY_AVASHYAKATA_xxyyyy&amp;product_id=1452" xr:uid="{00000000-0004-0000-0100-0000B6040000}"/>
    <hyperlink ref="CD1227" r:id="rId1208" display="https://vicharkrantibooks.org/productdetail?book_name=HINP0050_ANTARIK_ASHANTI_KI_SAMASYA_AUR_SAMADHAN_xxyyyy&amp;product_id=615" xr:uid="{00000000-0004-0000-0100-0000B7040000}"/>
    <hyperlink ref="CD1228" r:id="rId1209" display="https://vicharkrantibooks.org/productdetail?book_name=ENGP0279_GAYATRI_CHALISA_xxyyyy&amp;product_id=3416" xr:uid="{00000000-0004-0000-0100-0000B8040000}"/>
    <hyperlink ref="CD1229" r:id="rId1210" display="https://vicharkrantibooks.org/productdetail?book_name=HINP0451_KUSASKARON_KI_PRATIKRIYA_KASHT_TANAV_AUR_VIKSHOBH_xx1982&amp;product_id=1016" xr:uid="{00000000-0004-0000-0100-0000B9040000}"/>
    <hyperlink ref="CD1230" r:id="rId1211" display="https://vicharkrantibooks.org/productdetail?book_name=HINP0280_GAYATRI_KA_ARTH_CHINTAN_xx1979&amp;product_id=845" xr:uid="{00000000-0004-0000-0100-0000BA040000}"/>
    <hyperlink ref="CD1231" r:id="rId1212" display="https://vicharkrantibooks.org/productdetail?book_name=HINP0116_AVATAR_KA_PRAYOJAN_AUR_SWARUP_xx1981&amp;product_id=681" xr:uid="{00000000-0004-0000-0100-0000BB040000}"/>
    <hyperlink ref="CD1232" r:id="rId1213" display="https://vicharkrantibooks.org/productdetail?book_name=HINP0231_DHARM_AUR_VIGYAN_KE_SAMANVAY_MEIN_HI_KALYAN_xx1981&amp;product_id=796" xr:uid="{00000000-0004-0000-0100-0000BC040000}"/>
    <hyperlink ref="CD1233" r:id="rId1214" display="https://vicharkrantibooks.org/productdetail?book_name=HINP0045_ANITI_KE_VIRUDDH_ASAHAYOG_EVAM_VIRODH_KE_ASTRON_SE_JUJHEN_xx1981&amp;product_id=610" xr:uid="{00000000-0004-0000-0100-0000BD040000}"/>
    <hyperlink ref="CD1234" r:id="rId1215" display="https://vicharkrantibooks.org/productdetail?book_name=HINP0595_NAVAYUG_KE_DO_ADHAR_ADHYATM_AUR_VIGYAN_xx1978&amp;product_id=1160" xr:uid="{00000000-0004-0000-0100-0000BE040000}"/>
    <hyperlink ref="CD1239" r:id="rId1216" display="https://vicharkrantibooks.org/productdetail?book_name=HINP0445_KSHUDRATA_CHHODEN_MAHANATA_KE_PATH_PAR_CHALEN_xx2011&amp;product_id=1010" xr:uid="{00000000-0004-0000-0100-0000BF040000}"/>
    <hyperlink ref="CD1240" r:id="rId1217" display="https://vicharkrantibooks.org/productdetail?book_name=HINP0042_ANITI_ASURATA_KE_ANYAY_KO_ROKEN_xxyyyy&amp;product_id=607" xr:uid="{00000000-0004-0000-0100-0000C0040000}"/>
    <hyperlink ref="CD1241" r:id="rId1218" display="https://vicharkrantibooks.org/productdetail?book_name=HINP0020_ADHYATM_URJA_KE_PRAKATIKARAN_KI_SADHANA_xx1981&amp;product_id=585" xr:uid="{00000000-0004-0000-0100-0000C1040000}"/>
    <hyperlink ref="CD1252" r:id="rId1219" display="https://vicharkrantibooks.org/productdetail?book_name=HINP0596_NAVAYUG_KI_ADHARASHILA_SADBHAV_YUKT_SHRADDHA_xx1981&amp;product_id=1161" xr:uid="{00000000-0004-0000-0100-0000C2040000}"/>
    <hyperlink ref="CD1260" r:id="rId1220" display="https://vicharkrantibooks.org/productdetail?book_name=HINP0596_NAVAYUG_KI_ADHARASHILA_SADBHAV_YUKT_SHRADDHA_xx1981&amp;product_id=1161" xr:uid="{00000000-0004-0000-0100-0000C3040000}"/>
    <hyperlink ref="CD1263" r:id="rId1221" display="https://vicharkrantibooks.org/productdetail?book_name=HINP0596_NAVAYUG_KI_ADHARASHILA_SADBHAV_YUKT_SHRADDHA_xx1981&amp;product_id=1161" xr:uid="{00000000-0004-0000-0100-0000C4040000}"/>
    <hyperlink ref="CD1264" r:id="rId1222" display="https://vicharkrantibooks.org/productdetail?book_name=HINP0030_AGNIHOTR_KI_GARIMA_AUR_MAHATTA_xx1982&amp;product_id=595" xr:uid="{00000000-0004-0000-0100-0000C5040000}"/>
    <hyperlink ref="CD1265" r:id="rId1223" display="https://vicharkrantibooks.org/productdetail?book_name=HINP0377_JANAMANAS_KE_PARISHKAR_PARV_AYOJANON_SE_xx1981&amp;product_id=942" xr:uid="{00000000-0004-0000-0100-0000C6040000}"/>
    <hyperlink ref="CD1266" r:id="rId1224" display="https://vicharkrantibooks.org/productdetail?book_name=HINP0423_KARMAKAND_KI_PRERANAON_MEIN_CHHIPA_ADHYATM_xx2011&amp;product_id=988" xr:uid="{00000000-0004-0000-0100-0000C7040000}"/>
    <hyperlink ref="CD1267" r:id="rId1225" display="https://vicharkrantibooks.org/productdetail?book_name=HINP0424_KARMAKAND_MEIN_CHHIPA_VYAKTITV_NIRMAN_KA_SHIKSHAN_xx2011&amp;product_id=989" xr:uid="{00000000-0004-0000-0100-0000C8040000}"/>
    <hyperlink ref="CD1268" r:id="rId1226" display="https://vicharkrantibooks.org/productdetail?book_name=HINP0425_KARMAKAND_NAHI_BHAVANA_PRADHAN_xx2011&amp;product_id=990" xr:uid="{00000000-0004-0000-0100-0000C9040000}"/>
    <hyperlink ref="CD1269" r:id="rId1227" display="https://vicharkrantibooks.org/productdetail?book_name=HINP0594_NAVARATRI_KA_PAVAN_PARV_xx1980&amp;product_id=1159" xr:uid="{00000000-0004-0000-0100-0000CA040000}"/>
    <hyperlink ref="CD1270" r:id="rId1228" display="https://vicharkrantibooks.org/productdetail?book_name=HINP0640_PARV_TYAUHAR_EK_SAMAJIK_SANSKAR_xxyyyy&amp;product_id=1205" xr:uid="{00000000-0004-0000-0100-0000CB040000}"/>
    <hyperlink ref="CD1271" r:id="rId1229" display="https://vicharkrantibooks.org/productdetail?book_name=HINP1058_YUG_PARIVARTAN_MEIN_SAMARTH_DIPYAGY_xx2011&amp;product_id=1623" xr:uid="{00000000-0004-0000-0100-0000CC040000}"/>
    <hyperlink ref="CD1273" r:id="rId1230" display="https://vicharkrantibooks.org/productdetail?book_name=HINP0318_GURUGITA_PATH_VIDHI_Re2014&amp;product_id=883" xr:uid="{00000000-0004-0000-0100-0000CD040000}"/>
    <hyperlink ref="CD1274" r:id="rId1231" display="https://vicharkrantibooks.org/productdetail?book_name=HINP0041_ANGANAVADI_LAGAEN_xxyyyy&amp;product_id=606" xr:uid="{00000000-0004-0000-0100-0000CE040000}"/>
    <hyperlink ref="CD1275" r:id="rId1232" display="https://vicharkrantibooks.org/productdetail?book_name=HINP0254_DIVY_JADI_BUTIYON_MEIN_APAR_SHAKTI_xxyyyy&amp;product_id=819" xr:uid="{00000000-0004-0000-0100-0000CF040000}"/>
    <hyperlink ref="CD1276" r:id="rId1233" display="https://vicharkrantibooks.org/productdetail?book_name=HINP0032_AHAR_CHIKITSA_xxyyyy&amp;product_id=597" xr:uid="{00000000-0004-0000-0100-0000D0040000}"/>
    <hyperlink ref="CD1277" r:id="rId1234" display="https://vicharkrantibooks.org/productdetail?book_name=HINP0133_BEMEL_AHAR_SE_BACHEN_xxyyyy&amp;product_id=698" xr:uid="{00000000-0004-0000-0100-0000D1040000}"/>
    <hyperlink ref="CD1278" r:id="rId1235" display="https://vicharkrantibooks.org/productdetail?book_name=HINP0256_DUDH_DAHI_KA_UPAYOG_KAISE_KAREN_xxyyyy&amp;product_id=821" xr:uid="{00000000-0004-0000-0100-0000D2040000}"/>
    <hyperlink ref="CD1279" r:id="rId1236" display="https://vicharkrantibooks.org/productdetail?book_name=HINP0257_DUDH_KE_DO_VIKALP_SOYABIN_AUR_MUNGAPHALI_xx1981&amp;product_id=822" xr:uid="{00000000-0004-0000-0100-0000D3040000}"/>
    <hyperlink ref="CD1280" r:id="rId1237" display="https://vicharkrantibooks.org/productdetail?book_name=HINP1058_YUG_PARIVARTAN_MEIN_SAMARTH_DIPYAGY_xx2011&amp;product_id=1623" xr:uid="{00000000-0004-0000-0100-0000D4040000}"/>
    <hyperlink ref="CD1281" r:id="rId1238" display="https://vicharkrantibooks.org/productdetail?book_name=ENGPE035_GAYATRI_A_UNIQUE_SOLUTIONS_FOR_PROBLEMS_xxyyyy&amp;product_id=3428" xr:uid="{00000000-0004-0000-0100-0000D5040000}"/>
    <hyperlink ref="CD1282" r:id="rId1239" display="https://vicharkrantibooks.org/productdetail?book_name=HINP0011_ADHYATM_EK_NAKAD_DHARM_xx2011&amp;product_id=576" xr:uid="{00000000-0004-0000-0100-0000D6040000}"/>
    <hyperlink ref="CD1283" r:id="rId1240" display="https://vicharkrantibooks.org/productdetail?book_name=HINP0498_MANASIK_TANAV_SE_BACHEN_xxyyyy&amp;product_id=1063" xr:uid="{00000000-0004-0000-0100-0000D7040000}"/>
    <hyperlink ref="CD1284" r:id="rId1241" display="https://vicharkrantibooks.org/productdetail?book_name=HINP0498_MANASIK_TANAV_SE_BACHEN_xxyyyy&amp;product_id=1063" xr:uid="{00000000-0004-0000-0100-0000D8040000}"/>
    <hyperlink ref="CD1286" r:id="rId1242" display="https://vicharkrantibooks.org/productdetail?book_name=HINP0253_DIRGH_JIVAN_KI_PRAPTI_xxyyyy&amp;product_id=818" xr:uid="{00000000-0004-0000-0100-0000D904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2.6640625" defaultRowHeig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BookDetails</vt:lpstr>
      <vt:lpstr>RecordingAllocationData</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 Doshi</cp:lastModifiedBy>
  <dcterms:modified xsi:type="dcterms:W3CDTF">2024-12-10T17:56:31Z</dcterms:modified>
</cp:coreProperties>
</file>